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14355" windowHeight="7815" tabRatio="742"/>
  </bookViews>
  <sheets>
    <sheet name="Analysis" sheetId="5" r:id="rId1"/>
    <sheet name="Sales performance" sheetId="8" r:id="rId2"/>
    <sheet name="CMB sales Variance(15-16)" sheetId="9" r:id="rId3"/>
    <sheet name="CMB_Sales volume summary" sheetId="12" r:id="rId4"/>
    <sheet name="Sheet1" sheetId="13" r:id="rId5"/>
    <sheet name="Sales performance (2)" sheetId="14" r:id="rId6"/>
  </sheets>
  <externalReferences>
    <externalReference r:id="rId7"/>
  </externalReferences>
  <definedNames>
    <definedName name="_xlnm._FilterDatabase" localSheetId="2" hidden="1">'CMB sales Variance(15-16)'!$B$5:$HG$247</definedName>
    <definedName name="_xlnm._FilterDatabase" localSheetId="3" hidden="1">'CMB_Sales volume summary'!$A$6:$IV$303</definedName>
    <definedName name="_xlnm.Criteria" localSheetId="1">[1]RP!#REF!</definedName>
    <definedName name="_xlnm.Criteria" localSheetId="5">[1]RP!#REF!</definedName>
    <definedName name="_xlnm.Criteria">[1]RP!#REF!</definedName>
    <definedName name="_xlnm.Database" localSheetId="1">[1]CERT!#REF!</definedName>
    <definedName name="_xlnm.Database" localSheetId="5">[1]CERT!#REF!</definedName>
    <definedName name="_xlnm.Database">[1]CERT!#REF!</definedName>
    <definedName name="_xlnm.Extract" localSheetId="1">[1]RP!#REF!</definedName>
    <definedName name="_xlnm.Extract" localSheetId="5">[1]RP!#REF!</definedName>
    <definedName name="_xlnm.Extract">[1]RP!#REF!</definedName>
    <definedName name="_xlnm.Print_Area" localSheetId="3">'CMB_Sales volume summary'!$C$3:$AE$172</definedName>
    <definedName name="_xlnm.Print_Area" localSheetId="1">'Sales performance'!#REF!</definedName>
    <definedName name="_xlnm.Print_Area" localSheetId="5">'Sales performance (2)'!#REF!</definedName>
    <definedName name="_xlnm.Recorder" localSheetId="2">#REF!</definedName>
    <definedName name="_xlnm.Recorder" localSheetId="1">#REF!</definedName>
    <definedName name="_xlnm.Recorder" localSheetId="5">#REF!</definedName>
    <definedName name="_xlnm.Recorder">#REF!</definedName>
  </definedNames>
  <calcPr calcId="145621" iterate="1"/>
</workbook>
</file>

<file path=xl/calcChain.xml><?xml version="1.0" encoding="utf-8"?>
<calcChain xmlns="http://schemas.openxmlformats.org/spreadsheetml/2006/main">
  <c r="AX52" i="8" l="1"/>
  <c r="AX21" i="8"/>
  <c r="AX43" i="8" l="1"/>
  <c r="AX58" i="8" s="1"/>
  <c r="AZ52" i="8"/>
  <c r="AY52" i="8"/>
  <c r="AY43" i="8" s="1"/>
  <c r="AY58" i="8" s="1"/>
  <c r="AY60" i="8" s="1"/>
  <c r="BA53" i="8"/>
  <c r="AZ28" i="8"/>
  <c r="AY28" i="8"/>
  <c r="AX28" i="8"/>
  <c r="AZ21" i="8"/>
  <c r="AY21" i="8"/>
  <c r="AY12" i="8" s="1"/>
  <c r="AY27" i="8" s="1"/>
  <c r="BA48" i="8"/>
  <c r="BA49" i="8"/>
  <c r="BA50" i="8"/>
  <c r="BA59" i="8"/>
  <c r="BA57" i="8"/>
  <c r="BA56" i="8"/>
  <c r="BA55" i="8"/>
  <c r="BA54" i="8"/>
  <c r="BA51" i="8"/>
  <c r="BA47" i="8"/>
  <c r="BA46" i="8"/>
  <c r="BA45" i="8"/>
  <c r="BA42" i="8"/>
  <c r="AZ42" i="8"/>
  <c r="AY42" i="8"/>
  <c r="AX42" i="8"/>
  <c r="AW39" i="8"/>
  <c r="AZ33" i="8"/>
  <c r="AY29" i="8"/>
  <c r="AZ29" i="8"/>
  <c r="BA26" i="8"/>
  <c r="BA25" i="8"/>
  <c r="BA24" i="8"/>
  <c r="BA23" i="8"/>
  <c r="BA22" i="8"/>
  <c r="BA20" i="8"/>
  <c r="BA19" i="8"/>
  <c r="BA18" i="8"/>
  <c r="BA17" i="8"/>
  <c r="BA16" i="8"/>
  <c r="BA15" i="8"/>
  <c r="BA14" i="8"/>
  <c r="BA13" i="8"/>
  <c r="AX12" i="8"/>
  <c r="AX27" i="8" s="1"/>
  <c r="BA52" i="8" l="1"/>
  <c r="BA28" i="8"/>
  <c r="AX29" i="8"/>
  <c r="BA29" i="8" s="1"/>
  <c r="AZ43" i="8"/>
  <c r="AZ58" i="8" s="1"/>
  <c r="AZ60" i="8" s="1"/>
  <c r="BA44" i="8"/>
  <c r="BA21" i="8"/>
  <c r="BA12" i="8" s="1"/>
  <c r="AZ12" i="8"/>
  <c r="AZ27" i="8" s="1"/>
  <c r="BA27" i="8" s="1"/>
  <c r="AX60" i="8"/>
  <c r="D99" i="8"/>
  <c r="D88" i="8"/>
  <c r="AN304" i="12"/>
  <c r="Z59" i="8"/>
  <c r="Z57" i="8"/>
  <c r="Z55" i="8"/>
  <c r="Z53" i="8"/>
  <c r="Z45" i="8"/>
  <c r="Z46" i="8"/>
  <c r="Z47" i="8"/>
  <c r="Z48" i="8"/>
  <c r="Z49" i="8"/>
  <c r="Z50" i="8"/>
  <c r="Z51" i="8"/>
  <c r="Z44" i="8"/>
  <c r="Z28" i="8"/>
  <c r="Z26" i="8"/>
  <c r="Z24" i="8"/>
  <c r="Z22" i="8"/>
  <c r="Z14" i="8"/>
  <c r="Z15" i="8"/>
  <c r="Z16" i="8"/>
  <c r="Z17" i="8"/>
  <c r="Z18" i="8"/>
  <c r="Z19" i="8"/>
  <c r="Z20" i="8"/>
  <c r="Z13" i="8"/>
  <c r="E52" i="8"/>
  <c r="Z52" i="8" s="1"/>
  <c r="D52" i="8"/>
  <c r="D21" i="8"/>
  <c r="E21" i="8"/>
  <c r="Z21" i="8" s="1"/>
  <c r="BA58" i="8" l="1"/>
  <c r="BA60" i="8" s="1"/>
  <c r="BA43" i="8"/>
  <c r="M34" i="8"/>
  <c r="F40" i="14" l="1"/>
  <c r="F55" i="14" s="1"/>
  <c r="F57" i="14" s="1"/>
  <c r="F12" i="14"/>
  <c r="F29" i="14"/>
  <c r="F27" i="14"/>
  <c r="E29" i="14"/>
  <c r="J51" i="14"/>
  <c r="I50" i="14"/>
  <c r="D50" i="14"/>
  <c r="C49" i="14"/>
  <c r="C41" i="14"/>
  <c r="D40" i="14"/>
  <c r="J39" i="14"/>
  <c r="I39" i="14"/>
  <c r="H39" i="14"/>
  <c r="G39" i="14"/>
  <c r="E39" i="14"/>
  <c r="D39" i="14"/>
  <c r="C39" i="14"/>
  <c r="B36" i="14"/>
  <c r="D29" i="14"/>
  <c r="C29" i="14"/>
  <c r="J28" i="14"/>
  <c r="J25" i="14"/>
  <c r="I24" i="14"/>
  <c r="D22" i="14"/>
  <c r="C21" i="14"/>
  <c r="J20" i="14"/>
  <c r="I19" i="14"/>
  <c r="C13" i="14"/>
  <c r="C12" i="14" s="1"/>
  <c r="C27" i="14" s="1"/>
  <c r="D12" i="14"/>
  <c r="J29" i="14" l="1"/>
  <c r="D27" i="14"/>
  <c r="D55" i="14"/>
  <c r="D57" i="14" s="1"/>
  <c r="C40" i="14"/>
  <c r="C55" i="14" s="1"/>
  <c r="C57" i="14" s="1"/>
  <c r="J46" i="14"/>
  <c r="I46" i="14"/>
  <c r="G46" i="14"/>
  <c r="H46" i="14" s="1"/>
  <c r="G54" i="14"/>
  <c r="H54" i="14" s="1"/>
  <c r="J54" i="14"/>
  <c r="I54" i="14"/>
  <c r="G19" i="14"/>
  <c r="H19" i="14" s="1"/>
  <c r="J19" i="14"/>
  <c r="J45" i="14"/>
  <c r="I45" i="14"/>
  <c r="G45" i="14"/>
  <c r="H45" i="14" s="1"/>
  <c r="I20" i="14"/>
  <c r="G20" i="14"/>
  <c r="H20" i="14" s="1"/>
  <c r="G24" i="14"/>
  <c r="H24" i="14" s="1"/>
  <c r="J24" i="14"/>
  <c r="I25" i="14"/>
  <c r="G25" i="14"/>
  <c r="H25" i="14" s="1"/>
  <c r="I28" i="14"/>
  <c r="I29" i="14" s="1"/>
  <c r="G28" i="14"/>
  <c r="J41" i="14"/>
  <c r="G41" i="14"/>
  <c r="I41" i="14"/>
  <c r="G50" i="14"/>
  <c r="H50" i="14" s="1"/>
  <c r="J50" i="14"/>
  <c r="I51" i="14"/>
  <c r="G51" i="14"/>
  <c r="H51" i="14" s="1"/>
  <c r="AJ22" i="8"/>
  <c r="W53" i="8"/>
  <c r="W22" i="8"/>
  <c r="AJ53" i="8"/>
  <c r="G26" i="14" l="1"/>
  <c r="H26" i="14" s="1"/>
  <c r="J26" i="14"/>
  <c r="I26" i="14"/>
  <c r="J15" i="14"/>
  <c r="G15" i="14"/>
  <c r="H15" i="14" s="1"/>
  <c r="I15" i="14"/>
  <c r="J52" i="14"/>
  <c r="I52" i="14"/>
  <c r="G52" i="14"/>
  <c r="H52" i="14" s="1"/>
  <c r="J56" i="14"/>
  <c r="I56" i="14"/>
  <c r="G56" i="14"/>
  <c r="H56" i="14" s="1"/>
  <c r="J48" i="14"/>
  <c r="G48" i="14"/>
  <c r="H48" i="14" s="1"/>
  <c r="I48" i="14"/>
  <c r="J43" i="14"/>
  <c r="I43" i="14"/>
  <c r="G43" i="14"/>
  <c r="H43" i="14" s="1"/>
  <c r="G53" i="14"/>
  <c r="H53" i="14" s="1"/>
  <c r="J53" i="14"/>
  <c r="I53" i="14"/>
  <c r="H28" i="14"/>
  <c r="G29" i="14"/>
  <c r="H29" i="14" s="1"/>
  <c r="J22" i="14"/>
  <c r="I22" i="14"/>
  <c r="G22" i="14"/>
  <c r="H22" i="14" s="1"/>
  <c r="G16" i="14"/>
  <c r="H16" i="14" s="1"/>
  <c r="I16" i="14"/>
  <c r="J16" i="14"/>
  <c r="I14" i="14"/>
  <c r="J14" i="14"/>
  <c r="G14" i="14"/>
  <c r="H14" i="14" s="1"/>
  <c r="G47" i="14"/>
  <c r="H47" i="14" s="1"/>
  <c r="J47" i="14"/>
  <c r="I47" i="14"/>
  <c r="H41" i="14"/>
  <c r="I17" i="14"/>
  <c r="G17" i="14"/>
  <c r="H17" i="14" s="1"/>
  <c r="J17" i="14"/>
  <c r="G21" i="14"/>
  <c r="H21" i="14" s="1"/>
  <c r="J21" i="14"/>
  <c r="I21" i="14"/>
  <c r="G23" i="14"/>
  <c r="H23" i="14" s="1"/>
  <c r="J23" i="14"/>
  <c r="I23" i="14"/>
  <c r="G18" i="14"/>
  <c r="H18" i="14" s="1"/>
  <c r="J18" i="14"/>
  <c r="I18" i="14"/>
  <c r="I44" i="14" l="1"/>
  <c r="G44" i="14"/>
  <c r="H44" i="14" s="1"/>
  <c r="J44" i="14"/>
  <c r="G42" i="14"/>
  <c r="I42" i="14"/>
  <c r="I40" i="14" s="1"/>
  <c r="I55" i="14" s="1"/>
  <c r="I57" i="14" s="1"/>
  <c r="J42" i="14"/>
  <c r="E40" i="14"/>
  <c r="G13" i="14"/>
  <c r="I13" i="14"/>
  <c r="I12" i="14" s="1"/>
  <c r="I27" i="14" s="1"/>
  <c r="J13" i="14"/>
  <c r="E12" i="14"/>
  <c r="I49" i="14"/>
  <c r="G49" i="14"/>
  <c r="H49" i="14" s="1"/>
  <c r="J49" i="14"/>
  <c r="J12" i="14" l="1"/>
  <c r="E27" i="14"/>
  <c r="J27" i="14" s="1"/>
  <c r="J40" i="14"/>
  <c r="E55" i="14"/>
  <c r="E57" i="14" s="1"/>
  <c r="H42" i="14"/>
  <c r="G40" i="14"/>
  <c r="H13" i="14"/>
  <c r="G12" i="14"/>
  <c r="DF8" i="9"/>
  <c r="DF9" i="9"/>
  <c r="DF10" i="9"/>
  <c r="DF11" i="9"/>
  <c r="DF12" i="9"/>
  <c r="DF13" i="9"/>
  <c r="DF14" i="9"/>
  <c r="DF15" i="9"/>
  <c r="DF16" i="9"/>
  <c r="DF17" i="9"/>
  <c r="DF18" i="9"/>
  <c r="DF19" i="9"/>
  <c r="DF20" i="9"/>
  <c r="DF21" i="9"/>
  <c r="DF22" i="9"/>
  <c r="DF23" i="9"/>
  <c r="DF24" i="9"/>
  <c r="DF25" i="9"/>
  <c r="DF26" i="9"/>
  <c r="DF27" i="9"/>
  <c r="DF28" i="9"/>
  <c r="DF29" i="9"/>
  <c r="DF30" i="9"/>
  <c r="DF31" i="9"/>
  <c r="DF32" i="9"/>
  <c r="DF33" i="9"/>
  <c r="DF34" i="9"/>
  <c r="DF35" i="9"/>
  <c r="DF36" i="9"/>
  <c r="DF37" i="9"/>
  <c r="DF38" i="9"/>
  <c r="DF39" i="9"/>
  <c r="DF40" i="9"/>
  <c r="DF41" i="9"/>
  <c r="DF42" i="9"/>
  <c r="DF43" i="9"/>
  <c r="DF44" i="9"/>
  <c r="DF45" i="9"/>
  <c r="DF46" i="9"/>
  <c r="DF47" i="9"/>
  <c r="DF48" i="9"/>
  <c r="DF49" i="9"/>
  <c r="DF50" i="9"/>
  <c r="DF51" i="9"/>
  <c r="DF52" i="9"/>
  <c r="DF53" i="9"/>
  <c r="DF54" i="9"/>
  <c r="DF55" i="9"/>
  <c r="DF56" i="9"/>
  <c r="DF57" i="9"/>
  <c r="DF58" i="9"/>
  <c r="DF59" i="9"/>
  <c r="DF60" i="9"/>
  <c r="DF61" i="9"/>
  <c r="DF62" i="9"/>
  <c r="DF63" i="9"/>
  <c r="DF64" i="9"/>
  <c r="DF65" i="9"/>
  <c r="DF66" i="9"/>
  <c r="DF67" i="9"/>
  <c r="DF68" i="9"/>
  <c r="DF69" i="9"/>
  <c r="DF70" i="9"/>
  <c r="DF71" i="9"/>
  <c r="DF72" i="9"/>
  <c r="DF73" i="9"/>
  <c r="DF74" i="9"/>
  <c r="DF75" i="9"/>
  <c r="DF76" i="9"/>
  <c r="DF77" i="9"/>
  <c r="DF78" i="9"/>
  <c r="DF79" i="9"/>
  <c r="DF80" i="9"/>
  <c r="DF81" i="9"/>
  <c r="DF82" i="9"/>
  <c r="DF83" i="9"/>
  <c r="DF84" i="9"/>
  <c r="DF85" i="9"/>
  <c r="DF86" i="9"/>
  <c r="DF87" i="9"/>
  <c r="DF88" i="9"/>
  <c r="DF89" i="9"/>
  <c r="DF90" i="9"/>
  <c r="DF91" i="9"/>
  <c r="DF92" i="9"/>
  <c r="DF93" i="9"/>
  <c r="DF94" i="9"/>
  <c r="DF95" i="9"/>
  <c r="DF96" i="9"/>
  <c r="DF97" i="9"/>
  <c r="DF98" i="9"/>
  <c r="DF99" i="9"/>
  <c r="DF100" i="9"/>
  <c r="DF101" i="9"/>
  <c r="DF102" i="9"/>
  <c r="DF103" i="9"/>
  <c r="DF104" i="9"/>
  <c r="DF105" i="9"/>
  <c r="DF106" i="9"/>
  <c r="DF107" i="9"/>
  <c r="DF108" i="9"/>
  <c r="DF109" i="9"/>
  <c r="DF110" i="9"/>
  <c r="DF111" i="9"/>
  <c r="DF112" i="9"/>
  <c r="DF113" i="9"/>
  <c r="DF114" i="9"/>
  <c r="DF115" i="9"/>
  <c r="DF116" i="9"/>
  <c r="DF117" i="9"/>
  <c r="DF118" i="9"/>
  <c r="DF119" i="9"/>
  <c r="DF120" i="9"/>
  <c r="DF121" i="9"/>
  <c r="DF122" i="9"/>
  <c r="DF123" i="9"/>
  <c r="DF124" i="9"/>
  <c r="DF125" i="9"/>
  <c r="DF126" i="9"/>
  <c r="DF127" i="9"/>
  <c r="DF128" i="9"/>
  <c r="DF129" i="9"/>
  <c r="DF130" i="9"/>
  <c r="DF131" i="9"/>
  <c r="DF132" i="9"/>
  <c r="DF133" i="9"/>
  <c r="DF134" i="9"/>
  <c r="DF135" i="9"/>
  <c r="DF136" i="9"/>
  <c r="DF137" i="9"/>
  <c r="DF138" i="9"/>
  <c r="DF139" i="9"/>
  <c r="DF140" i="9"/>
  <c r="DF141" i="9"/>
  <c r="DF142" i="9"/>
  <c r="DF143" i="9"/>
  <c r="DF144" i="9"/>
  <c r="DF145" i="9"/>
  <c r="DF146" i="9"/>
  <c r="DF147" i="9"/>
  <c r="DF148" i="9"/>
  <c r="DF149" i="9"/>
  <c r="DF150" i="9"/>
  <c r="DF151" i="9"/>
  <c r="DF152" i="9"/>
  <c r="DF153" i="9"/>
  <c r="DF154" i="9"/>
  <c r="DF155" i="9"/>
  <c r="DF156" i="9"/>
  <c r="DF157" i="9"/>
  <c r="DF158" i="9"/>
  <c r="DF159" i="9"/>
  <c r="DF160" i="9"/>
  <c r="DF161" i="9"/>
  <c r="DF162" i="9"/>
  <c r="DF163" i="9"/>
  <c r="DF164" i="9"/>
  <c r="DF165" i="9"/>
  <c r="DF166" i="9"/>
  <c r="DF167" i="9"/>
  <c r="DF168" i="9"/>
  <c r="DF169" i="9"/>
  <c r="DF170" i="9"/>
  <c r="DF171" i="9"/>
  <c r="DF172" i="9"/>
  <c r="DF173" i="9"/>
  <c r="DF174" i="9"/>
  <c r="DF175" i="9"/>
  <c r="DF176" i="9"/>
  <c r="DF177" i="9"/>
  <c r="DF178" i="9"/>
  <c r="DF179" i="9"/>
  <c r="DF180" i="9"/>
  <c r="DF181" i="9"/>
  <c r="DF182" i="9"/>
  <c r="DF183" i="9"/>
  <c r="DF184" i="9"/>
  <c r="DF185" i="9"/>
  <c r="DF186" i="9"/>
  <c r="DF187" i="9"/>
  <c r="DF188" i="9"/>
  <c r="DF189" i="9"/>
  <c r="DF190" i="9"/>
  <c r="DF191" i="9"/>
  <c r="DF192" i="9"/>
  <c r="DF193" i="9"/>
  <c r="DF194" i="9"/>
  <c r="DF195" i="9"/>
  <c r="DF196" i="9"/>
  <c r="DF197" i="9"/>
  <c r="DF198" i="9"/>
  <c r="DF7" i="9"/>
  <c r="V21" i="8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7" i="9"/>
  <c r="AA52" i="8"/>
  <c r="J57" i="14" l="1"/>
  <c r="J55" i="14"/>
  <c r="G27" i="14"/>
  <c r="H27" i="14" s="1"/>
  <c r="H12" i="14"/>
  <c r="G55" i="14"/>
  <c r="H40" i="14"/>
  <c r="H55" i="14" l="1"/>
  <c r="G57" i="14"/>
  <c r="H57" i="14" s="1"/>
  <c r="O70" i="8" l="1"/>
  <c r="O67" i="8" l="1"/>
  <c r="O68" i="8"/>
  <c r="O69" i="8"/>
  <c r="O66" i="8"/>
  <c r="F67" i="8"/>
  <c r="F68" i="8"/>
  <c r="F66" i="8"/>
  <c r="F34" i="8"/>
  <c r="D16" i="5" s="1"/>
  <c r="F35" i="8"/>
  <c r="F36" i="8"/>
  <c r="D17" i="5" s="1"/>
  <c r="F37" i="8"/>
  <c r="F33" i="8"/>
  <c r="D23" i="5" s="1"/>
  <c r="O36" i="8"/>
  <c r="O35" i="8"/>
  <c r="O34" i="8"/>
  <c r="O33" i="8"/>
  <c r="F90" i="8" l="1"/>
  <c r="F80" i="8"/>
  <c r="AL13" i="8" l="1"/>
  <c r="AF305" i="12" l="1"/>
  <c r="AE305" i="12"/>
  <c r="AD305" i="12"/>
  <c r="AC305" i="12"/>
  <c r="AB305" i="12"/>
  <c r="AA305" i="12"/>
  <c r="Z305" i="12"/>
  <c r="Y305" i="12"/>
  <c r="X305" i="12"/>
  <c r="W305" i="12"/>
  <c r="V305" i="12"/>
  <c r="U305" i="12"/>
  <c r="J30" i="8"/>
  <c r="AA59" i="8" l="1"/>
  <c r="AN59" i="8" s="1"/>
  <c r="AA57" i="8"/>
  <c r="AA56" i="8"/>
  <c r="AA55" i="8"/>
  <c r="AN55" i="8" s="1"/>
  <c r="AA54" i="8"/>
  <c r="AN54" i="8" s="1"/>
  <c r="AA53" i="8"/>
  <c r="AN53" i="8" s="1"/>
  <c r="AA51" i="8"/>
  <c r="AN51" i="8" s="1"/>
  <c r="AA49" i="8"/>
  <c r="AN49" i="8" s="1"/>
  <c r="AA45" i="8"/>
  <c r="AN45" i="8" s="1"/>
  <c r="W43" i="8"/>
  <c r="W58" i="8" s="1"/>
  <c r="W60" i="8" s="1"/>
  <c r="V43" i="8"/>
  <c r="V58" i="8" s="1"/>
  <c r="V60" i="8" s="1"/>
  <c r="AE42" i="8"/>
  <c r="AD42" i="8"/>
  <c r="AC42" i="8"/>
  <c r="AB42" i="8"/>
  <c r="AA42" i="8"/>
  <c r="Z42" i="8"/>
  <c r="Y42" i="8"/>
  <c r="X42" i="8"/>
  <c r="W42" i="8"/>
  <c r="V42" i="8"/>
  <c r="U39" i="8"/>
  <c r="Z33" i="8"/>
  <c r="Z29" i="8"/>
  <c r="Y29" i="8"/>
  <c r="X29" i="8"/>
  <c r="W29" i="8"/>
  <c r="V29" i="8"/>
  <c r="AA28" i="8"/>
  <c r="AN28" i="8" s="1"/>
  <c r="AN29" i="8" s="1"/>
  <c r="AA26" i="8"/>
  <c r="AN26" i="8" s="1"/>
  <c r="AA25" i="8"/>
  <c r="AN25" i="8" s="1"/>
  <c r="AA24" i="8"/>
  <c r="AN24" i="8" s="1"/>
  <c r="AA23" i="8"/>
  <c r="AN23" i="8" s="1"/>
  <c r="AA22" i="8"/>
  <c r="AN22" i="8" s="1"/>
  <c r="AA21" i="8"/>
  <c r="AN21" i="8" s="1"/>
  <c r="AA20" i="8"/>
  <c r="AN20" i="8" s="1"/>
  <c r="AA19" i="8"/>
  <c r="AN19" i="8" s="1"/>
  <c r="AA18" i="8"/>
  <c r="AN18" i="8" s="1"/>
  <c r="AA17" i="8"/>
  <c r="AN17" i="8" s="1"/>
  <c r="AA16" i="8"/>
  <c r="AN16" i="8" s="1"/>
  <c r="AA15" i="8"/>
  <c r="AN15" i="8" s="1"/>
  <c r="AA14" i="8"/>
  <c r="AN14" i="8" s="1"/>
  <c r="AA13" i="8"/>
  <c r="AN13" i="8" s="1"/>
  <c r="Z12" i="8"/>
  <c r="Z27" i="8" s="1"/>
  <c r="Y12" i="8"/>
  <c r="Y27" i="8" s="1"/>
  <c r="X12" i="8"/>
  <c r="X27" i="8" s="1"/>
  <c r="W12" i="8"/>
  <c r="W27" i="8" s="1"/>
  <c r="V12" i="8"/>
  <c r="V27" i="8" s="1"/>
  <c r="AI52" i="8"/>
  <c r="AI44" i="8"/>
  <c r="AK43" i="8"/>
  <c r="AK58" i="8" s="1"/>
  <c r="AJ43" i="8"/>
  <c r="AJ58" i="8" s="1"/>
  <c r="AJ60" i="8" s="1"/>
  <c r="AS42" i="8"/>
  <c r="AR42" i="8"/>
  <c r="AQ42" i="8"/>
  <c r="AP42" i="8"/>
  <c r="AO42" i="8"/>
  <c r="AN42" i="8"/>
  <c r="AM42" i="8"/>
  <c r="AL42" i="8"/>
  <c r="AK42" i="8"/>
  <c r="AJ42" i="8"/>
  <c r="AI42" i="8"/>
  <c r="AH39" i="8"/>
  <c r="AK29" i="8"/>
  <c r="AJ29" i="8"/>
  <c r="AI29" i="8"/>
  <c r="AI21" i="8"/>
  <c r="AI12" i="8" s="1"/>
  <c r="AI27" i="8" s="1"/>
  <c r="AI13" i="8"/>
  <c r="AJ12" i="8"/>
  <c r="AJ27" i="8" s="1"/>
  <c r="AI43" i="8" l="1"/>
  <c r="AI58" i="8" s="1"/>
  <c r="AI60" i="8" s="1"/>
  <c r="AB56" i="8"/>
  <c r="AC56" i="8" s="1"/>
  <c r="AN56" i="8"/>
  <c r="AO56" i="8" s="1"/>
  <c r="AP56" i="8" s="1"/>
  <c r="AQ56" i="8" s="1"/>
  <c r="AN12" i="8"/>
  <c r="AN27" i="8" s="1"/>
  <c r="AE56" i="8"/>
  <c r="AD56" i="8"/>
  <c r="AE25" i="8"/>
  <c r="AO25" i="8"/>
  <c r="AP25" i="8" s="1"/>
  <c r="AQ25" i="8" s="1"/>
  <c r="AE26" i="8"/>
  <c r="AD23" i="8"/>
  <c r="AD20" i="8"/>
  <c r="AB57" i="8"/>
  <c r="AC57" i="8" s="1"/>
  <c r="AO57" i="8"/>
  <c r="AR57" i="8" s="1"/>
  <c r="AB14" i="8"/>
  <c r="AC14" i="8" s="1"/>
  <c r="AO49" i="8"/>
  <c r="N49" i="8" s="1"/>
  <c r="AE18" i="8"/>
  <c r="AO18" i="8"/>
  <c r="AO55" i="8"/>
  <c r="N55" i="8" s="1"/>
  <c r="AE28" i="8"/>
  <c r="AM29" i="8"/>
  <c r="AE24" i="8"/>
  <c r="AO24" i="8"/>
  <c r="AE22" i="8"/>
  <c r="AB21" i="8"/>
  <c r="AC21" i="8" s="1"/>
  <c r="AO21" i="8"/>
  <c r="AR21" i="8" s="1"/>
  <c r="AE19" i="8"/>
  <c r="AE17" i="8"/>
  <c r="AO17" i="8"/>
  <c r="N17" i="8" s="1"/>
  <c r="AD16" i="8"/>
  <c r="AO16" i="8"/>
  <c r="AE15" i="8"/>
  <c r="AE13" i="8"/>
  <c r="AE57" i="8"/>
  <c r="AB54" i="8"/>
  <c r="AC54" i="8" s="1"/>
  <c r="AO54" i="8"/>
  <c r="AR54" i="8" s="1"/>
  <c r="AE53" i="8"/>
  <c r="AD59" i="8"/>
  <c r="AO59" i="8"/>
  <c r="AE51" i="8"/>
  <c r="AE45" i="8"/>
  <c r="AB45" i="8"/>
  <c r="AC45" i="8" s="1"/>
  <c r="AB51" i="8"/>
  <c r="AC51" i="8" s="1"/>
  <c r="AD54" i="8"/>
  <c r="AA29" i="8"/>
  <c r="AE29" i="8" s="1"/>
  <c r="AD18" i="8"/>
  <c r="AD15" i="8"/>
  <c r="AB15" i="8"/>
  <c r="AC15" i="8" s="1"/>
  <c r="AA27" i="8"/>
  <c r="AE27" i="8" s="1"/>
  <c r="AB28" i="8"/>
  <c r="AL29" i="8"/>
  <c r="AD28" i="8"/>
  <c r="AD29" i="8" s="1"/>
  <c r="AB25" i="8"/>
  <c r="AC25" i="8" s="1"/>
  <c r="AB26" i="8"/>
  <c r="AC26" i="8" s="1"/>
  <c r="AB22" i="8"/>
  <c r="AC22" i="8" s="1"/>
  <c r="AD24" i="8"/>
  <c r="AO22" i="8"/>
  <c r="AD25" i="8"/>
  <c r="AB17" i="8"/>
  <c r="AC17" i="8" s="1"/>
  <c r="AB20" i="8"/>
  <c r="AC20" i="8" s="1"/>
  <c r="AD14" i="8"/>
  <c r="AD17" i="8"/>
  <c r="AB19" i="8"/>
  <c r="AC19" i="8" s="1"/>
  <c r="AB16" i="8"/>
  <c r="AC16" i="8" s="1"/>
  <c r="AD19" i="8"/>
  <c r="AD13" i="8"/>
  <c r="AB13" i="8"/>
  <c r="AC13" i="8" s="1"/>
  <c r="AO23" i="8"/>
  <c r="AS23" i="8" s="1"/>
  <c r="AB23" i="8"/>
  <c r="AC23" i="8" s="1"/>
  <c r="AE14" i="8"/>
  <c r="AE16" i="8"/>
  <c r="AE20" i="8"/>
  <c r="AD21" i="8"/>
  <c r="AE23" i="8"/>
  <c r="AB49" i="8"/>
  <c r="AC49" i="8" s="1"/>
  <c r="AE49" i="8"/>
  <c r="AD49" i="8"/>
  <c r="AB55" i="8"/>
  <c r="AC55" i="8" s="1"/>
  <c r="AE55" i="8"/>
  <c r="X43" i="8"/>
  <c r="X58" i="8" s="1"/>
  <c r="AD53" i="8"/>
  <c r="AB53" i="8"/>
  <c r="AC53" i="8" s="1"/>
  <c r="AB59" i="8"/>
  <c r="AC59" i="8" s="1"/>
  <c r="AE59" i="8"/>
  <c r="AA12" i="8"/>
  <c r="AE12" i="8" s="1"/>
  <c r="AB18" i="8"/>
  <c r="AE21" i="8"/>
  <c r="AB24" i="8"/>
  <c r="AC24" i="8" s="1"/>
  <c r="AA44" i="8"/>
  <c r="AN44" i="8" s="1"/>
  <c r="AD55" i="8"/>
  <c r="AE54" i="8"/>
  <c r="AL26" i="8"/>
  <c r="AD22" i="8"/>
  <c r="AD26" i="8"/>
  <c r="AD45" i="8"/>
  <c r="AD51" i="8"/>
  <c r="AD57" i="8"/>
  <c r="AK60" i="8"/>
  <c r="G1" i="9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I1" i="9" s="1"/>
  <c r="CJ1" i="9" s="1"/>
  <c r="CK1" i="9" s="1"/>
  <c r="CL1" i="9" s="1"/>
  <c r="CM1" i="9" s="1"/>
  <c r="CN1" i="9" s="1"/>
  <c r="CO1" i="9" s="1"/>
  <c r="CP1" i="9" s="1"/>
  <c r="CQ1" i="9" s="1"/>
  <c r="CR1" i="9" s="1"/>
  <c r="CS1" i="9" s="1"/>
  <c r="CT1" i="9" s="1"/>
  <c r="CU1" i="9" s="1"/>
  <c r="CV1" i="9" s="1"/>
  <c r="CW1" i="9" s="1"/>
  <c r="CX1" i="9" s="1"/>
  <c r="CY1" i="9" s="1"/>
  <c r="CZ1" i="9" s="1"/>
  <c r="DA1" i="9" s="1"/>
  <c r="DB1" i="9" s="1"/>
  <c r="DC1" i="9" s="1"/>
  <c r="DD1" i="9" s="1"/>
  <c r="DE1" i="9" s="1"/>
  <c r="DF1" i="9" s="1"/>
  <c r="DG1" i="9" s="1"/>
  <c r="DH1" i="9" s="1"/>
  <c r="DI1" i="9" s="1"/>
  <c r="DJ1" i="9" s="1"/>
  <c r="DK1" i="9" s="1"/>
  <c r="DL1" i="9" s="1"/>
  <c r="DM1" i="9" s="1"/>
  <c r="DN1" i="9" s="1"/>
  <c r="DO1" i="9" s="1"/>
  <c r="DP1" i="9" s="1"/>
  <c r="DQ1" i="9" s="1"/>
  <c r="DR1" i="9" s="1"/>
  <c r="DS1" i="9" s="1"/>
  <c r="DT1" i="9" s="1"/>
  <c r="DU1" i="9" s="1"/>
  <c r="DV1" i="9" s="1"/>
  <c r="DW1" i="9" s="1"/>
  <c r="DX1" i="9" s="1"/>
  <c r="DY1" i="9" s="1"/>
  <c r="DZ1" i="9" s="1"/>
  <c r="EA1" i="9" s="1"/>
  <c r="EB1" i="9" s="1"/>
  <c r="EC1" i="9" s="1"/>
  <c r="ED1" i="9" s="1"/>
  <c r="EE1" i="9" s="1"/>
  <c r="EF1" i="9" s="1"/>
  <c r="EG1" i="9" s="1"/>
  <c r="EH1" i="9" s="1"/>
  <c r="EI1" i="9" s="1"/>
  <c r="EJ1" i="9" s="1"/>
  <c r="EK1" i="9" s="1"/>
  <c r="EL1" i="9" s="1"/>
  <c r="EM1" i="9" s="1"/>
  <c r="EN1" i="9" s="1"/>
  <c r="EO1" i="9" s="1"/>
  <c r="EP1" i="9" s="1"/>
  <c r="EQ1" i="9" s="1"/>
  <c r="ER1" i="9" s="1"/>
  <c r="ES1" i="9" s="1"/>
  <c r="F1" i="9"/>
  <c r="E1" i="9"/>
  <c r="AR18" i="8" l="1"/>
  <c r="N18" i="8"/>
  <c r="AR22" i="8"/>
  <c r="N22" i="8"/>
  <c r="AR59" i="8"/>
  <c r="N57" i="8"/>
  <c r="AR16" i="8"/>
  <c r="N16" i="8"/>
  <c r="AR24" i="8"/>
  <c r="N24" i="8"/>
  <c r="AR56" i="8"/>
  <c r="AS56" i="8"/>
  <c r="AR25" i="8"/>
  <c r="AS25" i="8"/>
  <c r="AP49" i="8"/>
  <c r="AQ49" i="8" s="1"/>
  <c r="AS49" i="8"/>
  <c r="AR49" i="8"/>
  <c r="AS55" i="8"/>
  <c r="AP55" i="8"/>
  <c r="AQ55" i="8" s="1"/>
  <c r="AR55" i="8"/>
  <c r="AO29" i="8"/>
  <c r="AS29" i="8" s="1"/>
  <c r="AP17" i="8"/>
  <c r="AQ17" i="8" s="1"/>
  <c r="AS17" i="8"/>
  <c r="AR17" i="8"/>
  <c r="AM12" i="8"/>
  <c r="AM27" i="8" s="1"/>
  <c r="AO26" i="8"/>
  <c r="AR26" i="8" s="1"/>
  <c r="AO45" i="8"/>
  <c r="AO53" i="8"/>
  <c r="AP57" i="8"/>
  <c r="AQ57" i="8" s="1"/>
  <c r="AS57" i="8"/>
  <c r="AP54" i="8"/>
  <c r="AQ54" i="8" s="1"/>
  <c r="AS54" i="8"/>
  <c r="AO51" i="8"/>
  <c r="AP59" i="8"/>
  <c r="AQ59" i="8" s="1"/>
  <c r="AS59" i="8"/>
  <c r="AS16" i="8"/>
  <c r="AO28" i="8"/>
  <c r="AO44" i="8"/>
  <c r="N44" i="8" s="1"/>
  <c r="AS18" i="8"/>
  <c r="AP16" i="8"/>
  <c r="AQ16" i="8" s="1"/>
  <c r="AP23" i="8"/>
  <c r="AQ23" i="8" s="1"/>
  <c r="AR23" i="8"/>
  <c r="AS21" i="8"/>
  <c r="AP21" i="8"/>
  <c r="AQ21" i="8" s="1"/>
  <c r="AS24" i="8"/>
  <c r="AB29" i="8"/>
  <c r="AC29" i="8" s="1"/>
  <c r="AC28" i="8"/>
  <c r="AS22" i="8"/>
  <c r="AP22" i="8"/>
  <c r="AQ22" i="8" s="1"/>
  <c r="AD12" i="8"/>
  <c r="AD27" i="8" s="1"/>
  <c r="AA50" i="8"/>
  <c r="AN50" i="8" s="1"/>
  <c r="AA46" i="8"/>
  <c r="AN46" i="8" s="1"/>
  <c r="Z43" i="8"/>
  <c r="Z58" i="8" s="1"/>
  <c r="Z60" i="8" s="1"/>
  <c r="AB44" i="8"/>
  <c r="AE44" i="8"/>
  <c r="AD44" i="8"/>
  <c r="X60" i="8"/>
  <c r="AL12" i="8"/>
  <c r="AL27" i="8" s="1"/>
  <c r="AC18" i="8"/>
  <c r="AB12" i="8"/>
  <c r="AA47" i="8"/>
  <c r="AN47" i="8" s="1"/>
  <c r="AA48" i="8"/>
  <c r="AN48" i="8" s="1"/>
  <c r="AP24" i="8"/>
  <c r="AQ24" i="8" s="1"/>
  <c r="AP18" i="8"/>
  <c r="AQ18" i="8" s="1"/>
  <c r="Y43" i="8"/>
  <c r="Y58" i="8" s="1"/>
  <c r="Y60" i="8" s="1"/>
  <c r="G1" i="12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AZ1" i="12" s="1"/>
  <c r="BA1" i="12" s="1"/>
  <c r="BB1" i="12" s="1"/>
  <c r="BC1" i="12" s="1"/>
  <c r="BD1" i="12" s="1"/>
  <c r="BE1" i="12" s="1"/>
  <c r="F1" i="12"/>
  <c r="E1" i="12"/>
  <c r="AS53" i="8" l="1"/>
  <c r="N53" i="8"/>
  <c r="AP45" i="8"/>
  <c r="AQ45" i="8" s="1"/>
  <c r="N45" i="8"/>
  <c r="AP28" i="8"/>
  <c r="AQ28" i="8" s="1"/>
  <c r="N28" i="8"/>
  <c r="AR51" i="8"/>
  <c r="N51" i="8"/>
  <c r="AN43" i="8"/>
  <c r="AN58" i="8" s="1"/>
  <c r="AN60" i="8" s="1"/>
  <c r="AS26" i="8"/>
  <c r="AP26" i="8"/>
  <c r="AQ26" i="8" s="1"/>
  <c r="AO52" i="8"/>
  <c r="AO50" i="8"/>
  <c r="N50" i="8" s="1"/>
  <c r="AO48" i="8"/>
  <c r="N48" i="8" s="1"/>
  <c r="AP51" i="8"/>
  <c r="AQ51" i="8" s="1"/>
  <c r="AS51" i="8"/>
  <c r="AR45" i="8"/>
  <c r="AR53" i="8"/>
  <c r="AS45" i="8"/>
  <c r="AP53" i="8"/>
  <c r="AQ53" i="8" s="1"/>
  <c r="AR28" i="8"/>
  <c r="AR29" i="8" s="1"/>
  <c r="AS28" i="8"/>
  <c r="AB46" i="8"/>
  <c r="AC46" i="8" s="1"/>
  <c r="AS44" i="8"/>
  <c r="AP44" i="8"/>
  <c r="AR44" i="8"/>
  <c r="AD46" i="8"/>
  <c r="AE46" i="8"/>
  <c r="AB50" i="8"/>
  <c r="AC50" i="8" s="1"/>
  <c r="AE50" i="8"/>
  <c r="AD50" i="8"/>
  <c r="AE52" i="8"/>
  <c r="AD52" i="8"/>
  <c r="AB52" i="8"/>
  <c r="AC52" i="8" s="1"/>
  <c r="AA43" i="8"/>
  <c r="AE43" i="8" s="1"/>
  <c r="AE48" i="8"/>
  <c r="AD48" i="8"/>
  <c r="AB48" i="8"/>
  <c r="AC48" i="8" s="1"/>
  <c r="AE47" i="8"/>
  <c r="AD47" i="8"/>
  <c r="AB47" i="8"/>
  <c r="AC47" i="8" s="1"/>
  <c r="AB27" i="8"/>
  <c r="AC27" i="8" s="1"/>
  <c r="AC12" i="8"/>
  <c r="AA58" i="8"/>
  <c r="AC44" i="8"/>
  <c r="AP29" i="8"/>
  <c r="AQ29" i="8" s="1"/>
  <c r="AR50" i="8" l="1"/>
  <c r="AP50" i="8"/>
  <c r="AQ50" i="8" s="1"/>
  <c r="AS50" i="8"/>
  <c r="AM43" i="8"/>
  <c r="AM58" i="8" s="1"/>
  <c r="AM60" i="8" s="1"/>
  <c r="AR52" i="8"/>
  <c r="AP52" i="8"/>
  <c r="AQ52" i="8" s="1"/>
  <c r="AS52" i="8"/>
  <c r="AR48" i="8"/>
  <c r="AS48" i="8"/>
  <c r="AP48" i="8"/>
  <c r="AQ48" i="8" s="1"/>
  <c r="AO47" i="8"/>
  <c r="N47" i="8" s="1"/>
  <c r="AO46" i="8"/>
  <c r="N46" i="8" s="1"/>
  <c r="N52" i="8" s="1"/>
  <c r="AL43" i="8"/>
  <c r="AL58" i="8" s="1"/>
  <c r="AQ44" i="8"/>
  <c r="AD43" i="8"/>
  <c r="AD58" i="8" s="1"/>
  <c r="AD60" i="8" s="1"/>
  <c r="AB43" i="8"/>
  <c r="AA60" i="8"/>
  <c r="AE60" i="8" s="1"/>
  <c r="AE58" i="8"/>
  <c r="AP47" i="8" l="1"/>
  <c r="AQ47" i="8" s="1"/>
  <c r="AS47" i="8"/>
  <c r="AR47" i="8"/>
  <c r="AL60" i="8"/>
  <c r="AO58" i="8"/>
  <c r="AS46" i="8"/>
  <c r="AP46" i="8"/>
  <c r="AR46" i="8"/>
  <c r="AO43" i="8"/>
  <c r="AS43" i="8" s="1"/>
  <c r="AB58" i="8"/>
  <c r="AC43" i="8"/>
  <c r="AR43" i="8" l="1"/>
  <c r="AR58" i="8" s="1"/>
  <c r="AR60" i="8" s="1"/>
  <c r="AQ46" i="8"/>
  <c r="AP43" i="8"/>
  <c r="AO60" i="8"/>
  <c r="AS60" i="8" s="1"/>
  <c r="AS58" i="8"/>
  <c r="AC58" i="8"/>
  <c r="AB60" i="8"/>
  <c r="AC60" i="8" s="1"/>
  <c r="AO337" i="12"/>
  <c r="AP337" i="12" s="1"/>
  <c r="AQ337" i="12" s="1"/>
  <c r="AR337" i="12" s="1"/>
  <c r="AS337" i="12" s="1"/>
  <c r="AT337" i="12" s="1"/>
  <c r="AU337" i="12" s="1"/>
  <c r="AV337" i="12" s="1"/>
  <c r="AW337" i="12" s="1"/>
  <c r="AX337" i="12" s="1"/>
  <c r="AY337" i="12" s="1"/>
  <c r="AO333" i="12"/>
  <c r="AP333" i="12" s="1"/>
  <c r="AQ333" i="12" s="1"/>
  <c r="AR333" i="12" s="1"/>
  <c r="AS333" i="12" s="1"/>
  <c r="AT333" i="12" s="1"/>
  <c r="AU333" i="12" s="1"/>
  <c r="AV333" i="12" s="1"/>
  <c r="AW333" i="12" s="1"/>
  <c r="AX333" i="12" s="1"/>
  <c r="AY333" i="12" s="1"/>
  <c r="V337" i="12"/>
  <c r="W337" i="12" s="1"/>
  <c r="X337" i="12" s="1"/>
  <c r="Y337" i="12" s="1"/>
  <c r="Z337" i="12" s="1"/>
  <c r="AA337" i="12" s="1"/>
  <c r="AB337" i="12" s="1"/>
  <c r="AC337" i="12" s="1"/>
  <c r="AD337" i="12" s="1"/>
  <c r="AE337" i="12" s="1"/>
  <c r="AF337" i="12" s="1"/>
  <c r="V333" i="12"/>
  <c r="W333" i="12" s="1"/>
  <c r="X333" i="12" s="1"/>
  <c r="Y333" i="12" s="1"/>
  <c r="Z333" i="12" s="1"/>
  <c r="AA333" i="12" s="1"/>
  <c r="AB333" i="12" s="1"/>
  <c r="AC333" i="12" s="1"/>
  <c r="AD333" i="12" s="1"/>
  <c r="AE333" i="12" s="1"/>
  <c r="AF333" i="12" s="1"/>
  <c r="V330" i="12"/>
  <c r="W330" i="12" s="1"/>
  <c r="X330" i="12" s="1"/>
  <c r="H259" i="9"/>
  <c r="I259" i="9" s="1"/>
  <c r="J259" i="9" s="1"/>
  <c r="K259" i="9" s="1"/>
  <c r="L259" i="9" s="1"/>
  <c r="M259" i="9" s="1"/>
  <c r="N259" i="9" s="1"/>
  <c r="O259" i="9" s="1"/>
  <c r="P259" i="9" s="1"/>
  <c r="Q259" i="9" s="1"/>
  <c r="R259" i="9" s="1"/>
  <c r="CH259" i="9"/>
  <c r="CI259" i="9" s="1"/>
  <c r="CJ259" i="9" s="1"/>
  <c r="CK259" i="9" s="1"/>
  <c r="CL259" i="9" s="1"/>
  <c r="CM259" i="9" s="1"/>
  <c r="CN259" i="9" s="1"/>
  <c r="CO259" i="9" s="1"/>
  <c r="CP259" i="9" s="1"/>
  <c r="CQ259" i="9" s="1"/>
  <c r="CR259" i="9" s="1"/>
  <c r="C26" i="8"/>
  <c r="C23" i="8"/>
  <c r="AP58" i="8" l="1"/>
  <c r="AQ43" i="8"/>
  <c r="Y330" i="12"/>
  <c r="Z330" i="12" s="1"/>
  <c r="AA330" i="12" s="1"/>
  <c r="AB330" i="12" s="1"/>
  <c r="AC330" i="12" s="1"/>
  <c r="AD330" i="12" s="1"/>
  <c r="AE330" i="12" s="1"/>
  <c r="AF330" i="12" s="1"/>
  <c r="CR241" i="9"/>
  <c r="CQ241" i="9"/>
  <c r="CP241" i="9"/>
  <c r="CO241" i="9"/>
  <c r="CN241" i="9"/>
  <c r="CM241" i="9"/>
  <c r="CL241" i="9"/>
  <c r="CK241" i="9"/>
  <c r="CJ241" i="9"/>
  <c r="CI241" i="9"/>
  <c r="CH241" i="9"/>
  <c r="CR239" i="9"/>
  <c r="CQ239" i="9"/>
  <c r="CP239" i="9"/>
  <c r="CO239" i="9"/>
  <c r="CN239" i="9"/>
  <c r="CM239" i="9"/>
  <c r="CL239" i="9"/>
  <c r="CK239" i="9"/>
  <c r="CJ239" i="9"/>
  <c r="CI239" i="9"/>
  <c r="CH239" i="9"/>
  <c r="CR238" i="9"/>
  <c r="CQ238" i="9"/>
  <c r="CP238" i="9"/>
  <c r="CO238" i="9"/>
  <c r="CN238" i="9"/>
  <c r="CM238" i="9"/>
  <c r="CL238" i="9"/>
  <c r="CK238" i="9"/>
  <c r="CJ238" i="9"/>
  <c r="CI238" i="9"/>
  <c r="CH238" i="9"/>
  <c r="CR236" i="9"/>
  <c r="CQ236" i="9"/>
  <c r="CP236" i="9"/>
  <c r="CO236" i="9"/>
  <c r="CN236" i="9"/>
  <c r="CM236" i="9"/>
  <c r="CL236" i="9"/>
  <c r="CK236" i="9"/>
  <c r="CJ236" i="9"/>
  <c r="CI236" i="9"/>
  <c r="CH236" i="9"/>
  <c r="CR233" i="9"/>
  <c r="CQ233" i="9"/>
  <c r="CP233" i="9"/>
  <c r="CO233" i="9"/>
  <c r="CN233" i="9"/>
  <c r="CM233" i="9"/>
  <c r="CL233" i="9"/>
  <c r="CK233" i="9"/>
  <c r="CJ233" i="9"/>
  <c r="CI233" i="9"/>
  <c r="CH233" i="9"/>
  <c r="CR232" i="9"/>
  <c r="CQ232" i="9"/>
  <c r="CP232" i="9"/>
  <c r="CO232" i="9"/>
  <c r="CN232" i="9"/>
  <c r="CM232" i="9"/>
  <c r="CL232" i="9"/>
  <c r="CK232" i="9"/>
  <c r="CJ232" i="9"/>
  <c r="CI232" i="9"/>
  <c r="CH232" i="9"/>
  <c r="CR231" i="9"/>
  <c r="CQ231" i="9"/>
  <c r="CP231" i="9"/>
  <c r="CO231" i="9"/>
  <c r="CN231" i="9"/>
  <c r="CM231" i="9"/>
  <c r="CL231" i="9"/>
  <c r="CK231" i="9"/>
  <c r="CJ231" i="9"/>
  <c r="CI231" i="9"/>
  <c r="CH231" i="9"/>
  <c r="CR230" i="9"/>
  <c r="CQ230" i="9"/>
  <c r="CP230" i="9"/>
  <c r="CO230" i="9"/>
  <c r="CN230" i="9"/>
  <c r="CM230" i="9"/>
  <c r="CL230" i="9"/>
  <c r="CK230" i="9"/>
  <c r="CJ230" i="9"/>
  <c r="CI230" i="9"/>
  <c r="CH230" i="9"/>
  <c r="CR229" i="9"/>
  <c r="CQ229" i="9"/>
  <c r="CP229" i="9"/>
  <c r="CO229" i="9"/>
  <c r="CN229" i="9"/>
  <c r="CM229" i="9"/>
  <c r="CL229" i="9"/>
  <c r="CK229" i="9"/>
  <c r="CJ229" i="9"/>
  <c r="CI229" i="9"/>
  <c r="CH229" i="9"/>
  <c r="CR228" i="9"/>
  <c r="CQ228" i="9"/>
  <c r="CP228" i="9"/>
  <c r="CO228" i="9"/>
  <c r="CN228" i="9"/>
  <c r="CM228" i="9"/>
  <c r="CL228" i="9"/>
  <c r="CK228" i="9"/>
  <c r="CJ228" i="9"/>
  <c r="CI228" i="9"/>
  <c r="CH228" i="9"/>
  <c r="CR227" i="9"/>
  <c r="CQ227" i="9"/>
  <c r="CP227" i="9"/>
  <c r="CO227" i="9"/>
  <c r="CN227" i="9"/>
  <c r="CM227" i="9"/>
  <c r="CL227" i="9"/>
  <c r="CK227" i="9"/>
  <c r="CJ227" i="9"/>
  <c r="CI227" i="9"/>
  <c r="CH227" i="9"/>
  <c r="CR226" i="9"/>
  <c r="CQ226" i="9"/>
  <c r="CP226" i="9"/>
  <c r="CO226" i="9"/>
  <c r="CN226" i="9"/>
  <c r="CM226" i="9"/>
  <c r="CL226" i="9"/>
  <c r="CK226" i="9"/>
  <c r="CJ226" i="9"/>
  <c r="CI226" i="9"/>
  <c r="CH226" i="9"/>
  <c r="CR225" i="9"/>
  <c r="CQ225" i="9"/>
  <c r="CP225" i="9"/>
  <c r="CO225" i="9"/>
  <c r="CN225" i="9"/>
  <c r="CM225" i="9"/>
  <c r="CL225" i="9"/>
  <c r="CK225" i="9"/>
  <c r="CJ225" i="9"/>
  <c r="CI225" i="9"/>
  <c r="CH225" i="9"/>
  <c r="CR224" i="9"/>
  <c r="CQ224" i="9"/>
  <c r="CP224" i="9"/>
  <c r="CO224" i="9"/>
  <c r="CN224" i="9"/>
  <c r="CM224" i="9"/>
  <c r="CL224" i="9"/>
  <c r="CK224" i="9"/>
  <c r="CJ224" i="9"/>
  <c r="CI224" i="9"/>
  <c r="CH224" i="9"/>
  <c r="CR223" i="9"/>
  <c r="CQ223" i="9"/>
  <c r="CP223" i="9"/>
  <c r="CO223" i="9"/>
  <c r="CN223" i="9"/>
  <c r="CM223" i="9"/>
  <c r="CL223" i="9"/>
  <c r="CK223" i="9"/>
  <c r="CJ223" i="9"/>
  <c r="CI223" i="9"/>
  <c r="CH223" i="9"/>
  <c r="CR222" i="9"/>
  <c r="CQ222" i="9"/>
  <c r="CP222" i="9"/>
  <c r="CO222" i="9"/>
  <c r="CN222" i="9"/>
  <c r="CM222" i="9"/>
  <c r="CL222" i="9"/>
  <c r="CK222" i="9"/>
  <c r="CJ222" i="9"/>
  <c r="CI222" i="9"/>
  <c r="CH222" i="9"/>
  <c r="CR221" i="9"/>
  <c r="CQ221" i="9"/>
  <c r="CP221" i="9"/>
  <c r="CO221" i="9"/>
  <c r="CN221" i="9"/>
  <c r="CM221" i="9"/>
  <c r="CL221" i="9"/>
  <c r="CK221" i="9"/>
  <c r="CJ221" i="9"/>
  <c r="CI221" i="9"/>
  <c r="CH221" i="9"/>
  <c r="CG241" i="9"/>
  <c r="CG239" i="9"/>
  <c r="CG238" i="9"/>
  <c r="CG236" i="9"/>
  <c r="CG233" i="9"/>
  <c r="CG232" i="9"/>
  <c r="CG231" i="9"/>
  <c r="CG230" i="9"/>
  <c r="CG229" i="9"/>
  <c r="CG228" i="9"/>
  <c r="CG227" i="9"/>
  <c r="CG226" i="9"/>
  <c r="CG225" i="9"/>
  <c r="CG224" i="9"/>
  <c r="CG223" i="9"/>
  <c r="CG222" i="9"/>
  <c r="CG221" i="9"/>
  <c r="R241" i="9"/>
  <c r="Q241" i="9"/>
  <c r="P241" i="9"/>
  <c r="O241" i="9"/>
  <c r="N241" i="9"/>
  <c r="M241" i="9"/>
  <c r="L241" i="9"/>
  <c r="K241" i="9"/>
  <c r="J241" i="9"/>
  <c r="I241" i="9"/>
  <c r="H241" i="9"/>
  <c r="R239" i="9"/>
  <c r="Q239" i="9"/>
  <c r="P239" i="9"/>
  <c r="O239" i="9"/>
  <c r="N239" i="9"/>
  <c r="M239" i="9"/>
  <c r="L239" i="9"/>
  <c r="K239" i="9"/>
  <c r="J239" i="9"/>
  <c r="I239" i="9"/>
  <c r="H239" i="9"/>
  <c r="R238" i="9"/>
  <c r="Q238" i="9"/>
  <c r="P238" i="9"/>
  <c r="O238" i="9"/>
  <c r="N238" i="9"/>
  <c r="M238" i="9"/>
  <c r="L238" i="9"/>
  <c r="K238" i="9"/>
  <c r="J238" i="9"/>
  <c r="I238" i="9"/>
  <c r="H238" i="9"/>
  <c r="R236" i="9"/>
  <c r="Q236" i="9"/>
  <c r="P236" i="9"/>
  <c r="O236" i="9"/>
  <c r="N236" i="9"/>
  <c r="M236" i="9"/>
  <c r="L236" i="9"/>
  <c r="K236" i="9"/>
  <c r="J236" i="9"/>
  <c r="I236" i="9"/>
  <c r="H236" i="9"/>
  <c r="R233" i="9"/>
  <c r="Q233" i="9"/>
  <c r="P233" i="9"/>
  <c r="O233" i="9"/>
  <c r="N233" i="9"/>
  <c r="M233" i="9"/>
  <c r="L233" i="9"/>
  <c r="K233" i="9"/>
  <c r="J233" i="9"/>
  <c r="I233" i="9"/>
  <c r="H233" i="9"/>
  <c r="R232" i="9"/>
  <c r="Q232" i="9"/>
  <c r="P232" i="9"/>
  <c r="O232" i="9"/>
  <c r="N232" i="9"/>
  <c r="M232" i="9"/>
  <c r="L232" i="9"/>
  <c r="K232" i="9"/>
  <c r="J232" i="9"/>
  <c r="I232" i="9"/>
  <c r="H232" i="9"/>
  <c r="R231" i="9"/>
  <c r="Q231" i="9"/>
  <c r="P231" i="9"/>
  <c r="O231" i="9"/>
  <c r="N231" i="9"/>
  <c r="M231" i="9"/>
  <c r="L231" i="9"/>
  <c r="K231" i="9"/>
  <c r="J231" i="9"/>
  <c r="I231" i="9"/>
  <c r="H231" i="9"/>
  <c r="R230" i="9"/>
  <c r="Q230" i="9"/>
  <c r="P230" i="9"/>
  <c r="O230" i="9"/>
  <c r="N230" i="9"/>
  <c r="M230" i="9"/>
  <c r="L230" i="9"/>
  <c r="K230" i="9"/>
  <c r="J230" i="9"/>
  <c r="I230" i="9"/>
  <c r="H230" i="9"/>
  <c r="R229" i="9"/>
  <c r="Q229" i="9"/>
  <c r="P229" i="9"/>
  <c r="O229" i="9"/>
  <c r="N229" i="9"/>
  <c r="M229" i="9"/>
  <c r="L229" i="9"/>
  <c r="K229" i="9"/>
  <c r="J229" i="9"/>
  <c r="I229" i="9"/>
  <c r="H229" i="9"/>
  <c r="R228" i="9"/>
  <c r="Q228" i="9"/>
  <c r="P228" i="9"/>
  <c r="O228" i="9"/>
  <c r="N228" i="9"/>
  <c r="M228" i="9"/>
  <c r="L228" i="9"/>
  <c r="K228" i="9"/>
  <c r="J228" i="9"/>
  <c r="I228" i="9"/>
  <c r="H228" i="9"/>
  <c r="R227" i="9"/>
  <c r="Q227" i="9"/>
  <c r="P227" i="9"/>
  <c r="O227" i="9"/>
  <c r="N227" i="9"/>
  <c r="M227" i="9"/>
  <c r="L227" i="9"/>
  <c r="K227" i="9"/>
  <c r="J227" i="9"/>
  <c r="I227" i="9"/>
  <c r="H227" i="9"/>
  <c r="R226" i="9"/>
  <c r="Q226" i="9"/>
  <c r="P226" i="9"/>
  <c r="O226" i="9"/>
  <c r="N226" i="9"/>
  <c r="M226" i="9"/>
  <c r="L226" i="9"/>
  <c r="K226" i="9"/>
  <c r="J226" i="9"/>
  <c r="I226" i="9"/>
  <c r="H226" i="9"/>
  <c r="R225" i="9"/>
  <c r="Q225" i="9"/>
  <c r="P225" i="9"/>
  <c r="O225" i="9"/>
  <c r="N225" i="9"/>
  <c r="M225" i="9"/>
  <c r="L225" i="9"/>
  <c r="K225" i="9"/>
  <c r="J225" i="9"/>
  <c r="I225" i="9"/>
  <c r="H225" i="9"/>
  <c r="R224" i="9"/>
  <c r="Q224" i="9"/>
  <c r="P224" i="9"/>
  <c r="O224" i="9"/>
  <c r="N224" i="9"/>
  <c r="M224" i="9"/>
  <c r="L224" i="9"/>
  <c r="K224" i="9"/>
  <c r="J224" i="9"/>
  <c r="I224" i="9"/>
  <c r="H224" i="9"/>
  <c r="R223" i="9"/>
  <c r="Q223" i="9"/>
  <c r="P223" i="9"/>
  <c r="O223" i="9"/>
  <c r="N223" i="9"/>
  <c r="M223" i="9"/>
  <c r="L223" i="9"/>
  <c r="K223" i="9"/>
  <c r="J223" i="9"/>
  <c r="I223" i="9"/>
  <c r="H223" i="9"/>
  <c r="R222" i="9"/>
  <c r="Q222" i="9"/>
  <c r="P222" i="9"/>
  <c r="O222" i="9"/>
  <c r="N222" i="9"/>
  <c r="M222" i="9"/>
  <c r="L222" i="9"/>
  <c r="K222" i="9"/>
  <c r="J222" i="9"/>
  <c r="I222" i="9"/>
  <c r="H222" i="9"/>
  <c r="R221" i="9"/>
  <c r="Q221" i="9"/>
  <c r="P221" i="9"/>
  <c r="O221" i="9"/>
  <c r="N221" i="9"/>
  <c r="M221" i="9"/>
  <c r="L221" i="9"/>
  <c r="K221" i="9"/>
  <c r="J221" i="9"/>
  <c r="I221" i="9"/>
  <c r="H221" i="9"/>
  <c r="G229" i="9"/>
  <c r="G241" i="9"/>
  <c r="G238" i="9"/>
  <c r="G236" i="9"/>
  <c r="G239" i="9"/>
  <c r="G233" i="9"/>
  <c r="G224" i="9"/>
  <c r="G232" i="9"/>
  <c r="G231" i="9"/>
  <c r="G230" i="9"/>
  <c r="G228" i="9"/>
  <c r="G227" i="9"/>
  <c r="G226" i="9"/>
  <c r="G225" i="9"/>
  <c r="G223" i="9"/>
  <c r="G222" i="9"/>
  <c r="G221" i="9"/>
  <c r="C58" i="8"/>
  <c r="AF307" i="12"/>
  <c r="AE307" i="12"/>
  <c r="AD307" i="12"/>
  <c r="AC307" i="12"/>
  <c r="AB307" i="12"/>
  <c r="AA307" i="12"/>
  <c r="Z307" i="12"/>
  <c r="Y307" i="12"/>
  <c r="X307" i="12"/>
  <c r="W307" i="12"/>
  <c r="V307" i="12"/>
  <c r="U307" i="12"/>
  <c r="AF303" i="12"/>
  <c r="AE303" i="12"/>
  <c r="AD303" i="12"/>
  <c r="AC303" i="12"/>
  <c r="AB303" i="12"/>
  <c r="AA303" i="12"/>
  <c r="Z303" i="12"/>
  <c r="Y303" i="12"/>
  <c r="X303" i="12"/>
  <c r="W303" i="12"/>
  <c r="V303" i="12"/>
  <c r="U303" i="12"/>
  <c r="AF302" i="12"/>
  <c r="AE302" i="12"/>
  <c r="AD302" i="12"/>
  <c r="AC302" i="12"/>
  <c r="AB302" i="12"/>
  <c r="AA302" i="12"/>
  <c r="Z302" i="12"/>
  <c r="Y302" i="12"/>
  <c r="X302" i="12"/>
  <c r="W302" i="12"/>
  <c r="V302" i="12"/>
  <c r="U302" i="12"/>
  <c r="AF301" i="12"/>
  <c r="AE301" i="12"/>
  <c r="AD301" i="12"/>
  <c r="AC301" i="12"/>
  <c r="AB301" i="12"/>
  <c r="AA301" i="12"/>
  <c r="Z301" i="12"/>
  <c r="Y301" i="12"/>
  <c r="X301" i="12"/>
  <c r="W301" i="12"/>
  <c r="V301" i="12"/>
  <c r="U301" i="12"/>
  <c r="AF299" i="12"/>
  <c r="AE299" i="12"/>
  <c r="AD299" i="12"/>
  <c r="AC299" i="12"/>
  <c r="AB299" i="12"/>
  <c r="AA299" i="12"/>
  <c r="Z299" i="12"/>
  <c r="Y299" i="12"/>
  <c r="X299" i="12"/>
  <c r="W299" i="12"/>
  <c r="V299" i="12"/>
  <c r="U299" i="12"/>
  <c r="AF298" i="12"/>
  <c r="AE298" i="12"/>
  <c r="AD298" i="12"/>
  <c r="AC298" i="12"/>
  <c r="AB298" i="12"/>
  <c r="AA298" i="12"/>
  <c r="Z298" i="12"/>
  <c r="Y298" i="12"/>
  <c r="X298" i="12"/>
  <c r="W298" i="12"/>
  <c r="V298" i="12"/>
  <c r="U298" i="12"/>
  <c r="AF297" i="12"/>
  <c r="AE297" i="12"/>
  <c r="AD297" i="12"/>
  <c r="AC297" i="12"/>
  <c r="AB297" i="12"/>
  <c r="AA297" i="12"/>
  <c r="Z297" i="12"/>
  <c r="Y297" i="12"/>
  <c r="X297" i="12"/>
  <c r="W297" i="12"/>
  <c r="V297" i="12"/>
  <c r="U297" i="12"/>
  <c r="AF296" i="12"/>
  <c r="AE296" i="12"/>
  <c r="AD296" i="12"/>
  <c r="AC296" i="12"/>
  <c r="AB296" i="12"/>
  <c r="AA296" i="12"/>
  <c r="Z296" i="12"/>
  <c r="Y296" i="12"/>
  <c r="X296" i="12"/>
  <c r="W296" i="12"/>
  <c r="V296" i="12"/>
  <c r="U296" i="12"/>
  <c r="AF295" i="12"/>
  <c r="AE295" i="12"/>
  <c r="AD295" i="12"/>
  <c r="AC295" i="12"/>
  <c r="AB295" i="12"/>
  <c r="AA295" i="12"/>
  <c r="Z295" i="12"/>
  <c r="Y295" i="12"/>
  <c r="X295" i="12"/>
  <c r="W295" i="12"/>
  <c r="V295" i="12"/>
  <c r="U295" i="12"/>
  <c r="N307" i="12"/>
  <c r="N305" i="12"/>
  <c r="N103" i="12"/>
  <c r="N303" i="12"/>
  <c r="N302" i="12"/>
  <c r="N301" i="12"/>
  <c r="N300" i="12"/>
  <c r="N299" i="12"/>
  <c r="N298" i="12"/>
  <c r="N297" i="12"/>
  <c r="C14" i="8" l="1"/>
  <c r="C15" i="8"/>
  <c r="C16" i="8"/>
  <c r="C17" i="8"/>
  <c r="C19" i="8"/>
  <c r="C20" i="8"/>
  <c r="C21" i="8"/>
  <c r="C25" i="8"/>
  <c r="H261" i="9"/>
  <c r="I261" i="9" s="1"/>
  <c r="J261" i="9" s="1"/>
  <c r="K261" i="9" s="1"/>
  <c r="L261" i="9" s="1"/>
  <c r="M261" i="9" s="1"/>
  <c r="N261" i="9" s="1"/>
  <c r="O261" i="9" s="1"/>
  <c r="P261" i="9" s="1"/>
  <c r="CH251" i="9"/>
  <c r="CI251" i="9" s="1"/>
  <c r="CJ251" i="9" s="1"/>
  <c r="CH255" i="9"/>
  <c r="CI255" i="9" s="1"/>
  <c r="CJ255" i="9" s="1"/>
  <c r="CH261" i="9"/>
  <c r="CI261" i="9" s="1"/>
  <c r="CJ261" i="9" s="1"/>
  <c r="CK261" i="9" s="1"/>
  <c r="CL261" i="9" s="1"/>
  <c r="CM261" i="9" s="1"/>
  <c r="CN261" i="9" s="1"/>
  <c r="CO261" i="9" s="1"/>
  <c r="CP261" i="9" s="1"/>
  <c r="K235" i="9"/>
  <c r="K237" i="9" s="1"/>
  <c r="K240" i="9" s="1"/>
  <c r="K243" i="9" s="1"/>
  <c r="O235" i="9"/>
  <c r="O237" i="9" s="1"/>
  <c r="O240" i="9" s="1"/>
  <c r="O243" i="9" s="1"/>
  <c r="L235" i="9"/>
  <c r="L237" i="9" s="1"/>
  <c r="L240" i="9" s="1"/>
  <c r="L243" i="9" s="1"/>
  <c r="P235" i="9"/>
  <c r="P237" i="9" s="1"/>
  <c r="P240" i="9" s="1"/>
  <c r="P243" i="9" s="1"/>
  <c r="H255" i="9"/>
  <c r="I255" i="9" s="1"/>
  <c r="J255" i="9" s="1"/>
  <c r="K255" i="9" s="1"/>
  <c r="L255" i="9" s="1"/>
  <c r="M255" i="9" s="1"/>
  <c r="N255" i="9" s="1"/>
  <c r="CK235" i="9"/>
  <c r="CK237" i="9" s="1"/>
  <c r="CK240" i="9" s="1"/>
  <c r="CK243" i="9" s="1"/>
  <c r="CO235" i="9"/>
  <c r="CO237" i="9" s="1"/>
  <c r="CO240" i="9" s="1"/>
  <c r="CO243" i="9" s="1"/>
  <c r="CL235" i="9"/>
  <c r="CL237" i="9" s="1"/>
  <c r="CL240" i="9" s="1"/>
  <c r="CL243" i="9" s="1"/>
  <c r="CP235" i="9"/>
  <c r="CP237" i="9" s="1"/>
  <c r="CP240" i="9" s="1"/>
  <c r="CP243" i="9" s="1"/>
  <c r="CK251" i="9"/>
  <c r="CL251" i="9" s="1"/>
  <c r="CM251" i="9" s="1"/>
  <c r="CN251" i="9" s="1"/>
  <c r="CO251" i="9" s="1"/>
  <c r="CK255" i="9"/>
  <c r="CL255" i="9" s="1"/>
  <c r="CM255" i="9" s="1"/>
  <c r="CN255" i="9" s="1"/>
  <c r="CO255" i="9" s="1"/>
  <c r="H250" i="9"/>
  <c r="I250" i="9" s="1"/>
  <c r="J250" i="9" s="1"/>
  <c r="K250" i="9" s="1"/>
  <c r="L250" i="9" s="1"/>
  <c r="M250" i="9" s="1"/>
  <c r="N250" i="9" s="1"/>
  <c r="H258" i="9"/>
  <c r="I258" i="9" s="1"/>
  <c r="J258" i="9" s="1"/>
  <c r="K258" i="9" s="1"/>
  <c r="L258" i="9" s="1"/>
  <c r="M258" i="9" s="1"/>
  <c r="N258" i="9" s="1"/>
  <c r="H266" i="9"/>
  <c r="I266" i="9" s="1"/>
  <c r="J266" i="9" s="1"/>
  <c r="K266" i="9" s="1"/>
  <c r="L266" i="9" s="1"/>
  <c r="M266" i="9" s="1"/>
  <c r="N266" i="9" s="1"/>
  <c r="O266" i="9" s="1"/>
  <c r="P266" i="9" s="1"/>
  <c r="Q266" i="9" s="1"/>
  <c r="R266" i="9" s="1"/>
  <c r="V321" i="12"/>
  <c r="W321" i="12" s="1"/>
  <c r="X321" i="12" s="1"/>
  <c r="Y321" i="12" s="1"/>
  <c r="Z321" i="12" s="1"/>
  <c r="AA321" i="12" s="1"/>
  <c r="AB321" i="12" s="1"/>
  <c r="V322" i="12"/>
  <c r="W322" i="12" s="1"/>
  <c r="X322" i="12" s="1"/>
  <c r="Y322" i="12" s="1"/>
  <c r="Z322" i="12" s="1"/>
  <c r="AA322" i="12" s="1"/>
  <c r="AB322" i="12" s="1"/>
  <c r="V323" i="12"/>
  <c r="W323" i="12" s="1"/>
  <c r="X323" i="12" s="1"/>
  <c r="Y323" i="12" s="1"/>
  <c r="Z323" i="12" s="1"/>
  <c r="AA323" i="12" s="1"/>
  <c r="AB323" i="12" s="1"/>
  <c r="V324" i="12"/>
  <c r="V326" i="12"/>
  <c r="W326" i="12" s="1"/>
  <c r="X326" i="12" s="1"/>
  <c r="Y326" i="12" s="1"/>
  <c r="Z326" i="12" s="1"/>
  <c r="AA326" i="12" s="1"/>
  <c r="AB326" i="12" s="1"/>
  <c r="V327" i="12"/>
  <c r="W327" i="12" s="1"/>
  <c r="X327" i="12" s="1"/>
  <c r="Y327" i="12" s="1"/>
  <c r="Z327" i="12" s="1"/>
  <c r="AA327" i="12" s="1"/>
  <c r="AB327" i="12" s="1"/>
  <c r="V328" i="12"/>
  <c r="W328" i="12" s="1"/>
  <c r="X328" i="12" s="1"/>
  <c r="Y328" i="12" s="1"/>
  <c r="Z328" i="12" s="1"/>
  <c r="AA328" i="12" s="1"/>
  <c r="AB328" i="12" s="1"/>
  <c r="V332" i="12"/>
  <c r="W332" i="12"/>
  <c r="X332" i="12" s="1"/>
  <c r="Y332" i="12" s="1"/>
  <c r="Z332" i="12" s="1"/>
  <c r="AA332" i="12" s="1"/>
  <c r="AB332" i="12" s="1"/>
  <c r="AC332" i="12" s="1"/>
  <c r="AD332" i="12" s="1"/>
  <c r="AE332" i="12" s="1"/>
  <c r="AF332" i="12" s="1"/>
  <c r="M23" i="8"/>
  <c r="V320" i="12"/>
  <c r="W320" i="12" s="1"/>
  <c r="X320" i="12" s="1"/>
  <c r="Y320" i="12" s="1"/>
  <c r="Z320" i="12" s="1"/>
  <c r="AA320" i="12" s="1"/>
  <c r="AB320" i="12" s="1"/>
  <c r="W324" i="12"/>
  <c r="X324" i="12" s="1"/>
  <c r="Y324" i="12" s="1"/>
  <c r="Z324" i="12" s="1"/>
  <c r="AA324" i="12" s="1"/>
  <c r="AB324" i="12" s="1"/>
  <c r="C13" i="8"/>
  <c r="G235" i="9"/>
  <c r="G237" i="9" s="1"/>
  <c r="G240" i="9" s="1"/>
  <c r="G243" i="9" s="1"/>
  <c r="H246" i="9"/>
  <c r="I246" i="9" s="1"/>
  <c r="J246" i="9" s="1"/>
  <c r="K246" i="9" s="1"/>
  <c r="L246" i="9" s="1"/>
  <c r="M246" i="9" s="1"/>
  <c r="N246" i="9" s="1"/>
  <c r="M235" i="9"/>
  <c r="M237" i="9" s="1"/>
  <c r="M240" i="9" s="1"/>
  <c r="M243" i="9" s="1"/>
  <c r="CG235" i="9"/>
  <c r="CG237" i="9" s="1"/>
  <c r="CG240" i="9" s="1"/>
  <c r="CG243" i="9" s="1"/>
  <c r="CH246" i="9"/>
  <c r="CI246" i="9" s="1"/>
  <c r="CJ246" i="9" s="1"/>
  <c r="CK246" i="9" s="1"/>
  <c r="CL246" i="9" s="1"/>
  <c r="CM246" i="9" s="1"/>
  <c r="CN246" i="9" s="1"/>
  <c r="CM235" i="9"/>
  <c r="CM237" i="9" s="1"/>
  <c r="CM240" i="9" s="1"/>
  <c r="CM243" i="9" s="1"/>
  <c r="CH250" i="9"/>
  <c r="CI250" i="9" s="1"/>
  <c r="CJ250" i="9" s="1"/>
  <c r="CK250" i="9" s="1"/>
  <c r="CL250" i="9" s="1"/>
  <c r="CM250" i="9" s="1"/>
  <c r="CN250" i="9" s="1"/>
  <c r="CH254" i="9"/>
  <c r="CI254" i="9" s="1"/>
  <c r="CJ254" i="9" s="1"/>
  <c r="CK254" i="9" s="1"/>
  <c r="CL254" i="9" s="1"/>
  <c r="CM254" i="9" s="1"/>
  <c r="CN254" i="9" s="1"/>
  <c r="CH258" i="9"/>
  <c r="CI258" i="9" s="1"/>
  <c r="CJ258" i="9" s="1"/>
  <c r="CK258" i="9" s="1"/>
  <c r="CL258" i="9" s="1"/>
  <c r="CM258" i="9" s="1"/>
  <c r="CN258" i="9" s="1"/>
  <c r="CH266" i="9"/>
  <c r="CI266" i="9" s="1"/>
  <c r="CJ266" i="9" s="1"/>
  <c r="CK266" i="9" s="1"/>
  <c r="CL266" i="9" s="1"/>
  <c r="CM266" i="9" s="1"/>
  <c r="CN266" i="9" s="1"/>
  <c r="J235" i="9"/>
  <c r="J237" i="9" s="1"/>
  <c r="J240" i="9" s="1"/>
  <c r="J243" i="9" s="1"/>
  <c r="N235" i="9"/>
  <c r="N237" i="9" s="1"/>
  <c r="N240" i="9" s="1"/>
  <c r="N243" i="9" s="1"/>
  <c r="R235" i="9"/>
  <c r="R237" i="9" s="1"/>
  <c r="R240" i="9" s="1"/>
  <c r="R243" i="9" s="1"/>
  <c r="H248" i="9"/>
  <c r="I248" i="9" s="1"/>
  <c r="J248" i="9" s="1"/>
  <c r="K248" i="9" s="1"/>
  <c r="L248" i="9" s="1"/>
  <c r="M248" i="9" s="1"/>
  <c r="N248" i="9" s="1"/>
  <c r="H252" i="9"/>
  <c r="I252" i="9" s="1"/>
  <c r="J252" i="9" s="1"/>
  <c r="K252" i="9" s="1"/>
  <c r="L252" i="9" s="1"/>
  <c r="M252" i="9" s="1"/>
  <c r="N252" i="9" s="1"/>
  <c r="H256" i="9"/>
  <c r="I256" i="9" s="1"/>
  <c r="J256" i="9" s="1"/>
  <c r="K256" i="9" s="1"/>
  <c r="L256" i="9" s="1"/>
  <c r="M256" i="9" s="1"/>
  <c r="N256" i="9" s="1"/>
  <c r="H263" i="9"/>
  <c r="I263" i="9" s="1"/>
  <c r="J263" i="9" s="1"/>
  <c r="K263" i="9" s="1"/>
  <c r="L263" i="9" s="1"/>
  <c r="M263" i="9" s="1"/>
  <c r="N263" i="9" s="1"/>
  <c r="O263" i="9" s="1"/>
  <c r="P263" i="9" s="1"/>
  <c r="Q263" i="9" s="1"/>
  <c r="R263" i="9" s="1"/>
  <c r="CJ235" i="9"/>
  <c r="CJ237" i="9" s="1"/>
  <c r="CJ240" i="9" s="1"/>
  <c r="CJ243" i="9" s="1"/>
  <c r="CN235" i="9"/>
  <c r="CN237" i="9" s="1"/>
  <c r="CN240" i="9" s="1"/>
  <c r="CN243" i="9" s="1"/>
  <c r="CR235" i="9"/>
  <c r="CR237" i="9" s="1"/>
  <c r="CR240" i="9" s="1"/>
  <c r="CR243" i="9" s="1"/>
  <c r="CH248" i="9"/>
  <c r="CI248" i="9" s="1"/>
  <c r="CJ248" i="9" s="1"/>
  <c r="CK248" i="9" s="1"/>
  <c r="CL248" i="9" s="1"/>
  <c r="CM248" i="9" s="1"/>
  <c r="CN248" i="9" s="1"/>
  <c r="CH252" i="9"/>
  <c r="CI252" i="9" s="1"/>
  <c r="CJ252" i="9" s="1"/>
  <c r="CK252" i="9" s="1"/>
  <c r="CL252" i="9" s="1"/>
  <c r="CM252" i="9" s="1"/>
  <c r="CN252" i="9" s="1"/>
  <c r="CH256" i="9"/>
  <c r="CI256" i="9" s="1"/>
  <c r="CJ256" i="9" s="1"/>
  <c r="CK256" i="9" s="1"/>
  <c r="CL256" i="9" s="1"/>
  <c r="CM256" i="9" s="1"/>
  <c r="CN256" i="9" s="1"/>
  <c r="CH263" i="9"/>
  <c r="CI263" i="9" s="1"/>
  <c r="CJ263" i="9" s="1"/>
  <c r="CK263" i="9" s="1"/>
  <c r="CL263" i="9" s="1"/>
  <c r="CM263" i="9" s="1"/>
  <c r="CN263" i="9" s="1"/>
  <c r="H235" i="9"/>
  <c r="H247" i="9"/>
  <c r="I247" i="9" s="1"/>
  <c r="J247" i="9" s="1"/>
  <c r="K247" i="9" s="1"/>
  <c r="L247" i="9" s="1"/>
  <c r="M247" i="9" s="1"/>
  <c r="N247" i="9" s="1"/>
  <c r="H251" i="9"/>
  <c r="I251" i="9" s="1"/>
  <c r="J251" i="9" s="1"/>
  <c r="K251" i="9" s="1"/>
  <c r="L251" i="9" s="1"/>
  <c r="M251" i="9" s="1"/>
  <c r="N251" i="9" s="1"/>
  <c r="O255" i="9"/>
  <c r="P255" i="9" s="1"/>
  <c r="Q255" i="9" s="1"/>
  <c r="R255" i="9" s="1"/>
  <c r="CH235" i="9"/>
  <c r="CH247" i="9"/>
  <c r="CI247" i="9" s="1"/>
  <c r="CJ247" i="9" s="1"/>
  <c r="CK247" i="9" s="1"/>
  <c r="CL247" i="9" s="1"/>
  <c r="CM247" i="9" s="1"/>
  <c r="CN247" i="9" s="1"/>
  <c r="I235" i="9"/>
  <c r="I237" i="9" s="1"/>
  <c r="I240" i="9" s="1"/>
  <c r="I243" i="9" s="1"/>
  <c r="Q235" i="9"/>
  <c r="Q237" i="9" s="1"/>
  <c r="Q240" i="9" s="1"/>
  <c r="Q243" i="9" s="1"/>
  <c r="H254" i="9"/>
  <c r="I254" i="9" s="1"/>
  <c r="J254" i="9" s="1"/>
  <c r="K254" i="9" s="1"/>
  <c r="L254" i="9" s="1"/>
  <c r="M254" i="9" s="1"/>
  <c r="N254" i="9" s="1"/>
  <c r="CI235" i="9"/>
  <c r="CI237" i="9" s="1"/>
  <c r="CI240" i="9" s="1"/>
  <c r="CI243" i="9" s="1"/>
  <c r="CQ235" i="9"/>
  <c r="CQ237" i="9" s="1"/>
  <c r="CQ240" i="9" s="1"/>
  <c r="CQ243" i="9" s="1"/>
  <c r="H249" i="9"/>
  <c r="I249" i="9" s="1"/>
  <c r="J249" i="9" s="1"/>
  <c r="K249" i="9" s="1"/>
  <c r="L249" i="9" s="1"/>
  <c r="M249" i="9" s="1"/>
  <c r="N249" i="9" s="1"/>
  <c r="H253" i="9"/>
  <c r="I253" i="9" s="1"/>
  <c r="J253" i="9" s="1"/>
  <c r="K253" i="9" s="1"/>
  <c r="L253" i="9" s="1"/>
  <c r="M253" i="9" s="1"/>
  <c r="N253" i="9" s="1"/>
  <c r="H257" i="9"/>
  <c r="I257" i="9" s="1"/>
  <c r="J257" i="9" s="1"/>
  <c r="K257" i="9" s="1"/>
  <c r="L257" i="9" s="1"/>
  <c r="M257" i="9" s="1"/>
  <c r="N257" i="9" s="1"/>
  <c r="H264" i="9"/>
  <c r="I264" i="9" s="1"/>
  <c r="J264" i="9" s="1"/>
  <c r="K264" i="9" s="1"/>
  <c r="L264" i="9" s="1"/>
  <c r="M264" i="9" s="1"/>
  <c r="N264" i="9" s="1"/>
  <c r="CH249" i="9"/>
  <c r="CI249" i="9" s="1"/>
  <c r="CJ249" i="9" s="1"/>
  <c r="CK249" i="9" s="1"/>
  <c r="CL249" i="9" s="1"/>
  <c r="CM249" i="9" s="1"/>
  <c r="CN249" i="9" s="1"/>
  <c r="CH253" i="9"/>
  <c r="CI253" i="9" s="1"/>
  <c r="CJ253" i="9" s="1"/>
  <c r="CK253" i="9" s="1"/>
  <c r="CL253" i="9" s="1"/>
  <c r="CM253" i="9" s="1"/>
  <c r="CN253" i="9" s="1"/>
  <c r="CH257" i="9"/>
  <c r="CI257" i="9" s="1"/>
  <c r="CJ257" i="9" s="1"/>
  <c r="CK257" i="9" s="1"/>
  <c r="CL257" i="9" s="1"/>
  <c r="CM257" i="9" s="1"/>
  <c r="CN257" i="9" s="1"/>
  <c r="CH264" i="9"/>
  <c r="CI264" i="9" s="1"/>
  <c r="CJ264" i="9" s="1"/>
  <c r="CK264" i="9" s="1"/>
  <c r="CL264" i="9" s="1"/>
  <c r="CM264" i="9" s="1"/>
  <c r="CN264" i="9" s="1"/>
  <c r="AP60" i="8"/>
  <c r="AQ60" i="8" s="1"/>
  <c r="AQ58" i="8"/>
  <c r="N296" i="12"/>
  <c r="N295" i="12"/>
  <c r="AK292" i="12"/>
  <c r="AJ292" i="12"/>
  <c r="AI292" i="12"/>
  <c r="AH292" i="12"/>
  <c r="AF290" i="12"/>
  <c r="AE290" i="12"/>
  <c r="AD290" i="12"/>
  <c r="AC290" i="12"/>
  <c r="AB290" i="12"/>
  <c r="AA290" i="12"/>
  <c r="Z290" i="12"/>
  <c r="Y290" i="12"/>
  <c r="X290" i="12"/>
  <c r="W290" i="12"/>
  <c r="V290" i="12"/>
  <c r="U290" i="12"/>
  <c r="N290" i="12"/>
  <c r="AF288" i="12"/>
  <c r="AE288" i="12"/>
  <c r="AD288" i="12"/>
  <c r="AB288" i="12"/>
  <c r="AA288" i="12"/>
  <c r="Y288" i="12"/>
  <c r="X288" i="12"/>
  <c r="V288" i="12"/>
  <c r="U288" i="12"/>
  <c r="N288" i="12"/>
  <c r="AA287" i="12"/>
  <c r="Z287" i="12"/>
  <c r="Y287" i="12"/>
  <c r="X287" i="12"/>
  <c r="W287" i="12"/>
  <c r="V287" i="12"/>
  <c r="U287" i="12"/>
  <c r="N287" i="12"/>
  <c r="AF286" i="12"/>
  <c r="AE286" i="12"/>
  <c r="AD286" i="12"/>
  <c r="AC286" i="12"/>
  <c r="AB286" i="12"/>
  <c r="AA286" i="12"/>
  <c r="Z286" i="12"/>
  <c r="Y286" i="12"/>
  <c r="X286" i="12"/>
  <c r="W286" i="12"/>
  <c r="V286" i="12"/>
  <c r="U286" i="12"/>
  <c r="N286" i="12"/>
  <c r="AF285" i="12"/>
  <c r="AE285" i="12"/>
  <c r="AD285" i="12"/>
  <c r="AC285" i="12"/>
  <c r="AB285" i="12"/>
  <c r="AA285" i="12"/>
  <c r="Z285" i="12"/>
  <c r="Y285" i="12"/>
  <c r="X285" i="12"/>
  <c r="W285" i="12"/>
  <c r="V285" i="12"/>
  <c r="U285" i="12"/>
  <c r="N285" i="12"/>
  <c r="AF284" i="12"/>
  <c r="AE284" i="12"/>
  <c r="AD284" i="12"/>
  <c r="AC284" i="12"/>
  <c r="AB284" i="12"/>
  <c r="AA284" i="12"/>
  <c r="Z284" i="12"/>
  <c r="Y284" i="12"/>
  <c r="X284" i="12"/>
  <c r="W284" i="12"/>
  <c r="V284" i="12"/>
  <c r="U284" i="12"/>
  <c r="N284" i="12"/>
  <c r="AF283" i="12"/>
  <c r="AE283" i="12"/>
  <c r="AD283" i="12"/>
  <c r="AC283" i="12"/>
  <c r="AB283" i="12"/>
  <c r="AA283" i="12"/>
  <c r="Z283" i="12"/>
  <c r="Y283" i="12"/>
  <c r="X283" i="12"/>
  <c r="W283" i="12"/>
  <c r="V283" i="12"/>
  <c r="U283" i="12"/>
  <c r="N283" i="12"/>
  <c r="AF282" i="12"/>
  <c r="AE282" i="12"/>
  <c r="AD282" i="12"/>
  <c r="AC282" i="12"/>
  <c r="AB282" i="12"/>
  <c r="AA282" i="12"/>
  <c r="Z282" i="12"/>
  <c r="Y282" i="12"/>
  <c r="X282" i="12"/>
  <c r="W282" i="12"/>
  <c r="V282" i="12"/>
  <c r="U282" i="12"/>
  <c r="N282" i="12"/>
  <c r="AF281" i="12"/>
  <c r="AE281" i="12"/>
  <c r="AD281" i="12"/>
  <c r="AC281" i="12"/>
  <c r="AB281" i="12"/>
  <c r="AA281" i="12"/>
  <c r="Z281" i="12"/>
  <c r="Y281" i="12"/>
  <c r="X281" i="12"/>
  <c r="W281" i="12"/>
  <c r="V281" i="12"/>
  <c r="U281" i="12"/>
  <c r="N281" i="12"/>
  <c r="AF280" i="12"/>
  <c r="AE280" i="12"/>
  <c r="AD280" i="12"/>
  <c r="AC280" i="12"/>
  <c r="AB280" i="12"/>
  <c r="AA280" i="12"/>
  <c r="Z280" i="12"/>
  <c r="Y280" i="12"/>
  <c r="X280" i="12"/>
  <c r="W280" i="12"/>
  <c r="V280" i="12"/>
  <c r="U280" i="12"/>
  <c r="N280" i="12"/>
  <c r="AF279" i="12"/>
  <c r="AE279" i="12"/>
  <c r="AD279" i="12"/>
  <c r="AC279" i="12"/>
  <c r="AB279" i="12"/>
  <c r="AA279" i="12"/>
  <c r="Z279" i="12"/>
  <c r="Y279" i="12"/>
  <c r="X279" i="12"/>
  <c r="W279" i="12"/>
  <c r="V279" i="12"/>
  <c r="U279" i="12"/>
  <c r="N279" i="12"/>
  <c r="AF278" i="12"/>
  <c r="AE278" i="12"/>
  <c r="AD278" i="12"/>
  <c r="AC278" i="12"/>
  <c r="AB278" i="12"/>
  <c r="AA278" i="12"/>
  <c r="Z278" i="12"/>
  <c r="Y278" i="12"/>
  <c r="X278" i="12"/>
  <c r="W278" i="12"/>
  <c r="V278" i="12"/>
  <c r="U278" i="12"/>
  <c r="N278" i="12"/>
  <c r="BD277" i="12"/>
  <c r="BC277" i="12"/>
  <c r="BB277" i="12"/>
  <c r="BA277" i="12"/>
  <c r="AK277" i="12"/>
  <c r="AJ277" i="12"/>
  <c r="AI277" i="12"/>
  <c r="AH277" i="12"/>
  <c r="AK276" i="12"/>
  <c r="AJ276" i="12"/>
  <c r="AI276" i="12"/>
  <c r="AH276" i="12"/>
  <c r="AG276" i="12"/>
  <c r="AF272" i="12"/>
  <c r="AE272" i="12"/>
  <c r="AD272" i="12"/>
  <c r="AC272" i="12"/>
  <c r="AB272" i="12"/>
  <c r="AA272" i="12"/>
  <c r="Z272" i="12"/>
  <c r="Y272" i="12"/>
  <c r="X272" i="12"/>
  <c r="W272" i="12"/>
  <c r="V272" i="12"/>
  <c r="U272" i="12"/>
  <c r="G272" i="12"/>
  <c r="F272" i="12"/>
  <c r="N271" i="12"/>
  <c r="G271" i="12"/>
  <c r="AF270" i="12"/>
  <c r="AE270" i="12"/>
  <c r="AD270" i="12"/>
  <c r="AC270" i="12"/>
  <c r="AB270" i="12"/>
  <c r="AA270" i="12"/>
  <c r="Z270" i="12"/>
  <c r="Y270" i="12"/>
  <c r="X270" i="12"/>
  <c r="W270" i="12"/>
  <c r="V270" i="12"/>
  <c r="U270" i="12"/>
  <c r="N270" i="12"/>
  <c r="K270" i="12"/>
  <c r="H270" i="12"/>
  <c r="G270" i="12"/>
  <c r="F270" i="12"/>
  <c r="K269" i="12"/>
  <c r="G269" i="12"/>
  <c r="F269" i="12"/>
  <c r="AF268" i="12"/>
  <c r="AE268" i="12"/>
  <c r="AD268" i="12"/>
  <c r="AC268" i="12"/>
  <c r="AB268" i="12"/>
  <c r="AA268" i="12"/>
  <c r="Z268" i="12"/>
  <c r="Y268" i="12"/>
  <c r="X268" i="12"/>
  <c r="W268" i="12"/>
  <c r="V268" i="12"/>
  <c r="U268" i="12"/>
  <c r="N268" i="12"/>
  <c r="G268" i="12"/>
  <c r="F268" i="12"/>
  <c r="G267" i="12"/>
  <c r="F267" i="12"/>
  <c r="K266" i="12"/>
  <c r="G266" i="12"/>
  <c r="F266" i="12"/>
  <c r="N265" i="12"/>
  <c r="K265" i="12"/>
  <c r="G265" i="12"/>
  <c r="F265" i="12"/>
  <c r="G264" i="12"/>
  <c r="F264" i="12"/>
  <c r="AY253" i="12"/>
  <c r="AX253" i="12"/>
  <c r="AW253" i="12"/>
  <c r="AV253" i="12"/>
  <c r="AU253" i="12"/>
  <c r="AT253" i="12"/>
  <c r="AS253" i="12"/>
  <c r="AR253" i="12"/>
  <c r="AQ253" i="12"/>
  <c r="AP253" i="12"/>
  <c r="AO253" i="12"/>
  <c r="AN253" i="12"/>
  <c r="AF253" i="12"/>
  <c r="AE253" i="12"/>
  <c r="AD253" i="12"/>
  <c r="AC253" i="12"/>
  <c r="AB253" i="12"/>
  <c r="AA253" i="12"/>
  <c r="Z253" i="12"/>
  <c r="Y253" i="12"/>
  <c r="X253" i="12"/>
  <c r="W253" i="12"/>
  <c r="V253" i="12"/>
  <c r="U253" i="12"/>
  <c r="BD251" i="12"/>
  <c r="BC251" i="12"/>
  <c r="BB251" i="12"/>
  <c r="BA251" i="12"/>
  <c r="AZ251" i="12"/>
  <c r="AK251" i="12"/>
  <c r="AJ251" i="12"/>
  <c r="AI251" i="12"/>
  <c r="AH251" i="12"/>
  <c r="AG251" i="12"/>
  <c r="BD250" i="12"/>
  <c r="BC250" i="12"/>
  <c r="BB250" i="12"/>
  <c r="BA250" i="12"/>
  <c r="AZ250" i="12"/>
  <c r="AK250" i="12"/>
  <c r="AJ250" i="12"/>
  <c r="AI250" i="12"/>
  <c r="AH250" i="12"/>
  <c r="AG250" i="12"/>
  <c r="BC248" i="12"/>
  <c r="BB248" i="12"/>
  <c r="BA248" i="12"/>
  <c r="AK248" i="12"/>
  <c r="AJ248" i="12"/>
  <c r="AI248" i="12"/>
  <c r="AH248" i="12"/>
  <c r="AG248" i="12"/>
  <c r="BD246" i="12"/>
  <c r="BC246" i="12"/>
  <c r="BB246" i="12"/>
  <c r="BA246" i="12"/>
  <c r="AK246" i="12"/>
  <c r="AJ246" i="12"/>
  <c r="AI246" i="12"/>
  <c r="AH246" i="12"/>
  <c r="AG246" i="12"/>
  <c r="R246" i="12"/>
  <c r="AZ246" i="12" s="1"/>
  <c r="G245" i="12"/>
  <c r="G259" i="12" s="1"/>
  <c r="F245" i="12"/>
  <c r="F259" i="12" s="1"/>
  <c r="AA244" i="12"/>
  <c r="Y244" i="12"/>
  <c r="X244" i="12"/>
  <c r="V244" i="12"/>
  <c r="U244" i="12"/>
  <c r="L244" i="12"/>
  <c r="I244" i="12"/>
  <c r="AY243" i="12"/>
  <c r="AX243" i="12"/>
  <c r="AW243" i="12"/>
  <c r="AV243" i="12"/>
  <c r="AU243" i="12"/>
  <c r="AT243" i="12"/>
  <c r="AS243" i="12"/>
  <c r="AR243" i="12"/>
  <c r="AQ243" i="12"/>
  <c r="AP243" i="12"/>
  <c r="AO243" i="12"/>
  <c r="AN243" i="12"/>
  <c r="AK243" i="12"/>
  <c r="AJ243" i="12"/>
  <c r="AI243" i="12"/>
  <c r="AH243" i="12"/>
  <c r="AG243" i="12"/>
  <c r="R243" i="12"/>
  <c r="L243" i="12"/>
  <c r="AY242" i="12"/>
  <c r="AX242" i="12"/>
  <c r="AW242" i="12"/>
  <c r="AV242" i="12"/>
  <c r="AU242" i="12"/>
  <c r="AT242" i="12"/>
  <c r="AS242" i="12"/>
  <c r="AR242" i="12"/>
  <c r="AQ242" i="12"/>
  <c r="AP242" i="12"/>
  <c r="AO242" i="12"/>
  <c r="AN242" i="12"/>
  <c r="AK242" i="12"/>
  <c r="AJ242" i="12"/>
  <c r="AI242" i="12"/>
  <c r="AH242" i="12"/>
  <c r="AG242" i="12"/>
  <c r="R242" i="12"/>
  <c r="L242" i="12"/>
  <c r="AY241" i="12"/>
  <c r="AX241" i="12"/>
  <c r="AW241" i="12"/>
  <c r="AV241" i="12"/>
  <c r="AU241" i="12"/>
  <c r="AT241" i="12"/>
  <c r="AS241" i="12"/>
  <c r="AR241" i="12"/>
  <c r="AQ241" i="12"/>
  <c r="AP241" i="12"/>
  <c r="AO241" i="12"/>
  <c r="AN241" i="12"/>
  <c r="AK241" i="12"/>
  <c r="AJ241" i="12"/>
  <c r="AI241" i="12"/>
  <c r="AH241" i="12"/>
  <c r="AG241" i="12"/>
  <c r="R241" i="12"/>
  <c r="L241" i="12"/>
  <c r="AY240" i="12"/>
  <c r="AX240" i="12"/>
  <c r="AW240" i="12"/>
  <c r="AV240" i="12"/>
  <c r="AU240" i="12"/>
  <c r="AT240" i="12"/>
  <c r="AS240" i="12"/>
  <c r="AR240" i="12"/>
  <c r="AQ240" i="12"/>
  <c r="AP240" i="12"/>
  <c r="AO240" i="12"/>
  <c r="AN240" i="12"/>
  <c r="AK240" i="12"/>
  <c r="AJ240" i="12"/>
  <c r="AI240" i="12"/>
  <c r="AH240" i="12"/>
  <c r="AG240" i="12"/>
  <c r="R240" i="12"/>
  <c r="L240" i="12"/>
  <c r="AY239" i="12"/>
  <c r="AX239" i="12"/>
  <c r="AW239" i="12"/>
  <c r="AV239" i="12"/>
  <c r="AU239" i="12"/>
  <c r="AT239" i="12"/>
  <c r="AS239" i="12"/>
  <c r="AR239" i="12"/>
  <c r="AQ239" i="12"/>
  <c r="AP239" i="12"/>
  <c r="AO239" i="12"/>
  <c r="AN239" i="12"/>
  <c r="AK239" i="12"/>
  <c r="AJ239" i="12"/>
  <c r="AI239" i="12"/>
  <c r="AH239" i="12"/>
  <c r="AG239" i="12"/>
  <c r="R239" i="12"/>
  <c r="L239" i="12"/>
  <c r="AY238" i="12"/>
  <c r="AX238" i="12"/>
  <c r="AW238" i="12"/>
  <c r="AV238" i="12"/>
  <c r="AU238" i="12"/>
  <c r="AT238" i="12"/>
  <c r="AS238" i="12"/>
  <c r="AR238" i="12"/>
  <c r="AQ238" i="12"/>
  <c r="AP238" i="12"/>
  <c r="AO238" i="12"/>
  <c r="AN238" i="12"/>
  <c r="AK238" i="12"/>
  <c r="AJ238" i="12"/>
  <c r="AI238" i="12"/>
  <c r="AH238" i="12"/>
  <c r="AG238" i="12"/>
  <c r="R238" i="12"/>
  <c r="L238" i="12"/>
  <c r="AY237" i="12"/>
  <c r="AX237" i="12"/>
  <c r="AW237" i="12"/>
  <c r="AV237" i="12"/>
  <c r="AU237" i="12"/>
  <c r="AT237" i="12"/>
  <c r="AS237" i="12"/>
  <c r="AR237" i="12"/>
  <c r="AQ237" i="12"/>
  <c r="AP237" i="12"/>
  <c r="AO237" i="12"/>
  <c r="AN237" i="12"/>
  <c r="AK237" i="12"/>
  <c r="AJ237" i="12"/>
  <c r="AI237" i="12"/>
  <c r="AH237" i="12"/>
  <c r="AG237" i="12"/>
  <c r="R237" i="12"/>
  <c r="L237" i="12"/>
  <c r="AY236" i="12"/>
  <c r="AX236" i="12"/>
  <c r="AW236" i="12"/>
  <c r="AV236" i="12"/>
  <c r="AU236" i="12"/>
  <c r="AT236" i="12"/>
  <c r="AS236" i="12"/>
  <c r="AR236" i="12"/>
  <c r="AQ236" i="12"/>
  <c r="AP236" i="12"/>
  <c r="AO236" i="12"/>
  <c r="AN236" i="12"/>
  <c r="AK236" i="12"/>
  <c r="AJ236" i="12"/>
  <c r="AI236" i="12"/>
  <c r="AH236" i="12"/>
  <c r="AG236" i="12"/>
  <c r="R236" i="12"/>
  <c r="L236" i="12"/>
  <c r="AY235" i="12"/>
  <c r="AX235" i="12"/>
  <c r="AW235" i="12"/>
  <c r="AV235" i="12"/>
  <c r="AU235" i="12"/>
  <c r="AT235" i="12"/>
  <c r="AS235" i="12"/>
  <c r="AR235" i="12"/>
  <c r="AQ235" i="12"/>
  <c r="AP235" i="12"/>
  <c r="AO235" i="12"/>
  <c r="AN235" i="12"/>
  <c r="AK235" i="12"/>
  <c r="AJ235" i="12"/>
  <c r="AI235" i="12"/>
  <c r="AH235" i="12"/>
  <c r="AG235" i="12"/>
  <c r="L235" i="12"/>
  <c r="AY234" i="12"/>
  <c r="AX234" i="12"/>
  <c r="AU234" i="12"/>
  <c r="AT234" i="12"/>
  <c r="AR234" i="12"/>
  <c r="AQ234" i="12"/>
  <c r="AN234" i="12"/>
  <c r="AK234" i="12"/>
  <c r="W234" i="12"/>
  <c r="AP234" i="12" s="1"/>
  <c r="R234" i="12"/>
  <c r="AW234" i="12"/>
  <c r="L234" i="12"/>
  <c r="E234" i="12"/>
  <c r="AR233" i="12"/>
  <c r="AK233" i="12"/>
  <c r="W233" i="12"/>
  <c r="AH233" i="12" s="1"/>
  <c r="L233" i="12"/>
  <c r="E233" i="12"/>
  <c r="AI232" i="12"/>
  <c r="AH232" i="12"/>
  <c r="AB232" i="12"/>
  <c r="R232" i="12"/>
  <c r="P232" i="12"/>
  <c r="L232" i="12"/>
  <c r="E232" i="12"/>
  <c r="AT231" i="12"/>
  <c r="AS231" i="12"/>
  <c r="AR231" i="12"/>
  <c r="AP231" i="12"/>
  <c r="AO231" i="12"/>
  <c r="AN231" i="12"/>
  <c r="AI231" i="12"/>
  <c r="AH231" i="12"/>
  <c r="AB231" i="12"/>
  <c r="R231" i="12"/>
  <c r="P231" i="12"/>
  <c r="AQ231" i="12" s="1"/>
  <c r="L231" i="12"/>
  <c r="E231" i="12"/>
  <c r="AT230" i="12"/>
  <c r="AS230" i="12"/>
  <c r="AP230" i="12"/>
  <c r="AO230" i="12"/>
  <c r="AI230" i="12"/>
  <c r="AH230" i="12"/>
  <c r="AB230" i="12"/>
  <c r="P230" i="12"/>
  <c r="AQ230" i="12" s="1"/>
  <c r="L230" i="12"/>
  <c r="E230" i="12"/>
  <c r="AQ229" i="12"/>
  <c r="AP229" i="12"/>
  <c r="AI229" i="12"/>
  <c r="AH229" i="12"/>
  <c r="AB229" i="12"/>
  <c r="AC229" i="12" s="1"/>
  <c r="P229" i="12"/>
  <c r="L229" i="12"/>
  <c r="E229" i="12"/>
  <c r="AQ228" i="12"/>
  <c r="AN228" i="12"/>
  <c r="AI228" i="12"/>
  <c r="AH228" i="12"/>
  <c r="AB228" i="12"/>
  <c r="P228" i="12"/>
  <c r="R228" i="12" s="1"/>
  <c r="L228" i="12"/>
  <c r="E228" i="12"/>
  <c r="AT227" i="12"/>
  <c r="AS227" i="12"/>
  <c r="AR227" i="12"/>
  <c r="AP227" i="12"/>
  <c r="AO227" i="12"/>
  <c r="AN227" i="12"/>
  <c r="AI227" i="12"/>
  <c r="AH227" i="12"/>
  <c r="AB227" i="12"/>
  <c r="R227" i="12"/>
  <c r="P227" i="12"/>
  <c r="AQ227" i="12" s="1"/>
  <c r="L227" i="12"/>
  <c r="E227" i="12"/>
  <c r="AT226" i="12"/>
  <c r="AS226" i="12"/>
  <c r="AP226" i="12"/>
  <c r="AO226" i="12"/>
  <c r="AI226" i="12"/>
  <c r="AH226" i="12"/>
  <c r="AB226" i="12"/>
  <c r="AU226" i="12" s="1"/>
  <c r="P226" i="12"/>
  <c r="AQ226" i="12" s="1"/>
  <c r="L226" i="12"/>
  <c r="E226" i="12"/>
  <c r="AQ225" i="12"/>
  <c r="AP225" i="12"/>
  <c r="AI225" i="12"/>
  <c r="AH225" i="12"/>
  <c r="AB225" i="12"/>
  <c r="AC225" i="12" s="1"/>
  <c r="P225" i="12"/>
  <c r="L225" i="12"/>
  <c r="E225" i="12"/>
  <c r="AI224" i="12"/>
  <c r="AH224" i="12"/>
  <c r="AB224" i="12"/>
  <c r="R224" i="12"/>
  <c r="P224" i="12"/>
  <c r="L224" i="12"/>
  <c r="E224" i="12"/>
  <c r="AY223" i="12"/>
  <c r="AX223" i="12"/>
  <c r="AW223" i="12"/>
  <c r="AV223" i="12"/>
  <c r="AU223" i="12"/>
  <c r="AT223" i="12"/>
  <c r="AS223" i="12"/>
  <c r="AR223" i="12"/>
  <c r="AQ223" i="12"/>
  <c r="AP223" i="12"/>
  <c r="AO223" i="12"/>
  <c r="AN223" i="12"/>
  <c r="AK223" i="12"/>
  <c r="AJ223" i="12"/>
  <c r="AI223" i="12"/>
  <c r="AH223" i="12"/>
  <c r="AG223" i="12"/>
  <c r="R223" i="12"/>
  <c r="L223" i="12"/>
  <c r="AY222" i="12"/>
  <c r="AX222" i="12"/>
  <c r="AU222" i="12"/>
  <c r="AT222" i="12"/>
  <c r="AR222" i="12"/>
  <c r="AQ222" i="12"/>
  <c r="AN222" i="12"/>
  <c r="AK222" i="12"/>
  <c r="W222" i="12"/>
  <c r="R222" i="12"/>
  <c r="AW222" i="12"/>
  <c r="L222" i="12"/>
  <c r="E222" i="12"/>
  <c r="AK221" i="12"/>
  <c r="W221" i="12"/>
  <c r="R221" i="12"/>
  <c r="L221" i="12"/>
  <c r="E221" i="12"/>
  <c r="AO220" i="12"/>
  <c r="AK220" i="12"/>
  <c r="W220" i="12"/>
  <c r="Z220" i="12" s="1"/>
  <c r="L220" i="12"/>
  <c r="E220" i="12"/>
  <c r="AY219" i="12"/>
  <c r="AX219" i="12"/>
  <c r="AW219" i="12"/>
  <c r="AV219" i="12"/>
  <c r="AU219" i="12"/>
  <c r="AT219" i="12"/>
  <c r="AS219" i="12"/>
  <c r="AR219" i="12"/>
  <c r="AQ219" i="12"/>
  <c r="AP219" i="12"/>
  <c r="AO219" i="12"/>
  <c r="AN219" i="12"/>
  <c r="AK219" i="12"/>
  <c r="AJ219" i="12"/>
  <c r="AI219" i="12"/>
  <c r="AH219" i="12"/>
  <c r="AG219" i="12"/>
  <c r="R219" i="12"/>
  <c r="L219" i="12"/>
  <c r="E219" i="12"/>
  <c r="AY218" i="12"/>
  <c r="AX218" i="12"/>
  <c r="AW218" i="12"/>
  <c r="AV218" i="12"/>
  <c r="AU218" i="12"/>
  <c r="AT218" i="12"/>
  <c r="AS218" i="12"/>
  <c r="AR218" i="12"/>
  <c r="AQ218" i="12"/>
  <c r="AP218" i="12"/>
  <c r="AO218" i="12"/>
  <c r="AN218" i="12"/>
  <c r="AK218" i="12"/>
  <c r="AJ218" i="12"/>
  <c r="AI218" i="12"/>
  <c r="AH218" i="12"/>
  <c r="AG218" i="12"/>
  <c r="R218" i="12"/>
  <c r="L218" i="12"/>
  <c r="E218" i="12"/>
  <c r="AY217" i="12"/>
  <c r="AX217" i="12"/>
  <c r="AW217" i="12"/>
  <c r="AV217" i="12"/>
  <c r="AU217" i="12"/>
  <c r="AT217" i="12"/>
  <c r="AS217" i="12"/>
  <c r="AR217" i="12"/>
  <c r="AQ217" i="12"/>
  <c r="AP217" i="12"/>
  <c r="AO217" i="12"/>
  <c r="AN217" i="12"/>
  <c r="AK217" i="12"/>
  <c r="AJ217" i="12"/>
  <c r="AI217" i="12"/>
  <c r="AH217" i="12"/>
  <c r="AG217" i="12"/>
  <c r="L217" i="12"/>
  <c r="AT216" i="12"/>
  <c r="AQ216" i="12"/>
  <c r="AK216" i="12"/>
  <c r="AJ216" i="12"/>
  <c r="AI216" i="12"/>
  <c r="N216" i="12"/>
  <c r="L216" i="12"/>
  <c r="E216" i="12"/>
  <c r="AK215" i="12"/>
  <c r="W215" i="12"/>
  <c r="AR215" i="12"/>
  <c r="E215" i="12"/>
  <c r="AY214" i="12"/>
  <c r="AX214" i="12"/>
  <c r="AU214" i="12"/>
  <c r="AT214" i="12"/>
  <c r="AR214" i="12"/>
  <c r="AQ214" i="12"/>
  <c r="AN214" i="12"/>
  <c r="AK214" i="12"/>
  <c r="W214" i="12"/>
  <c r="R214" i="12"/>
  <c r="AW214" i="12"/>
  <c r="E214" i="12"/>
  <c r="N213" i="12"/>
  <c r="L213" i="12"/>
  <c r="I213" i="12"/>
  <c r="AY212" i="12"/>
  <c r="AX212" i="12"/>
  <c r="AW212" i="12"/>
  <c r="AV212" i="12"/>
  <c r="AU212" i="12"/>
  <c r="AT212" i="12"/>
  <c r="AS212" i="12"/>
  <c r="AR212" i="12"/>
  <c r="AQ212" i="12"/>
  <c r="AP212" i="12"/>
  <c r="AO212" i="12"/>
  <c r="AN212" i="12"/>
  <c r="AK212" i="12"/>
  <c r="AJ212" i="12"/>
  <c r="AI212" i="12"/>
  <c r="AH212" i="12"/>
  <c r="AG212" i="12"/>
  <c r="R212" i="12"/>
  <c r="AY211" i="12"/>
  <c r="AX211" i="12"/>
  <c r="AW211" i="12"/>
  <c r="AV211" i="12"/>
  <c r="AU211" i="12"/>
  <c r="AT211" i="12"/>
  <c r="AS211" i="12"/>
  <c r="AR211" i="12"/>
  <c r="AQ211" i="12"/>
  <c r="AP211" i="12"/>
  <c r="AO211" i="12"/>
  <c r="AN211" i="12"/>
  <c r="AK211" i="12"/>
  <c r="AJ211" i="12"/>
  <c r="AI211" i="12"/>
  <c r="AH211" i="12"/>
  <c r="AG211" i="12"/>
  <c r="R211" i="12"/>
  <c r="AY210" i="12"/>
  <c r="AX210" i="12"/>
  <c r="AW210" i="12"/>
  <c r="AV210" i="12"/>
  <c r="AU210" i="12"/>
  <c r="AT210" i="12"/>
  <c r="AS210" i="12"/>
  <c r="AR210" i="12"/>
  <c r="AQ210" i="12"/>
  <c r="AP210" i="12"/>
  <c r="AO210" i="12"/>
  <c r="AN210" i="12"/>
  <c r="AK210" i="12"/>
  <c r="AJ210" i="12"/>
  <c r="AI210" i="12"/>
  <c r="AH210" i="12"/>
  <c r="AG210" i="12"/>
  <c r="R210" i="12"/>
  <c r="E210" i="12"/>
  <c r="AY209" i="12"/>
  <c r="AX209" i="12"/>
  <c r="AW209" i="12"/>
  <c r="AV209" i="12"/>
  <c r="AU209" i="12"/>
  <c r="AT209" i="12"/>
  <c r="AS209" i="12"/>
  <c r="AR209" i="12"/>
  <c r="AQ209" i="12"/>
  <c r="AP209" i="12"/>
  <c r="AO209" i="12"/>
  <c r="AN209" i="12"/>
  <c r="AK209" i="12"/>
  <c r="AJ209" i="12"/>
  <c r="AI209" i="12"/>
  <c r="AH209" i="12"/>
  <c r="AG209" i="12"/>
  <c r="R209" i="12"/>
  <c r="E209" i="12"/>
  <c r="AY208" i="12"/>
  <c r="AX208" i="12"/>
  <c r="AW208" i="12"/>
  <c r="AV208" i="12"/>
  <c r="AU208" i="12"/>
  <c r="AT208" i="12"/>
  <c r="AS208" i="12"/>
  <c r="AR208" i="12"/>
  <c r="AQ208" i="12"/>
  <c r="AP208" i="12"/>
  <c r="AO208" i="12"/>
  <c r="AN208" i="12"/>
  <c r="AK208" i="12"/>
  <c r="AJ208" i="12"/>
  <c r="AI208" i="12"/>
  <c r="AH208" i="12"/>
  <c r="AG208" i="12"/>
  <c r="R208" i="12"/>
  <c r="E208" i="12"/>
  <c r="AY207" i="12"/>
  <c r="AX207" i="12"/>
  <c r="AW207" i="12"/>
  <c r="AV207" i="12"/>
  <c r="AU207" i="12"/>
  <c r="AT207" i="12"/>
  <c r="AS207" i="12"/>
  <c r="AR207" i="12"/>
  <c r="AQ207" i="12"/>
  <c r="AP207" i="12"/>
  <c r="AO207" i="12"/>
  <c r="AN207" i="12"/>
  <c r="AK207" i="12"/>
  <c r="AJ207" i="12"/>
  <c r="AI207" i="12"/>
  <c r="AH207" i="12"/>
  <c r="AG207" i="12"/>
  <c r="R207" i="12"/>
  <c r="E207" i="12"/>
  <c r="AY206" i="12"/>
  <c r="AX206" i="12"/>
  <c r="AW206" i="12"/>
  <c r="AV206" i="12"/>
  <c r="AU206" i="12"/>
  <c r="AT206" i="12"/>
  <c r="AS206" i="12"/>
  <c r="AR206" i="12"/>
  <c r="AQ206" i="12"/>
  <c r="AP206" i="12"/>
  <c r="AO206" i="12"/>
  <c r="AN206" i="12"/>
  <c r="AK206" i="12"/>
  <c r="AJ206" i="12"/>
  <c r="AI206" i="12"/>
  <c r="AH206" i="12"/>
  <c r="AG206" i="12"/>
  <c r="R206" i="12"/>
  <c r="E206" i="12"/>
  <c r="U205" i="12"/>
  <c r="AN205" i="12" s="1"/>
  <c r="P205" i="12"/>
  <c r="R205" i="12" s="1"/>
  <c r="E205" i="12"/>
  <c r="AY204" i="12"/>
  <c r="AX204" i="12"/>
  <c r="AW204" i="12"/>
  <c r="AV204" i="12"/>
  <c r="AU204" i="12"/>
  <c r="AT204" i="12"/>
  <c r="AS204" i="12"/>
  <c r="AR204" i="12"/>
  <c r="AQ204" i="12"/>
  <c r="AO204" i="12"/>
  <c r="AN204" i="12"/>
  <c r="AK204" i="12"/>
  <c r="AJ204" i="12"/>
  <c r="AI204" i="12"/>
  <c r="W204" i="12"/>
  <c r="AH204" i="12" s="1"/>
  <c r="R204" i="12"/>
  <c r="E204" i="12"/>
  <c r="U203" i="12"/>
  <c r="P203" i="12"/>
  <c r="R203" i="12" s="1"/>
  <c r="E203" i="12"/>
  <c r="U202" i="12"/>
  <c r="R202" i="12"/>
  <c r="P202" i="12"/>
  <c r="E202" i="12"/>
  <c r="U201" i="12"/>
  <c r="P201" i="12"/>
  <c r="R201" i="12" s="1"/>
  <c r="E201" i="12"/>
  <c r="AY200" i="12"/>
  <c r="AX200" i="12"/>
  <c r="AW200" i="12"/>
  <c r="AV200" i="12"/>
  <c r="AU200" i="12"/>
  <c r="AT200" i="12"/>
  <c r="AS200" i="12"/>
  <c r="AR200" i="12"/>
  <c r="AQ200" i="12"/>
  <c r="AO200" i="12"/>
  <c r="AN200" i="12"/>
  <c r="AK200" i="12"/>
  <c r="AJ200" i="12"/>
  <c r="AI200" i="12"/>
  <c r="W200" i="12"/>
  <c r="AH200" i="12" s="1"/>
  <c r="R200" i="12"/>
  <c r="E200" i="12"/>
  <c r="AY199" i="12"/>
  <c r="AX199" i="12"/>
  <c r="AW199" i="12"/>
  <c r="AV199" i="12"/>
  <c r="AU199" i="12"/>
  <c r="AT199" i="12"/>
  <c r="AS199" i="12"/>
  <c r="AR199" i="12"/>
  <c r="AQ199" i="12"/>
  <c r="AO199" i="12"/>
  <c r="AN199" i="12"/>
  <c r="AK199" i="12"/>
  <c r="AJ199" i="12"/>
  <c r="AI199" i="12"/>
  <c r="W199" i="12"/>
  <c r="AP199" i="12" s="1"/>
  <c r="R199" i="12"/>
  <c r="E199" i="12"/>
  <c r="AY198" i="12"/>
  <c r="AX198" i="12"/>
  <c r="AW198" i="12"/>
  <c r="AV198" i="12"/>
  <c r="AU198" i="12"/>
  <c r="AT198" i="12"/>
  <c r="AS198" i="12"/>
  <c r="AR198" i="12"/>
  <c r="AQ198" i="12"/>
  <c r="AO198" i="12"/>
  <c r="AN198" i="12"/>
  <c r="AK198" i="12"/>
  <c r="AJ198" i="12"/>
  <c r="AI198" i="12"/>
  <c r="W198" i="12"/>
  <c r="E198" i="12"/>
  <c r="U197" i="12"/>
  <c r="V197" i="12" s="1"/>
  <c r="W197" i="12" s="1"/>
  <c r="P197" i="12"/>
  <c r="R197" i="12" s="1"/>
  <c r="E197" i="12"/>
  <c r="U196" i="12"/>
  <c r="P196" i="12"/>
  <c r="R196" i="12" s="1"/>
  <c r="E196" i="12"/>
  <c r="U195" i="12"/>
  <c r="V195" i="12" s="1"/>
  <c r="R195" i="12"/>
  <c r="P195" i="12"/>
  <c r="E195" i="12"/>
  <c r="E194" i="12"/>
  <c r="AY193" i="12"/>
  <c r="AX193" i="12"/>
  <c r="AW193" i="12"/>
  <c r="AV193" i="12"/>
  <c r="AU193" i="12"/>
  <c r="AT193" i="12"/>
  <c r="AS193" i="12"/>
  <c r="AR193" i="12"/>
  <c r="AQ193" i="12"/>
  <c r="AP193" i="12"/>
  <c r="AO193" i="12"/>
  <c r="AN193" i="12"/>
  <c r="AK193" i="12"/>
  <c r="AJ193" i="12"/>
  <c r="AI193" i="12"/>
  <c r="AH193" i="12"/>
  <c r="AG193" i="12"/>
  <c r="R193" i="12"/>
  <c r="AY192" i="12"/>
  <c r="AX192" i="12"/>
  <c r="AW192" i="12"/>
  <c r="AV192" i="12"/>
  <c r="AU192" i="12"/>
  <c r="AT192" i="12"/>
  <c r="AS192" i="12"/>
  <c r="AR192" i="12"/>
  <c r="AQ192" i="12"/>
  <c r="AP192" i="12"/>
  <c r="AO192" i="12"/>
  <c r="AN192" i="12"/>
  <c r="AK192" i="12"/>
  <c r="AJ192" i="12"/>
  <c r="AI192" i="12"/>
  <c r="AH192" i="12"/>
  <c r="AG192" i="12"/>
  <c r="R192" i="12"/>
  <c r="K192" i="12"/>
  <c r="K194" i="12" s="1"/>
  <c r="AF191" i="12"/>
  <c r="AY191" i="12" s="1"/>
  <c r="AE191" i="12"/>
  <c r="AX191" i="12" s="1"/>
  <c r="AD191" i="12"/>
  <c r="AW191" i="12" s="1"/>
  <c r="AC191" i="12"/>
  <c r="AV191" i="12" s="1"/>
  <c r="AB191" i="12"/>
  <c r="AU191" i="12" s="1"/>
  <c r="AA191" i="12"/>
  <c r="Z191" i="12"/>
  <c r="AS191" i="12" s="1"/>
  <c r="Y191" i="12"/>
  <c r="X191" i="12"/>
  <c r="AQ191" i="12" s="1"/>
  <c r="W191" i="12"/>
  <c r="AP191" i="12" s="1"/>
  <c r="V191" i="12"/>
  <c r="AO191" i="12" s="1"/>
  <c r="U191" i="12"/>
  <c r="AN191" i="12" s="1"/>
  <c r="R191" i="12"/>
  <c r="L191" i="12"/>
  <c r="E191" i="12"/>
  <c r="N190" i="12"/>
  <c r="L190" i="12"/>
  <c r="E190" i="12"/>
  <c r="AY189" i="12"/>
  <c r="AX189" i="12"/>
  <c r="AW189" i="12"/>
  <c r="AV189" i="12"/>
  <c r="AU189" i="12"/>
  <c r="AT189" i="12"/>
  <c r="AS189" i="12"/>
  <c r="AR189" i="12"/>
  <c r="AQ189" i="12"/>
  <c r="AP189" i="12"/>
  <c r="AO189" i="12"/>
  <c r="AN189" i="12"/>
  <c r="AK189" i="12"/>
  <c r="AJ189" i="12"/>
  <c r="AI189" i="12"/>
  <c r="AH189" i="12"/>
  <c r="AG189" i="12"/>
  <c r="R189" i="12"/>
  <c r="L189" i="12"/>
  <c r="E189" i="12"/>
  <c r="AD188" i="12"/>
  <c r="AC188" i="12"/>
  <c r="AV188" i="12" s="1"/>
  <c r="Z188" i="12"/>
  <c r="AS188" i="12" s="1"/>
  <c r="V188" i="12"/>
  <c r="AO188" i="12" s="1"/>
  <c r="U188" i="12"/>
  <c r="N188" i="12"/>
  <c r="L188" i="12"/>
  <c r="E188" i="12"/>
  <c r="AY187" i="12"/>
  <c r="AX187" i="12"/>
  <c r="AW187" i="12"/>
  <c r="AV187" i="12"/>
  <c r="AU187" i="12"/>
  <c r="AT187" i="12"/>
  <c r="AS187" i="12"/>
  <c r="AR187" i="12"/>
  <c r="AQ187" i="12"/>
  <c r="AP187" i="12"/>
  <c r="AO187" i="12"/>
  <c r="AN187" i="12"/>
  <c r="AK187" i="12"/>
  <c r="AJ187" i="12"/>
  <c r="AI187" i="12"/>
  <c r="AH187" i="12"/>
  <c r="AG187" i="12"/>
  <c r="R187" i="12"/>
  <c r="L187" i="12"/>
  <c r="E187" i="12"/>
  <c r="Z186" i="12"/>
  <c r="N186" i="12"/>
  <c r="L186" i="12"/>
  <c r="E186" i="12"/>
  <c r="I185" i="12"/>
  <c r="I194" i="12" s="1"/>
  <c r="H245" i="12"/>
  <c r="AV184" i="12"/>
  <c r="AH184" i="12"/>
  <c r="AQ184" i="12"/>
  <c r="L184" i="12"/>
  <c r="M184" i="12" s="1"/>
  <c r="I184" i="12"/>
  <c r="AF183" i="12"/>
  <c r="AE183" i="12"/>
  <c r="AD183" i="12"/>
  <c r="AC183" i="12"/>
  <c r="AB183" i="12"/>
  <c r="AA183" i="12"/>
  <c r="Z183" i="12"/>
  <c r="Y183" i="12"/>
  <c r="Y313" i="12" s="1"/>
  <c r="X183" i="12"/>
  <c r="W183" i="12"/>
  <c r="V183" i="12"/>
  <c r="U183" i="12"/>
  <c r="U313" i="12" s="1"/>
  <c r="N183" i="12"/>
  <c r="K183" i="12"/>
  <c r="K258" i="12" s="1"/>
  <c r="J183" i="12"/>
  <c r="J258" i="12" s="1"/>
  <c r="G183" i="12"/>
  <c r="G258" i="12" s="1"/>
  <c r="F183" i="12"/>
  <c r="F258" i="12" s="1"/>
  <c r="AY182" i="12"/>
  <c r="AX182" i="12"/>
  <c r="AU182" i="12"/>
  <c r="AT182" i="12"/>
  <c r="AQ182" i="12"/>
  <c r="AP182" i="12"/>
  <c r="AK182" i="12"/>
  <c r="AJ182" i="12"/>
  <c r="AI182" i="12"/>
  <c r="AH182" i="12"/>
  <c r="AG182" i="12"/>
  <c r="AV182" i="12"/>
  <c r="L182" i="12"/>
  <c r="I182" i="12"/>
  <c r="AY181" i="12"/>
  <c r="AX181" i="12"/>
  <c r="AU181" i="12"/>
  <c r="AT181" i="12"/>
  <c r="AQ181" i="12"/>
  <c r="AP181" i="12"/>
  <c r="AK181" i="12"/>
  <c r="AJ181" i="12"/>
  <c r="AI181" i="12"/>
  <c r="AH181" i="12"/>
  <c r="AG181" i="12"/>
  <c r="AV181" i="12"/>
  <c r="L181" i="12"/>
  <c r="I181" i="12"/>
  <c r="AY180" i="12"/>
  <c r="AX180" i="12"/>
  <c r="AU180" i="12"/>
  <c r="AT180" i="12"/>
  <c r="AQ180" i="12"/>
  <c r="AP180" i="12"/>
  <c r="AK180" i="12"/>
  <c r="AJ180" i="12"/>
  <c r="AI180" i="12"/>
  <c r="AH180" i="12"/>
  <c r="AG180" i="12"/>
  <c r="P183" i="12"/>
  <c r="L180" i="12"/>
  <c r="I180" i="12"/>
  <c r="AY179" i="12"/>
  <c r="AX179" i="12"/>
  <c r="AW179" i="12"/>
  <c r="AV179" i="12"/>
  <c r="AU179" i="12"/>
  <c r="AT179" i="12"/>
  <c r="AS179" i="12"/>
  <c r="AR179" i="12"/>
  <c r="AQ179" i="12"/>
  <c r="AP179" i="12"/>
  <c r="AO179" i="12"/>
  <c r="AN179" i="12"/>
  <c r="AK179" i="12"/>
  <c r="AJ179" i="12"/>
  <c r="AI179" i="12"/>
  <c r="AH179" i="12"/>
  <c r="AG179" i="12"/>
  <c r="R179" i="12"/>
  <c r="L179" i="12"/>
  <c r="M179" i="12" s="1"/>
  <c r="BD178" i="12"/>
  <c r="BC178" i="12"/>
  <c r="BB178" i="12"/>
  <c r="BA178" i="12"/>
  <c r="AK178" i="12"/>
  <c r="AJ178" i="12"/>
  <c r="AI178" i="12"/>
  <c r="AH178" i="12"/>
  <c r="AG178" i="12"/>
  <c r="R178" i="12"/>
  <c r="AZ178" i="12" s="1"/>
  <c r="I178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N176" i="12"/>
  <c r="K176" i="12"/>
  <c r="H176" i="12"/>
  <c r="G176" i="12"/>
  <c r="F176" i="12"/>
  <c r="AV175" i="12"/>
  <c r="AU175" i="12"/>
  <c r="AR175" i="12"/>
  <c r="AN175" i="12"/>
  <c r="AK175" i="12"/>
  <c r="AJ175" i="12"/>
  <c r="AI175" i="12"/>
  <c r="AH175" i="12"/>
  <c r="AG175" i="12"/>
  <c r="P175" i="12"/>
  <c r="L175" i="12"/>
  <c r="I175" i="12"/>
  <c r="AY174" i="12"/>
  <c r="AX174" i="12"/>
  <c r="AW174" i="12"/>
  <c r="AV174" i="12"/>
  <c r="AU174" i="12"/>
  <c r="AT174" i="12"/>
  <c r="AS174" i="12"/>
  <c r="AR174" i="12"/>
  <c r="AQ174" i="12"/>
  <c r="AP174" i="12"/>
  <c r="AO174" i="12"/>
  <c r="AN174" i="12"/>
  <c r="AK174" i="12"/>
  <c r="AJ174" i="12"/>
  <c r="AI174" i="12"/>
  <c r="AH174" i="12"/>
  <c r="AG174" i="12"/>
  <c r="R174" i="12"/>
  <c r="L174" i="12"/>
  <c r="I174" i="12"/>
  <c r="AY173" i="12"/>
  <c r="AX173" i="12"/>
  <c r="AW173" i="12"/>
  <c r="AU173" i="12"/>
  <c r="AT173" i="12"/>
  <c r="AS173" i="12"/>
  <c r="AQ173" i="12"/>
  <c r="AP173" i="12"/>
  <c r="AO173" i="12"/>
  <c r="AK173" i="12"/>
  <c r="AJ173" i="12"/>
  <c r="AI173" i="12"/>
  <c r="AH173" i="12"/>
  <c r="AG173" i="12"/>
  <c r="R173" i="12"/>
  <c r="AV173" i="12"/>
  <c r="L173" i="12"/>
  <c r="I173" i="12"/>
  <c r="AY172" i="12"/>
  <c r="AY270" i="12" s="1"/>
  <c r="AX172" i="12"/>
  <c r="AX270" i="12" s="1"/>
  <c r="AW172" i="12"/>
  <c r="AU172" i="12"/>
  <c r="AU270" i="12" s="1"/>
  <c r="AT172" i="12"/>
  <c r="AS172" i="12"/>
  <c r="AS270" i="12" s="1"/>
  <c r="AQ172" i="12"/>
  <c r="AQ270" i="12" s="1"/>
  <c r="AP172" i="12"/>
  <c r="AP270" i="12" s="1"/>
  <c r="AO172" i="12"/>
  <c r="AO270" i="12" s="1"/>
  <c r="AK172" i="12"/>
  <c r="AJ172" i="12"/>
  <c r="AI172" i="12"/>
  <c r="AH172" i="12"/>
  <c r="AG172" i="12"/>
  <c r="R172" i="12"/>
  <c r="AV172" i="12"/>
  <c r="AV270" i="12" s="1"/>
  <c r="L172" i="12"/>
  <c r="M172" i="12" s="1"/>
  <c r="J270" i="12"/>
  <c r="I172" i="12"/>
  <c r="AX171" i="12"/>
  <c r="AW171" i="12"/>
  <c r="AT171" i="12"/>
  <c r="AS171" i="12"/>
  <c r="AP171" i="12"/>
  <c r="AO171" i="12"/>
  <c r="AK171" i="12"/>
  <c r="AJ171" i="12"/>
  <c r="AI171" i="12"/>
  <c r="AH171" i="12"/>
  <c r="AG171" i="12"/>
  <c r="R171" i="12"/>
  <c r="AY171" i="12"/>
  <c r="L171" i="12"/>
  <c r="O171" i="12" s="1"/>
  <c r="I171" i="12"/>
  <c r="AU170" i="12"/>
  <c r="AR170" i="12"/>
  <c r="AK170" i="12"/>
  <c r="AJ170" i="12"/>
  <c r="AI170" i="12"/>
  <c r="AH170" i="12"/>
  <c r="AG170" i="12"/>
  <c r="L170" i="12"/>
  <c r="I170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N169" i="12"/>
  <c r="K169" i="12"/>
  <c r="J169" i="12"/>
  <c r="G169" i="12"/>
  <c r="F169" i="12"/>
  <c r="AY168" i="12"/>
  <c r="AX168" i="12"/>
  <c r="AW168" i="12"/>
  <c r="AV168" i="12"/>
  <c r="AU168" i="12"/>
  <c r="AT168" i="12"/>
  <c r="AS168" i="12"/>
  <c r="AR168" i="12"/>
  <c r="AQ168" i="12"/>
  <c r="AP168" i="12"/>
  <c r="AO168" i="12"/>
  <c r="AN168" i="12"/>
  <c r="AK168" i="12"/>
  <c r="AJ168" i="12"/>
  <c r="AI168" i="12"/>
  <c r="AH168" i="12"/>
  <c r="AG168" i="12"/>
  <c r="R168" i="12"/>
  <c r="L168" i="12"/>
  <c r="I168" i="12"/>
  <c r="AY167" i="12"/>
  <c r="AX167" i="12"/>
  <c r="AW167" i="12"/>
  <c r="AV167" i="12"/>
  <c r="AU167" i="12"/>
  <c r="AT167" i="12"/>
  <c r="AS167" i="12"/>
  <c r="AR167" i="12"/>
  <c r="AQ167" i="12"/>
  <c r="AP167" i="12"/>
  <c r="AO167" i="12"/>
  <c r="AN167" i="12"/>
  <c r="AK167" i="12"/>
  <c r="AJ167" i="12"/>
  <c r="AI167" i="12"/>
  <c r="AH167" i="12"/>
  <c r="AG167" i="12"/>
  <c r="R167" i="12"/>
  <c r="AK166" i="12"/>
  <c r="AJ166" i="12"/>
  <c r="AI166" i="12"/>
  <c r="AH166" i="12"/>
  <c r="AG166" i="12"/>
  <c r="L166" i="12"/>
  <c r="O166" i="12" s="1"/>
  <c r="AX165" i="12"/>
  <c r="AW165" i="12"/>
  <c r="AT165" i="12"/>
  <c r="AS165" i="12"/>
  <c r="AP165" i="12"/>
  <c r="AO165" i="12"/>
  <c r="AK165" i="12"/>
  <c r="AJ165" i="12"/>
  <c r="AI165" i="12"/>
  <c r="AH165" i="12"/>
  <c r="AG165" i="12"/>
  <c r="R165" i="12"/>
  <c r="P165" i="12"/>
  <c r="AY165" i="12" s="1"/>
  <c r="L165" i="12"/>
  <c r="O165" i="12" s="1"/>
  <c r="AK164" i="12"/>
  <c r="AJ164" i="12"/>
  <c r="AI164" i="12"/>
  <c r="AH164" i="12"/>
  <c r="AG164" i="12"/>
  <c r="P164" i="12"/>
  <c r="L164" i="12"/>
  <c r="AY163" i="12"/>
  <c r="AX163" i="12"/>
  <c r="AW163" i="12"/>
  <c r="AV163" i="12"/>
  <c r="AU163" i="12"/>
  <c r="AT163" i="12"/>
  <c r="AS163" i="12"/>
  <c r="AR163" i="12"/>
  <c r="AQ163" i="12"/>
  <c r="AP163" i="12"/>
  <c r="AO163" i="12"/>
  <c r="AN163" i="12"/>
  <c r="AK163" i="12"/>
  <c r="AJ163" i="12"/>
  <c r="AI163" i="12"/>
  <c r="AH163" i="12"/>
  <c r="AG163" i="12"/>
  <c r="R163" i="12"/>
  <c r="M163" i="12"/>
  <c r="I163" i="12"/>
  <c r="K161" i="12"/>
  <c r="K257" i="12" s="1"/>
  <c r="J161" i="12"/>
  <c r="J257" i="12" s="1"/>
  <c r="H161" i="12"/>
  <c r="H257" i="12" s="1"/>
  <c r="G161" i="12"/>
  <c r="G257" i="12" s="1"/>
  <c r="F161" i="12"/>
  <c r="F257" i="12" s="1"/>
  <c r="BD160" i="12"/>
  <c r="BC160" i="12"/>
  <c r="BB160" i="12"/>
  <c r="BA160" i="12"/>
  <c r="AK160" i="12"/>
  <c r="AJ160" i="12"/>
  <c r="AI160" i="12"/>
  <c r="L160" i="12"/>
  <c r="M160" i="12" s="1"/>
  <c r="I160" i="12"/>
  <c r="BB159" i="12"/>
  <c r="BC159" i="12"/>
  <c r="AS161" i="12"/>
  <c r="AS257" i="12" s="1"/>
  <c r="AK159" i="12"/>
  <c r="AC161" i="12"/>
  <c r="AC257" i="12" s="1"/>
  <c r="AH159" i="12"/>
  <c r="L159" i="12"/>
  <c r="M159" i="12" s="1"/>
  <c r="I159" i="12"/>
  <c r="AY161" i="12"/>
  <c r="AY257" i="12" s="1"/>
  <c r="AV161" i="12"/>
  <c r="AV257" i="12" s="1"/>
  <c r="AU161" i="12"/>
  <c r="AU257" i="12" s="1"/>
  <c r="BC158" i="12"/>
  <c r="BB158" i="12"/>
  <c r="AR161" i="12"/>
  <c r="AR257" i="12" s="1"/>
  <c r="AQ161" i="12"/>
  <c r="AQ257" i="12" s="1"/>
  <c r="AN161" i="12"/>
  <c r="AN257" i="12" s="1"/>
  <c r="AK158" i="12"/>
  <c r="AJ158" i="12"/>
  <c r="AE161" i="12"/>
  <c r="AE257" i="12" s="1"/>
  <c r="AD161" i="12"/>
  <c r="AD257" i="12" s="1"/>
  <c r="AA161" i="12"/>
  <c r="AA257" i="12" s="1"/>
  <c r="Z161" i="12"/>
  <c r="Z257" i="12" s="1"/>
  <c r="W161" i="12"/>
  <c r="W257" i="12" s="1"/>
  <c r="V161" i="12"/>
  <c r="V257" i="12" s="1"/>
  <c r="L158" i="12"/>
  <c r="I158" i="12"/>
  <c r="N157" i="12"/>
  <c r="K157" i="12"/>
  <c r="H157" i="12"/>
  <c r="G157" i="12"/>
  <c r="F157" i="12"/>
  <c r="AY156" i="12"/>
  <c r="AX156" i="12"/>
  <c r="AW156" i="12"/>
  <c r="AV156" i="12"/>
  <c r="AU156" i="12"/>
  <c r="AT156" i="12"/>
  <c r="AS156" i="12"/>
  <c r="AR156" i="12"/>
  <c r="AQ156" i="12"/>
  <c r="AP156" i="12"/>
  <c r="AO156" i="12"/>
  <c r="AN156" i="12"/>
  <c r="AK156" i="12"/>
  <c r="AJ156" i="12"/>
  <c r="AI156" i="12"/>
  <c r="AH156" i="12"/>
  <c r="AG156" i="12"/>
  <c r="R156" i="12"/>
  <c r="AY155" i="12"/>
  <c r="AX155" i="12"/>
  <c r="AW155" i="12"/>
  <c r="AV155" i="12"/>
  <c r="AU155" i="12"/>
  <c r="AT155" i="12"/>
  <c r="AS155" i="12"/>
  <c r="AR155" i="12"/>
  <c r="AQ155" i="12"/>
  <c r="AP155" i="12"/>
  <c r="AO155" i="12"/>
  <c r="AN155" i="12"/>
  <c r="AK155" i="12"/>
  <c r="AJ155" i="12"/>
  <c r="AI155" i="12"/>
  <c r="AH155" i="12"/>
  <c r="AG155" i="12"/>
  <c r="R155" i="12"/>
  <c r="AY154" i="12"/>
  <c r="AX154" i="12"/>
  <c r="AW154" i="12"/>
  <c r="AV154" i="12"/>
  <c r="AU154" i="12"/>
  <c r="AT154" i="12"/>
  <c r="AS154" i="12"/>
  <c r="AR154" i="12"/>
  <c r="AQ154" i="12"/>
  <c r="AP154" i="12"/>
  <c r="AO154" i="12"/>
  <c r="AN154" i="12"/>
  <c r="AK154" i="12"/>
  <c r="AJ154" i="12"/>
  <c r="AI154" i="12"/>
  <c r="AH154" i="12"/>
  <c r="AG154" i="12"/>
  <c r="R154" i="12"/>
  <c r="AY153" i="12"/>
  <c r="AX153" i="12"/>
  <c r="AW153" i="12"/>
  <c r="AV153" i="12"/>
  <c r="AU153" i="12"/>
  <c r="AT153" i="12"/>
  <c r="AS153" i="12"/>
  <c r="AR153" i="12"/>
  <c r="AQ153" i="12"/>
  <c r="AP153" i="12"/>
  <c r="AO153" i="12"/>
  <c r="AN153" i="12"/>
  <c r="AK153" i="12"/>
  <c r="AJ153" i="12"/>
  <c r="AI153" i="12"/>
  <c r="AH153" i="12"/>
  <c r="AG153" i="12"/>
  <c r="R153" i="12"/>
  <c r="AY152" i="12"/>
  <c r="AX152" i="12"/>
  <c r="AW152" i="12"/>
  <c r="AV152" i="12"/>
  <c r="AU152" i="12"/>
  <c r="AT152" i="12"/>
  <c r="AS152" i="12"/>
  <c r="AR152" i="12"/>
  <c r="AQ152" i="12"/>
  <c r="AP152" i="12"/>
  <c r="AO152" i="12"/>
  <c r="AN152" i="12"/>
  <c r="AK152" i="12"/>
  <c r="AJ152" i="12"/>
  <c r="AI152" i="12"/>
  <c r="AH152" i="12"/>
  <c r="AG152" i="12"/>
  <c r="R152" i="12"/>
  <c r="AY151" i="12"/>
  <c r="AX151" i="12"/>
  <c r="AW151" i="12"/>
  <c r="AV151" i="12"/>
  <c r="AU151" i="12"/>
  <c r="AT151" i="12"/>
  <c r="AS151" i="12"/>
  <c r="AR151" i="12"/>
  <c r="AQ151" i="12"/>
  <c r="AP151" i="12"/>
  <c r="AO151" i="12"/>
  <c r="AN151" i="12"/>
  <c r="AK151" i="12"/>
  <c r="AJ151" i="12"/>
  <c r="AI151" i="12"/>
  <c r="AH151" i="12"/>
  <c r="AG151" i="12"/>
  <c r="R151" i="12"/>
  <c r="AY150" i="12"/>
  <c r="AX150" i="12"/>
  <c r="AW150" i="12"/>
  <c r="AV150" i="12"/>
  <c r="AU150" i="12"/>
  <c r="AT150" i="12"/>
  <c r="AS150" i="12"/>
  <c r="AR150" i="12"/>
  <c r="AQ150" i="12"/>
  <c r="AP150" i="12"/>
  <c r="AO150" i="12"/>
  <c r="AN150" i="12"/>
  <c r="AK150" i="12"/>
  <c r="AJ150" i="12"/>
  <c r="AI150" i="12"/>
  <c r="AH150" i="12"/>
  <c r="AG150" i="12"/>
  <c r="R150" i="12"/>
  <c r="AY149" i="12"/>
  <c r="AX149" i="12"/>
  <c r="AW149" i="12"/>
  <c r="AV149" i="12"/>
  <c r="AU149" i="12"/>
  <c r="AT149" i="12"/>
  <c r="AS149" i="12"/>
  <c r="AR149" i="12"/>
  <c r="AQ149" i="12"/>
  <c r="AP149" i="12"/>
  <c r="AO149" i="12"/>
  <c r="AN149" i="12"/>
  <c r="AK149" i="12"/>
  <c r="AJ149" i="12"/>
  <c r="AI149" i="12"/>
  <c r="AH149" i="12"/>
  <c r="AG149" i="12"/>
  <c r="R149" i="12"/>
  <c r="AY148" i="12"/>
  <c r="AX148" i="12"/>
  <c r="AW148" i="12"/>
  <c r="AV148" i="12"/>
  <c r="AU148" i="12"/>
  <c r="AT148" i="12"/>
  <c r="AS148" i="12"/>
  <c r="AR148" i="12"/>
  <c r="AQ148" i="12"/>
  <c r="AP148" i="12"/>
  <c r="AO148" i="12"/>
  <c r="AN148" i="12"/>
  <c r="AK148" i="12"/>
  <c r="AJ148" i="12"/>
  <c r="AI148" i="12"/>
  <c r="AH148" i="12"/>
  <c r="AG148" i="12"/>
  <c r="R148" i="12"/>
  <c r="AW147" i="12"/>
  <c r="AW290" i="12" s="1"/>
  <c r="AO147" i="12"/>
  <c r="AO290" i="12" s="1"/>
  <c r="AN147" i="12"/>
  <c r="AK147" i="12"/>
  <c r="AJ147" i="12"/>
  <c r="AI147" i="12"/>
  <c r="AH147" i="12"/>
  <c r="AG147" i="12"/>
  <c r="L147" i="12"/>
  <c r="D147" i="12"/>
  <c r="AU146" i="12"/>
  <c r="AX146" i="12"/>
  <c r="AP146" i="12"/>
  <c r="L146" i="12"/>
  <c r="M146" i="12" s="1"/>
  <c r="I146" i="12"/>
  <c r="AY145" i="12"/>
  <c r="AX145" i="12"/>
  <c r="AU145" i="12"/>
  <c r="AT145" i="12"/>
  <c r="AQ145" i="12"/>
  <c r="AP145" i="12"/>
  <c r="AK145" i="12"/>
  <c r="AW145" i="12"/>
  <c r="AV145" i="12"/>
  <c r="AJ145" i="12"/>
  <c r="AS145" i="12"/>
  <c r="AR145" i="12"/>
  <c r="AI145" i="12"/>
  <c r="AO145" i="12"/>
  <c r="AN145" i="12"/>
  <c r="R145" i="12"/>
  <c r="L145" i="12"/>
  <c r="I145" i="12"/>
  <c r="AX144" i="12"/>
  <c r="AW144" i="12"/>
  <c r="AT144" i="12"/>
  <c r="AS144" i="12"/>
  <c r="AP144" i="12"/>
  <c r="AO144" i="12"/>
  <c r="AK144" i="12"/>
  <c r="AJ144" i="12"/>
  <c r="AY144" i="12"/>
  <c r="AV144" i="12"/>
  <c r="AU144" i="12"/>
  <c r="AR144" i="12"/>
  <c r="R144" i="12"/>
  <c r="L144" i="12"/>
  <c r="I144" i="12"/>
  <c r="AW143" i="12"/>
  <c r="AR143" i="12"/>
  <c r="AO143" i="12"/>
  <c r="AY143" i="12"/>
  <c r="AU143" i="12"/>
  <c r="AQ143" i="12"/>
  <c r="R143" i="12"/>
  <c r="AS143" i="12"/>
  <c r="L143" i="12"/>
  <c r="I143" i="12"/>
  <c r="AN142" i="12"/>
  <c r="AJ142" i="12"/>
  <c r="AI142" i="12"/>
  <c r="AX142" i="12"/>
  <c r="AK142" i="12"/>
  <c r="AT142" i="12"/>
  <c r="AP142" i="12"/>
  <c r="AH142" i="12"/>
  <c r="AV142" i="12"/>
  <c r="L142" i="12"/>
  <c r="I142" i="12"/>
  <c r="AW141" i="12"/>
  <c r="AR141" i="12"/>
  <c r="AO141" i="12"/>
  <c r="AI141" i="12"/>
  <c r="AY141" i="12"/>
  <c r="AU141" i="12"/>
  <c r="AQ141" i="12"/>
  <c r="AG141" i="12"/>
  <c r="R141" i="12"/>
  <c r="AS141" i="12"/>
  <c r="L141" i="12"/>
  <c r="I141" i="12"/>
  <c r="AV140" i="12"/>
  <c r="AN140" i="12"/>
  <c r="AJ140" i="12"/>
  <c r="AI140" i="12"/>
  <c r="AX140" i="12"/>
  <c r="AK140" i="12"/>
  <c r="AT140" i="12"/>
  <c r="AP140" i="12"/>
  <c r="AH140" i="12"/>
  <c r="L140" i="12"/>
  <c r="I140" i="12"/>
  <c r="AW139" i="12"/>
  <c r="AR139" i="12"/>
  <c r="AO139" i="12"/>
  <c r="AD265" i="12"/>
  <c r="AC265" i="12"/>
  <c r="Z265" i="12"/>
  <c r="Y265" i="12"/>
  <c r="V265" i="12"/>
  <c r="U265" i="12"/>
  <c r="R139" i="12"/>
  <c r="AS139" i="12"/>
  <c r="I139" i="12"/>
  <c r="H265" i="12"/>
  <c r="AY138" i="12"/>
  <c r="AX138" i="12"/>
  <c r="AW138" i="12"/>
  <c r="AV138" i="12"/>
  <c r="AU138" i="12"/>
  <c r="AT138" i="12"/>
  <c r="AS138" i="12"/>
  <c r="AR138" i="12"/>
  <c r="AQ138" i="12"/>
  <c r="AP138" i="12"/>
  <c r="AO138" i="12"/>
  <c r="AN138" i="12"/>
  <c r="AK138" i="12"/>
  <c r="AJ138" i="12"/>
  <c r="AI138" i="12"/>
  <c r="AH138" i="12"/>
  <c r="AG138" i="12"/>
  <c r="R138" i="12"/>
  <c r="M138" i="12"/>
  <c r="I138" i="12"/>
  <c r="AF136" i="12"/>
  <c r="AF255" i="12" s="1"/>
  <c r="AE136" i="12"/>
  <c r="AE255" i="12" s="1"/>
  <c r="AD136" i="12"/>
  <c r="AD255" i="12" s="1"/>
  <c r="AC136" i="12"/>
  <c r="AC255" i="12" s="1"/>
  <c r="AB136" i="12"/>
  <c r="AB255" i="12" s="1"/>
  <c r="AA136" i="12"/>
  <c r="Z136" i="12"/>
  <c r="Z255" i="12" s="1"/>
  <c r="Y136" i="12"/>
  <c r="Y255" i="12" s="1"/>
  <c r="X136" i="12"/>
  <c r="W136" i="12"/>
  <c r="W255" i="12" s="1"/>
  <c r="V136" i="12"/>
  <c r="V255" i="12" s="1"/>
  <c r="U136" i="12"/>
  <c r="U255" i="12" s="1"/>
  <c r="K136" i="12"/>
  <c r="K255" i="12" s="1"/>
  <c r="G136" i="12"/>
  <c r="G255" i="12" s="1"/>
  <c r="F136" i="12"/>
  <c r="F255" i="12" s="1"/>
  <c r="AW135" i="12"/>
  <c r="AR135" i="12"/>
  <c r="AK135" i="12"/>
  <c r="AJ135" i="12"/>
  <c r="AI135" i="12"/>
  <c r="AH135" i="12"/>
  <c r="AO135" i="12"/>
  <c r="AG135" i="12"/>
  <c r="L135" i="12"/>
  <c r="O135" i="12" s="1"/>
  <c r="AX134" i="12"/>
  <c r="AW134" i="12"/>
  <c r="AT134" i="12"/>
  <c r="AS134" i="12"/>
  <c r="AP134" i="12"/>
  <c r="AO134" i="12"/>
  <c r="AK134" i="12"/>
  <c r="AJ134" i="12"/>
  <c r="AI134" i="12"/>
  <c r="AH134" i="12"/>
  <c r="R134" i="12"/>
  <c r="AY134" i="12"/>
  <c r="L134" i="12"/>
  <c r="I134" i="12"/>
  <c r="AY133" i="12"/>
  <c r="AX133" i="12"/>
  <c r="AW133" i="12"/>
  <c r="AU133" i="12"/>
  <c r="AT133" i="12"/>
  <c r="AS133" i="12"/>
  <c r="AQ133" i="12"/>
  <c r="AP133" i="12"/>
  <c r="AO133" i="12"/>
  <c r="AK133" i="12"/>
  <c r="AJ133" i="12"/>
  <c r="AI133" i="12"/>
  <c r="AH133" i="12"/>
  <c r="AG133" i="12"/>
  <c r="AV133" i="12"/>
  <c r="I133" i="12"/>
  <c r="BD132" i="12"/>
  <c r="BC132" i="12"/>
  <c r="BB132" i="12"/>
  <c r="BA132" i="12"/>
  <c r="AK132" i="12"/>
  <c r="AJ132" i="12"/>
  <c r="AI132" i="12"/>
  <c r="AH132" i="12"/>
  <c r="K132" i="12"/>
  <c r="K253" i="12" s="1"/>
  <c r="G132" i="12"/>
  <c r="G253" i="12" s="1"/>
  <c r="F132" i="12"/>
  <c r="F253" i="12" s="1"/>
  <c r="AV131" i="12"/>
  <c r="AU131" i="12"/>
  <c r="AN131" i="12"/>
  <c r="AK131" i="12"/>
  <c r="AJ131" i="12"/>
  <c r="AI131" i="12"/>
  <c r="AH131" i="12"/>
  <c r="R131" i="12"/>
  <c r="L131" i="12"/>
  <c r="I131" i="12"/>
  <c r="AO130" i="12"/>
  <c r="AK130" i="12"/>
  <c r="AJ130" i="12"/>
  <c r="AI130" i="12"/>
  <c r="AH130" i="12"/>
  <c r="AG130" i="12"/>
  <c r="L130" i="12"/>
  <c r="I130" i="12"/>
  <c r="AS129" i="12"/>
  <c r="AR129" i="12"/>
  <c r="AK129" i="12"/>
  <c r="AJ129" i="12"/>
  <c r="AI129" i="12"/>
  <c r="AH129" i="12"/>
  <c r="N129" i="12"/>
  <c r="L129" i="12"/>
  <c r="I129" i="12"/>
  <c r="AX128" i="12"/>
  <c r="AW128" i="12"/>
  <c r="AT128" i="12"/>
  <c r="AS128" i="12"/>
  <c r="AP128" i="12"/>
  <c r="AO128" i="12"/>
  <c r="AK128" i="12"/>
  <c r="AJ128" i="12"/>
  <c r="AI128" i="12"/>
  <c r="AH128" i="12"/>
  <c r="AG128" i="12"/>
  <c r="R128" i="12"/>
  <c r="AY128" i="12"/>
  <c r="L128" i="12"/>
  <c r="M128" i="12" s="1"/>
  <c r="I128" i="12"/>
  <c r="AY127" i="12"/>
  <c r="AX127" i="12"/>
  <c r="AW127" i="12"/>
  <c r="AU127" i="12"/>
  <c r="AT127" i="12"/>
  <c r="AS127" i="12"/>
  <c r="AQ127" i="12"/>
  <c r="AP127" i="12"/>
  <c r="AO127" i="12"/>
  <c r="AK127" i="12"/>
  <c r="AJ127" i="12"/>
  <c r="AI127" i="12"/>
  <c r="AH127" i="12"/>
  <c r="AV127" i="12"/>
  <c r="I127" i="12"/>
  <c r="AF126" i="12"/>
  <c r="AE126" i="12"/>
  <c r="AD126" i="12"/>
  <c r="AD306" i="12" s="1"/>
  <c r="AC126" i="12"/>
  <c r="AB126" i="12"/>
  <c r="AA126" i="12"/>
  <c r="AA306" i="12" s="1"/>
  <c r="Z126" i="12"/>
  <c r="Y126" i="12"/>
  <c r="X126" i="12"/>
  <c r="W126" i="12"/>
  <c r="V126" i="12"/>
  <c r="U126" i="12"/>
  <c r="N126" i="12"/>
  <c r="N306" i="12" s="1"/>
  <c r="G126" i="12"/>
  <c r="G254" i="12" s="1"/>
  <c r="F126" i="12"/>
  <c r="F254" i="12" s="1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K125" i="12"/>
  <c r="AJ125" i="12"/>
  <c r="AI125" i="12"/>
  <c r="AH125" i="12"/>
  <c r="AG125" i="12"/>
  <c r="R125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K124" i="12"/>
  <c r="AJ124" i="12"/>
  <c r="AI124" i="12"/>
  <c r="AH124" i="12"/>
  <c r="AG124" i="12"/>
  <c r="R124" i="12"/>
  <c r="L124" i="12"/>
  <c r="AX123" i="12"/>
  <c r="AW123" i="12"/>
  <c r="AT123" i="12"/>
  <c r="AS123" i="12"/>
  <c r="AP123" i="12"/>
  <c r="AO123" i="12"/>
  <c r="AK123" i="12"/>
  <c r="AJ123" i="12"/>
  <c r="AI123" i="12"/>
  <c r="AH123" i="12"/>
  <c r="AG123" i="12"/>
  <c r="R123" i="12"/>
  <c r="AY123" i="12"/>
  <c r="L123" i="12"/>
  <c r="AV122" i="12"/>
  <c r="AS122" i="12"/>
  <c r="AR122" i="12"/>
  <c r="AN122" i="12"/>
  <c r="AK122" i="12"/>
  <c r="AJ122" i="12"/>
  <c r="AI122" i="12"/>
  <c r="AH122" i="12"/>
  <c r="AG122" i="12"/>
  <c r="R122" i="12"/>
  <c r="L122" i="12"/>
  <c r="AK121" i="12"/>
  <c r="AJ121" i="12"/>
  <c r="AI121" i="12"/>
  <c r="AH121" i="12"/>
  <c r="AG121" i="12"/>
  <c r="AQ121" i="12"/>
  <c r="L121" i="12"/>
  <c r="AY120" i="12"/>
  <c r="AX120" i="12"/>
  <c r="AW120" i="12"/>
  <c r="AU120" i="12"/>
  <c r="AT120" i="12"/>
  <c r="AS120" i="12"/>
  <c r="AQ120" i="12"/>
  <c r="AP120" i="12"/>
  <c r="AO120" i="12"/>
  <c r="AK120" i="12"/>
  <c r="AJ120" i="12"/>
  <c r="AI120" i="12"/>
  <c r="AH120" i="12"/>
  <c r="AG120" i="12"/>
  <c r="R120" i="12"/>
  <c r="AV120" i="12"/>
  <c r="L120" i="12"/>
  <c r="AX119" i="12"/>
  <c r="AW119" i="12"/>
  <c r="AT119" i="12"/>
  <c r="AS119" i="12"/>
  <c r="AP119" i="12"/>
  <c r="AO119" i="12"/>
  <c r="AK119" i="12"/>
  <c r="AJ119" i="12"/>
  <c r="AI119" i="12"/>
  <c r="AH119" i="12"/>
  <c r="AG119" i="12"/>
  <c r="R119" i="12"/>
  <c r="AY119" i="12"/>
  <c r="L119" i="12"/>
  <c r="AS118" i="12"/>
  <c r="AR118" i="12"/>
  <c r="AK118" i="12"/>
  <c r="AJ118" i="12"/>
  <c r="AI118" i="12"/>
  <c r="AH118" i="12"/>
  <c r="AG118" i="12"/>
  <c r="R118" i="12"/>
  <c r="L118" i="12"/>
  <c r="I118" i="12"/>
  <c r="AV117" i="12"/>
  <c r="AS117" i="12"/>
  <c r="AR117" i="12"/>
  <c r="AN117" i="12"/>
  <c r="AK117" i="12"/>
  <c r="AJ117" i="12"/>
  <c r="AI117" i="12"/>
  <c r="AH117" i="12"/>
  <c r="AG117" i="12"/>
  <c r="R117" i="12"/>
  <c r="L117" i="12"/>
  <c r="I117" i="12"/>
  <c r="AK116" i="12"/>
  <c r="AJ116" i="12"/>
  <c r="AI116" i="12"/>
  <c r="AH116" i="12"/>
  <c r="AG116" i="12"/>
  <c r="AO116" i="12"/>
  <c r="L116" i="12"/>
  <c r="I116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K115" i="12"/>
  <c r="AJ115" i="12"/>
  <c r="AI115" i="12"/>
  <c r="AH115" i="12"/>
  <c r="AG115" i="12"/>
  <c r="R115" i="12"/>
  <c r="AX114" i="12"/>
  <c r="AW114" i="12"/>
  <c r="AT114" i="12"/>
  <c r="AS114" i="12"/>
  <c r="AP114" i="12"/>
  <c r="AO114" i="12"/>
  <c r="AK114" i="12"/>
  <c r="AJ114" i="12"/>
  <c r="AI114" i="12"/>
  <c r="AH114" i="12"/>
  <c r="AG114" i="12"/>
  <c r="R114" i="12"/>
  <c r="AY114" i="12"/>
  <c r="K114" i="12"/>
  <c r="L114" i="12" s="1"/>
  <c r="I114" i="12"/>
  <c r="AY113" i="12"/>
  <c r="AX113" i="12"/>
  <c r="AW113" i="12"/>
  <c r="AU113" i="12"/>
  <c r="AT113" i="12"/>
  <c r="BC113" i="12" s="1"/>
  <c r="AS113" i="12"/>
  <c r="AQ113" i="12"/>
  <c r="AP113" i="12"/>
  <c r="AO113" i="12"/>
  <c r="AK113" i="12"/>
  <c r="AJ113" i="12"/>
  <c r="AI113" i="12"/>
  <c r="AH113" i="12"/>
  <c r="AG113" i="12"/>
  <c r="R113" i="12"/>
  <c r="AV113" i="12"/>
  <c r="I113" i="12"/>
  <c r="AQ112" i="12"/>
  <c r="AN112" i="12"/>
  <c r="AK112" i="12"/>
  <c r="AJ112" i="12"/>
  <c r="AI112" i="12"/>
  <c r="AH112" i="12"/>
  <c r="AG112" i="12"/>
  <c r="AY112" i="12"/>
  <c r="K112" i="12"/>
  <c r="I112" i="12"/>
  <c r="AS111" i="12"/>
  <c r="AR111" i="12"/>
  <c r="AK111" i="12"/>
  <c r="AJ111" i="12"/>
  <c r="AI111" i="12"/>
  <c r="AH111" i="12"/>
  <c r="AG111" i="12"/>
  <c r="R111" i="12"/>
  <c r="K111" i="12"/>
  <c r="L111" i="12" s="1"/>
  <c r="I111" i="12"/>
  <c r="AX110" i="12"/>
  <c r="AW110" i="12"/>
  <c r="AT110" i="12"/>
  <c r="AS110" i="12"/>
  <c r="AP110" i="12"/>
  <c r="AO110" i="12"/>
  <c r="AK110" i="12"/>
  <c r="AJ110" i="12"/>
  <c r="AI110" i="12"/>
  <c r="AH110" i="12"/>
  <c r="AG110" i="12"/>
  <c r="R110" i="12"/>
  <c r="AY110" i="12"/>
  <c r="K110" i="12"/>
  <c r="L110" i="12" s="1"/>
  <c r="I110" i="12"/>
  <c r="AY109" i="12"/>
  <c r="AX109" i="12"/>
  <c r="AW109" i="12"/>
  <c r="AU109" i="12"/>
  <c r="AT109" i="12"/>
  <c r="AS109" i="12"/>
  <c r="AQ109" i="12"/>
  <c r="AP109" i="12"/>
  <c r="AO109" i="12"/>
  <c r="AK109" i="12"/>
  <c r="AJ109" i="12"/>
  <c r="AI109" i="12"/>
  <c r="AH109" i="12"/>
  <c r="AG109" i="12"/>
  <c r="R109" i="12"/>
  <c r="AV109" i="12"/>
  <c r="I109" i="12"/>
  <c r="AQ108" i="12"/>
  <c r="AN108" i="12"/>
  <c r="AK108" i="12"/>
  <c r="AJ108" i="12"/>
  <c r="AI108" i="12"/>
  <c r="AH108" i="12"/>
  <c r="AG108" i="12"/>
  <c r="AY108" i="12"/>
  <c r="L108" i="12"/>
  <c r="I108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K107" i="12"/>
  <c r="AJ107" i="12"/>
  <c r="AI107" i="12"/>
  <c r="AH107" i="12"/>
  <c r="AG107" i="12"/>
  <c r="R107" i="12"/>
  <c r="L107" i="12"/>
  <c r="I107" i="12"/>
  <c r="AY106" i="12"/>
  <c r="AX106" i="12"/>
  <c r="AW106" i="12"/>
  <c r="AU106" i="12"/>
  <c r="AT106" i="12"/>
  <c r="AS106" i="12"/>
  <c r="AQ106" i="12"/>
  <c r="AP106" i="12"/>
  <c r="AO106" i="12"/>
  <c r="AK106" i="12"/>
  <c r="AJ106" i="12"/>
  <c r="AI106" i="12"/>
  <c r="AH106" i="12"/>
  <c r="AG106" i="12"/>
  <c r="R106" i="12"/>
  <c r="AV106" i="12"/>
  <c r="L106" i="12"/>
  <c r="O106" i="12" s="1"/>
  <c r="I106" i="12"/>
  <c r="AY105" i="12"/>
  <c r="AX105" i="12"/>
  <c r="AW105" i="12"/>
  <c r="AU105" i="12"/>
  <c r="AT105" i="12"/>
  <c r="AS105" i="12"/>
  <c r="AQ105" i="12"/>
  <c r="AP105" i="12"/>
  <c r="AO105" i="12"/>
  <c r="AK105" i="12"/>
  <c r="AJ105" i="12"/>
  <c r="AI105" i="12"/>
  <c r="AH105" i="12"/>
  <c r="AG105" i="12"/>
  <c r="R105" i="12"/>
  <c r="AV105" i="12"/>
  <c r="L105" i="12"/>
  <c r="M105" i="12" s="1"/>
  <c r="I105" i="12"/>
  <c r="AY104" i="12"/>
  <c r="AX104" i="12"/>
  <c r="AW104" i="12"/>
  <c r="AU104" i="12"/>
  <c r="AT104" i="12"/>
  <c r="AS104" i="12"/>
  <c r="AQ104" i="12"/>
  <c r="AP104" i="12"/>
  <c r="AO104" i="12"/>
  <c r="AK104" i="12"/>
  <c r="AJ104" i="12"/>
  <c r="AI104" i="12"/>
  <c r="AH104" i="12"/>
  <c r="AG104" i="12"/>
  <c r="R104" i="12"/>
  <c r="AV104" i="12"/>
  <c r="L104" i="12"/>
  <c r="O104" i="12" s="1"/>
  <c r="I104" i="12"/>
  <c r="G103" i="12"/>
  <c r="F103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K102" i="12"/>
  <c r="AJ102" i="12"/>
  <c r="AI102" i="12"/>
  <c r="AH102" i="12"/>
  <c r="AG102" i="12"/>
  <c r="R102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K101" i="12"/>
  <c r="AJ101" i="12"/>
  <c r="AI101" i="12"/>
  <c r="AH101" i="12"/>
  <c r="AG101" i="12"/>
  <c r="R101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K100" i="12"/>
  <c r="AJ100" i="12"/>
  <c r="AI100" i="12"/>
  <c r="AH100" i="12"/>
  <c r="AG100" i="12"/>
  <c r="R100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K99" i="12"/>
  <c r="AJ99" i="12"/>
  <c r="AI99" i="12"/>
  <c r="AH99" i="12"/>
  <c r="AG99" i="12"/>
  <c r="R99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K98" i="12"/>
  <c r="AJ98" i="12"/>
  <c r="AI98" i="12"/>
  <c r="AH98" i="12"/>
  <c r="AG98" i="12"/>
  <c r="R98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K97" i="12"/>
  <c r="AJ97" i="12"/>
  <c r="AI97" i="12"/>
  <c r="AH97" i="12"/>
  <c r="AG97" i="12"/>
  <c r="R97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K96" i="12"/>
  <c r="AJ96" i="12"/>
  <c r="AI96" i="12"/>
  <c r="AH96" i="12"/>
  <c r="AG96" i="12"/>
  <c r="R96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K95" i="12"/>
  <c r="AJ95" i="12"/>
  <c r="AI95" i="12"/>
  <c r="AH95" i="12"/>
  <c r="AG95" i="12"/>
  <c r="R95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K94" i="12"/>
  <c r="AJ94" i="12"/>
  <c r="AI94" i="12"/>
  <c r="AH94" i="12"/>
  <c r="AG94" i="12"/>
  <c r="R94" i="12"/>
  <c r="AK93" i="12"/>
  <c r="AJ93" i="12"/>
  <c r="AI93" i="12"/>
  <c r="AH93" i="12"/>
  <c r="AG93" i="12"/>
  <c r="AV92" i="12"/>
  <c r="AS92" i="12"/>
  <c r="AR92" i="12"/>
  <c r="AN92" i="12"/>
  <c r="AK92" i="12"/>
  <c r="AJ92" i="12"/>
  <c r="AI92" i="12"/>
  <c r="AH92" i="12"/>
  <c r="AG92" i="12"/>
  <c r="R92" i="12"/>
  <c r="AY91" i="12"/>
  <c r="AX91" i="12"/>
  <c r="AW91" i="12"/>
  <c r="AU91" i="12"/>
  <c r="AT91" i="12"/>
  <c r="AS91" i="12"/>
  <c r="AQ91" i="12"/>
  <c r="AP91" i="12"/>
  <c r="AO91" i="12"/>
  <c r="AK91" i="12"/>
  <c r="AJ91" i="12"/>
  <c r="AI91" i="12"/>
  <c r="AH91" i="12"/>
  <c r="AG91" i="12"/>
  <c r="R91" i="12"/>
  <c r="AV91" i="12"/>
  <c r="AV90" i="12"/>
  <c r="AS90" i="12"/>
  <c r="AR90" i="12"/>
  <c r="AN90" i="12"/>
  <c r="AK90" i="12"/>
  <c r="AJ90" i="12"/>
  <c r="AI90" i="12"/>
  <c r="AH90" i="12"/>
  <c r="AG90" i="12"/>
  <c r="R90" i="12"/>
  <c r="AY89" i="12"/>
  <c r="AX89" i="12"/>
  <c r="AW89" i="12"/>
  <c r="AU89" i="12"/>
  <c r="AT89" i="12"/>
  <c r="AS89" i="12"/>
  <c r="AQ89" i="12"/>
  <c r="AP89" i="12"/>
  <c r="AO89" i="12"/>
  <c r="AK89" i="12"/>
  <c r="AJ89" i="12"/>
  <c r="AI89" i="12"/>
  <c r="AH89" i="12"/>
  <c r="AG89" i="12"/>
  <c r="R89" i="12"/>
  <c r="AV89" i="12"/>
  <c r="D89" i="12"/>
  <c r="AX88" i="12"/>
  <c r="AW88" i="12"/>
  <c r="AT88" i="12"/>
  <c r="AS88" i="12"/>
  <c r="AP88" i="12"/>
  <c r="AO88" i="12"/>
  <c r="AK88" i="12"/>
  <c r="AJ88" i="12"/>
  <c r="AI88" i="12"/>
  <c r="AH88" i="12"/>
  <c r="AG88" i="12"/>
  <c r="R88" i="12"/>
  <c r="AY88" i="12"/>
  <c r="AV87" i="12"/>
  <c r="AU87" i="12"/>
  <c r="AR87" i="12"/>
  <c r="AN87" i="12"/>
  <c r="AK87" i="12"/>
  <c r="AJ87" i="12"/>
  <c r="AI87" i="12"/>
  <c r="AH87" i="12"/>
  <c r="AG87" i="12"/>
  <c r="AK86" i="12"/>
  <c r="AJ86" i="12"/>
  <c r="AI86" i="12"/>
  <c r="AH86" i="12"/>
  <c r="AG86" i="12"/>
  <c r="AY85" i="12"/>
  <c r="AU85" i="12"/>
  <c r="AP85" i="12"/>
  <c r="AN85" i="12"/>
  <c r="AK85" i="12"/>
  <c r="AJ85" i="12"/>
  <c r="AI85" i="12"/>
  <c r="AH85" i="12"/>
  <c r="AG85" i="12"/>
  <c r="AO84" i="12"/>
  <c r="AK84" i="12"/>
  <c r="AJ84" i="12"/>
  <c r="AI84" i="12"/>
  <c r="AH84" i="12"/>
  <c r="AG84" i="12"/>
  <c r="AV84" i="12"/>
  <c r="AQ83" i="12"/>
  <c r="AK83" i="12"/>
  <c r="AJ83" i="12"/>
  <c r="AI83" i="12"/>
  <c r="AH83" i="12"/>
  <c r="AG83" i="12"/>
  <c r="AW82" i="12"/>
  <c r="AV82" i="12"/>
  <c r="AR82" i="12"/>
  <c r="AP82" i="12"/>
  <c r="AK82" i="12"/>
  <c r="AJ82" i="12"/>
  <c r="AI82" i="12"/>
  <c r="AH82" i="12"/>
  <c r="AG82" i="12"/>
  <c r="R82" i="12"/>
  <c r="L82" i="12"/>
  <c r="I82" i="12"/>
  <c r="AX81" i="12"/>
  <c r="AW81" i="12"/>
  <c r="AV81" i="12"/>
  <c r="AS81" i="12"/>
  <c r="AR81" i="12"/>
  <c r="AP81" i="12"/>
  <c r="AN81" i="12"/>
  <c r="AK81" i="12"/>
  <c r="AJ81" i="12"/>
  <c r="AI81" i="12"/>
  <c r="AH81" i="12"/>
  <c r="AG81" i="12"/>
  <c r="R81" i="12"/>
  <c r="L81" i="12"/>
  <c r="I81" i="12"/>
  <c r="AX80" i="12"/>
  <c r="AT80" i="12"/>
  <c r="AO80" i="12"/>
  <c r="AN80" i="12"/>
  <c r="AK80" i="12"/>
  <c r="AJ80" i="12"/>
  <c r="AI80" i="12"/>
  <c r="AH80" i="12"/>
  <c r="AG80" i="12"/>
  <c r="L80" i="12"/>
  <c r="I80" i="12"/>
  <c r="AO79" i="12"/>
  <c r="AK79" i="12"/>
  <c r="AJ79" i="12"/>
  <c r="AI79" i="12"/>
  <c r="AH79" i="12"/>
  <c r="AG79" i="12"/>
  <c r="AQ78" i="12"/>
  <c r="AK78" i="12"/>
  <c r="AJ78" i="12"/>
  <c r="AI78" i="12"/>
  <c r="AH78" i="12"/>
  <c r="AG78" i="12"/>
  <c r="AP78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K77" i="12"/>
  <c r="AJ77" i="12"/>
  <c r="AI77" i="12"/>
  <c r="AH77" i="12"/>
  <c r="AG77" i="12"/>
  <c r="R77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K76" i="12"/>
  <c r="AJ76" i="12"/>
  <c r="AI76" i="12"/>
  <c r="AH76" i="12"/>
  <c r="AG76" i="12"/>
  <c r="R76" i="12"/>
  <c r="AY75" i="12"/>
  <c r="AX75" i="12"/>
  <c r="AV75" i="12"/>
  <c r="AT75" i="12"/>
  <c r="AR75" i="12"/>
  <c r="AQ75" i="12"/>
  <c r="AN75" i="12"/>
  <c r="AK75" i="12"/>
  <c r="AJ75" i="12"/>
  <c r="AI75" i="12"/>
  <c r="AH75" i="12"/>
  <c r="AG75" i="12"/>
  <c r="L75" i="12"/>
  <c r="O75" i="12" s="1"/>
  <c r="I75" i="12"/>
  <c r="AY74" i="12"/>
  <c r="AU74" i="12"/>
  <c r="AP74" i="12"/>
  <c r="AN74" i="12"/>
  <c r="AK74" i="12"/>
  <c r="AJ74" i="12"/>
  <c r="AI74" i="12"/>
  <c r="AH74" i="12"/>
  <c r="AG74" i="12"/>
  <c r="L74" i="12"/>
  <c r="I74" i="12"/>
  <c r="AV73" i="12"/>
  <c r="AQ73" i="12"/>
  <c r="AP73" i="12"/>
  <c r="AK73" i="12"/>
  <c r="AJ73" i="12"/>
  <c r="AI73" i="12"/>
  <c r="AH73" i="12"/>
  <c r="AG73" i="12"/>
  <c r="L73" i="12"/>
  <c r="I73" i="12"/>
  <c r="AX72" i="12"/>
  <c r="AV72" i="12"/>
  <c r="AR72" i="12"/>
  <c r="AQ72" i="12"/>
  <c r="AK72" i="12"/>
  <c r="AJ72" i="12"/>
  <c r="AI72" i="12"/>
  <c r="AH72" i="12"/>
  <c r="AG72" i="12"/>
  <c r="L72" i="12"/>
  <c r="O72" i="12" s="1"/>
  <c r="I72" i="12"/>
  <c r="AY71" i="12"/>
  <c r="AX71" i="12"/>
  <c r="AV71" i="12"/>
  <c r="AT71" i="12"/>
  <c r="AR71" i="12"/>
  <c r="AQ71" i="12"/>
  <c r="AN71" i="12"/>
  <c r="AK71" i="12"/>
  <c r="AJ71" i="12"/>
  <c r="AI71" i="12"/>
  <c r="AH71" i="12"/>
  <c r="AG71" i="12"/>
  <c r="L71" i="12"/>
  <c r="O71" i="12" s="1"/>
  <c r="I71" i="12"/>
  <c r="AY70" i="12"/>
  <c r="AX70" i="12"/>
  <c r="AW70" i="12"/>
  <c r="AU70" i="12"/>
  <c r="AT70" i="12"/>
  <c r="AS70" i="12"/>
  <c r="AQ70" i="12"/>
  <c r="AP70" i="12"/>
  <c r="AO70" i="12"/>
  <c r="AK70" i="12"/>
  <c r="AJ70" i="12"/>
  <c r="AI70" i="12"/>
  <c r="AH70" i="12"/>
  <c r="AG70" i="12"/>
  <c r="R70" i="12"/>
  <c r="AV70" i="12"/>
  <c r="L70" i="12"/>
  <c r="O70" i="12" s="1"/>
  <c r="I70" i="12"/>
  <c r="AY69" i="12"/>
  <c r="AX69" i="12"/>
  <c r="AW69" i="12"/>
  <c r="AU69" i="12"/>
  <c r="AT69" i="12"/>
  <c r="AS69" i="12"/>
  <c r="AQ69" i="12"/>
  <c r="AP69" i="12"/>
  <c r="AO69" i="12"/>
  <c r="AK69" i="12"/>
  <c r="AJ69" i="12"/>
  <c r="AI69" i="12"/>
  <c r="AH69" i="12"/>
  <c r="AG69" i="12"/>
  <c r="R69" i="12"/>
  <c r="AV69" i="12"/>
  <c r="L69" i="12"/>
  <c r="M69" i="12" s="1"/>
  <c r="I69" i="12"/>
  <c r="AY68" i="12"/>
  <c r="AX68" i="12"/>
  <c r="AW68" i="12"/>
  <c r="AU68" i="12"/>
  <c r="AT68" i="12"/>
  <c r="AS68" i="12"/>
  <c r="AQ68" i="12"/>
  <c r="AP68" i="12"/>
  <c r="AO68" i="12"/>
  <c r="AK68" i="12"/>
  <c r="AJ68" i="12"/>
  <c r="AI68" i="12"/>
  <c r="AH68" i="12"/>
  <c r="AG68" i="12"/>
  <c r="R68" i="12"/>
  <c r="AV68" i="12"/>
  <c r="L68" i="12"/>
  <c r="M68" i="12" s="1"/>
  <c r="AY67" i="12"/>
  <c r="AX67" i="12"/>
  <c r="AW67" i="12"/>
  <c r="AU67" i="12"/>
  <c r="AT67" i="12"/>
  <c r="AS67" i="12"/>
  <c r="AQ67" i="12"/>
  <c r="AP67" i="12"/>
  <c r="AO67" i="12"/>
  <c r="AK67" i="12"/>
  <c r="AJ67" i="12"/>
  <c r="AI67" i="12"/>
  <c r="AH67" i="12"/>
  <c r="AG67" i="12"/>
  <c r="R67" i="12"/>
  <c r="AV67" i="12"/>
  <c r="L67" i="12"/>
  <c r="O67" i="12" s="1"/>
  <c r="I67" i="12"/>
  <c r="AY66" i="12"/>
  <c r="AX66" i="12"/>
  <c r="AW66" i="12"/>
  <c r="AU66" i="12"/>
  <c r="AT66" i="12"/>
  <c r="AS66" i="12"/>
  <c r="AQ66" i="12"/>
  <c r="AP66" i="12"/>
  <c r="AO66" i="12"/>
  <c r="AK66" i="12"/>
  <c r="AJ66" i="12"/>
  <c r="AI66" i="12"/>
  <c r="AH66" i="12"/>
  <c r="AG66" i="12"/>
  <c r="R66" i="12"/>
  <c r="AV66" i="12"/>
  <c r="L66" i="12"/>
  <c r="AY65" i="12"/>
  <c r="AX65" i="12"/>
  <c r="AW65" i="12"/>
  <c r="AU65" i="12"/>
  <c r="AT65" i="12"/>
  <c r="AS65" i="12"/>
  <c r="AQ65" i="12"/>
  <c r="AP65" i="12"/>
  <c r="AO65" i="12"/>
  <c r="AK65" i="12"/>
  <c r="AJ65" i="12"/>
  <c r="AI65" i="12"/>
  <c r="AH65" i="12"/>
  <c r="AG65" i="12"/>
  <c r="R65" i="12"/>
  <c r="AV65" i="12"/>
  <c r="K65" i="12"/>
  <c r="L65" i="12" s="1"/>
  <c r="AY64" i="12"/>
  <c r="AX64" i="12"/>
  <c r="AW64" i="12"/>
  <c r="AU64" i="12"/>
  <c r="AT64" i="12"/>
  <c r="BC64" i="12" s="1"/>
  <c r="AS64" i="12"/>
  <c r="AQ64" i="12"/>
  <c r="AP64" i="12"/>
  <c r="AO64" i="12"/>
  <c r="AK64" i="12"/>
  <c r="AJ64" i="12"/>
  <c r="AI64" i="12"/>
  <c r="AH64" i="12"/>
  <c r="AG64" i="12"/>
  <c r="R64" i="12"/>
  <c r="AV64" i="12"/>
  <c r="L64" i="12"/>
  <c r="M64" i="12" s="1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K63" i="12"/>
  <c r="AJ63" i="12"/>
  <c r="AI63" i="12"/>
  <c r="AH63" i="12"/>
  <c r="AG63" i="12"/>
  <c r="R63" i="12"/>
  <c r="U62" i="12"/>
  <c r="V62" i="12" s="1"/>
  <c r="W62" i="12" s="1"/>
  <c r="R62" i="12"/>
  <c r="I62" i="12"/>
  <c r="U61" i="12"/>
  <c r="R61" i="12"/>
  <c r="I61" i="12"/>
  <c r="U60" i="12"/>
  <c r="V60" i="12" s="1"/>
  <c r="W60" i="12" s="1"/>
  <c r="R60" i="12"/>
  <c r="K60" i="12"/>
  <c r="I60" i="12"/>
  <c r="U59" i="12"/>
  <c r="K59" i="12"/>
  <c r="L59" i="12" s="1"/>
  <c r="I59" i="12"/>
  <c r="U58" i="12"/>
  <c r="R58" i="12"/>
  <c r="K58" i="12"/>
  <c r="L58" i="12" s="1"/>
  <c r="O58" i="12" s="1"/>
  <c r="I58" i="12"/>
  <c r="AY57" i="12"/>
  <c r="AX57" i="12"/>
  <c r="AU57" i="12"/>
  <c r="AT57" i="12"/>
  <c r="AQ57" i="12"/>
  <c r="AP57" i="12"/>
  <c r="AF57" i="12"/>
  <c r="AE57" i="12"/>
  <c r="AD57" i="12"/>
  <c r="AW57" i="12" s="1"/>
  <c r="AC57" i="12"/>
  <c r="AB57" i="12"/>
  <c r="AA57" i="12"/>
  <c r="Z57" i="12"/>
  <c r="Y57" i="12"/>
  <c r="X57" i="12"/>
  <c r="W57" i="12"/>
  <c r="V57" i="12"/>
  <c r="U57" i="12"/>
  <c r="R57" i="12"/>
  <c r="I57" i="12"/>
  <c r="AV56" i="12"/>
  <c r="AN56" i="12"/>
  <c r="AK56" i="12"/>
  <c r="AJ56" i="12"/>
  <c r="AI56" i="12"/>
  <c r="AH56" i="12"/>
  <c r="AG56" i="12"/>
  <c r="AX55" i="12"/>
  <c r="AW55" i="12"/>
  <c r="AT55" i="12"/>
  <c r="AS55" i="12"/>
  <c r="AP55" i="12"/>
  <c r="AO55" i="12"/>
  <c r="AK55" i="12"/>
  <c r="AJ55" i="12"/>
  <c r="AI55" i="12"/>
  <c r="AH55" i="12"/>
  <c r="AG55" i="12"/>
  <c r="R55" i="12"/>
  <c r="AY55" i="12"/>
  <c r="K55" i="12"/>
  <c r="L55" i="12" s="1"/>
  <c r="M55" i="12" s="1"/>
  <c r="I55" i="12"/>
  <c r="AX54" i="12"/>
  <c r="AW54" i="12"/>
  <c r="AT54" i="12"/>
  <c r="AS54" i="12"/>
  <c r="AP54" i="12"/>
  <c r="AO54" i="12"/>
  <c r="AK54" i="12"/>
  <c r="AJ54" i="12"/>
  <c r="AI54" i="12"/>
  <c r="AH54" i="12"/>
  <c r="AG54" i="12"/>
  <c r="R54" i="12"/>
  <c r="AY54" i="12"/>
  <c r="K54" i="12"/>
  <c r="L54" i="12" s="1"/>
  <c r="I54" i="12"/>
  <c r="AX53" i="12"/>
  <c r="AW53" i="12"/>
  <c r="AT53" i="12"/>
  <c r="AS53" i="12"/>
  <c r="AP53" i="12"/>
  <c r="AO53" i="12"/>
  <c r="AK53" i="12"/>
  <c r="AJ53" i="12"/>
  <c r="AI53" i="12"/>
  <c r="AH53" i="12"/>
  <c r="AG53" i="12"/>
  <c r="R53" i="12"/>
  <c r="AY53" i="12"/>
  <c r="L53" i="12"/>
  <c r="O53" i="12" s="1"/>
  <c r="I53" i="12"/>
  <c r="AX52" i="12"/>
  <c r="AW52" i="12"/>
  <c r="AT52" i="12"/>
  <c r="AS52" i="12"/>
  <c r="AP52" i="12"/>
  <c r="AO52" i="12"/>
  <c r="AK52" i="12"/>
  <c r="AJ52" i="12"/>
  <c r="AI52" i="12"/>
  <c r="AH52" i="12"/>
  <c r="AG52" i="12"/>
  <c r="R52" i="12"/>
  <c r="AY52" i="12"/>
  <c r="L52" i="12"/>
  <c r="O52" i="12" s="1"/>
  <c r="I52" i="12"/>
  <c r="AX51" i="12"/>
  <c r="AW51" i="12"/>
  <c r="AT51" i="12"/>
  <c r="AS51" i="12"/>
  <c r="AP51" i="12"/>
  <c r="AO51" i="12"/>
  <c r="AK51" i="12"/>
  <c r="AJ51" i="12"/>
  <c r="AI51" i="12"/>
  <c r="AH51" i="12"/>
  <c r="AG51" i="12"/>
  <c r="R51" i="12"/>
  <c r="AY51" i="12"/>
  <c r="L51" i="12"/>
  <c r="O51" i="12" s="1"/>
  <c r="I51" i="12"/>
  <c r="AX50" i="12"/>
  <c r="AW50" i="12"/>
  <c r="AT50" i="12"/>
  <c r="AS50" i="12"/>
  <c r="AP50" i="12"/>
  <c r="AO50" i="12"/>
  <c r="AK50" i="12"/>
  <c r="AJ50" i="12"/>
  <c r="AI50" i="12"/>
  <c r="AH50" i="12"/>
  <c r="AG50" i="12"/>
  <c r="R50" i="12"/>
  <c r="AY50" i="12"/>
  <c r="L50" i="12"/>
  <c r="O50" i="12" s="1"/>
  <c r="I50" i="12"/>
  <c r="AX49" i="12"/>
  <c r="AW49" i="12"/>
  <c r="AT49" i="12"/>
  <c r="AS49" i="12"/>
  <c r="AP49" i="12"/>
  <c r="AO49" i="12"/>
  <c r="AK49" i="12"/>
  <c r="AJ49" i="12"/>
  <c r="AI49" i="12"/>
  <c r="AH49" i="12"/>
  <c r="AG49" i="12"/>
  <c r="R49" i="12"/>
  <c r="AY49" i="12"/>
  <c r="L49" i="12"/>
  <c r="O49" i="12" s="1"/>
  <c r="I49" i="12"/>
  <c r="AX48" i="12"/>
  <c r="AW48" i="12"/>
  <c r="AT48" i="12"/>
  <c r="AS48" i="12"/>
  <c r="AP48" i="12"/>
  <c r="AO48" i="12"/>
  <c r="AK48" i="12"/>
  <c r="AJ48" i="12"/>
  <c r="AI48" i="12"/>
  <c r="AH48" i="12"/>
  <c r="AG48" i="12"/>
  <c r="R48" i="12"/>
  <c r="AY48" i="12"/>
  <c r="L48" i="12"/>
  <c r="O48" i="12" s="1"/>
  <c r="I48" i="12"/>
  <c r="AX47" i="12"/>
  <c r="AW47" i="12"/>
  <c r="AT47" i="12"/>
  <c r="AS47" i="12"/>
  <c r="AP47" i="12"/>
  <c r="AO47" i="12"/>
  <c r="AK47" i="12"/>
  <c r="AJ47" i="12"/>
  <c r="AI47" i="12"/>
  <c r="AH47" i="12"/>
  <c r="AG47" i="12"/>
  <c r="R47" i="12"/>
  <c r="AY47" i="12"/>
  <c r="L47" i="12"/>
  <c r="O47" i="12" s="1"/>
  <c r="I47" i="12"/>
  <c r="AX46" i="12"/>
  <c r="AW46" i="12"/>
  <c r="AT46" i="12"/>
  <c r="AS46" i="12"/>
  <c r="AP46" i="12"/>
  <c r="AO46" i="12"/>
  <c r="AK46" i="12"/>
  <c r="AJ46" i="12"/>
  <c r="AI46" i="12"/>
  <c r="AH46" i="12"/>
  <c r="AG46" i="12"/>
  <c r="R46" i="12"/>
  <c r="AY46" i="12"/>
  <c r="K46" i="12"/>
  <c r="L46" i="12" s="1"/>
  <c r="O46" i="12" s="1"/>
  <c r="I46" i="12"/>
  <c r="AY45" i="12"/>
  <c r="AX45" i="12"/>
  <c r="AW45" i="12"/>
  <c r="AU45" i="12"/>
  <c r="AT45" i="12"/>
  <c r="AS45" i="12"/>
  <c r="AQ45" i="12"/>
  <c r="AP45" i="12"/>
  <c r="AO45" i="12"/>
  <c r="AK45" i="12"/>
  <c r="AJ45" i="12"/>
  <c r="AI45" i="12"/>
  <c r="AH45" i="12"/>
  <c r="AG45" i="12"/>
  <c r="R45" i="12"/>
  <c r="AV45" i="12"/>
  <c r="I45" i="12"/>
  <c r="AV44" i="12"/>
  <c r="AU44" i="12"/>
  <c r="AN44" i="12"/>
  <c r="AK44" i="12"/>
  <c r="AJ44" i="12"/>
  <c r="AI44" i="12"/>
  <c r="AH44" i="12"/>
  <c r="AG44" i="12"/>
  <c r="AR44" i="12"/>
  <c r="L44" i="12"/>
  <c r="M44" i="12" s="1"/>
  <c r="I44" i="12"/>
  <c r="AV43" i="12"/>
  <c r="AU43" i="12"/>
  <c r="AN43" i="12"/>
  <c r="AK43" i="12"/>
  <c r="AJ43" i="12"/>
  <c r="AI43" i="12"/>
  <c r="AH43" i="12"/>
  <c r="AG43" i="12"/>
  <c r="AR43" i="12"/>
  <c r="L43" i="12"/>
  <c r="M43" i="12" s="1"/>
  <c r="I43" i="12"/>
  <c r="AV42" i="12"/>
  <c r="AU42" i="12"/>
  <c r="AN42" i="12"/>
  <c r="AK42" i="12"/>
  <c r="AJ42" i="12"/>
  <c r="AI42" i="12"/>
  <c r="AH42" i="12"/>
  <c r="AG42" i="12"/>
  <c r="AR42" i="12"/>
  <c r="K42" i="12"/>
  <c r="K272" i="12" s="1"/>
  <c r="I42" i="12"/>
  <c r="AK41" i="12"/>
  <c r="AJ41" i="12"/>
  <c r="AI41" i="12"/>
  <c r="AH41" i="12"/>
  <c r="AG41" i="12"/>
  <c r="AV41" i="12"/>
  <c r="L41" i="12"/>
  <c r="I41" i="12"/>
  <c r="AV40" i="12"/>
  <c r="AS40" i="12"/>
  <c r="AR40" i="12"/>
  <c r="AN40" i="12"/>
  <c r="AK40" i="12"/>
  <c r="AJ40" i="12"/>
  <c r="AI40" i="12"/>
  <c r="AH40" i="12"/>
  <c r="AG40" i="12"/>
  <c r="R40" i="12"/>
  <c r="L40" i="12"/>
  <c r="I40" i="12"/>
  <c r="AV39" i="12"/>
  <c r="AS39" i="12"/>
  <c r="AN39" i="12"/>
  <c r="AK39" i="12"/>
  <c r="AJ39" i="12"/>
  <c r="AI39" i="12"/>
  <c r="AH39" i="12"/>
  <c r="AG39" i="12"/>
  <c r="AR39" i="12"/>
  <c r="J272" i="12"/>
  <c r="I39" i="12"/>
  <c r="H272" i="12"/>
  <c r="AV38" i="12"/>
  <c r="AN38" i="12"/>
  <c r="AK38" i="12"/>
  <c r="AK297" i="12" s="1"/>
  <c r="AJ38" i="12"/>
  <c r="AJ297" i="12" s="1"/>
  <c r="AI38" i="12"/>
  <c r="AI297" i="12" s="1"/>
  <c r="AH38" i="12"/>
  <c r="AH297" i="12" s="1"/>
  <c r="AG38" i="12"/>
  <c r="AS38" i="12"/>
  <c r="K38" i="12"/>
  <c r="J268" i="12"/>
  <c r="AX37" i="12"/>
  <c r="AW37" i="12"/>
  <c r="AP37" i="12"/>
  <c r="AO37" i="12"/>
  <c r="AK37" i="12"/>
  <c r="AJ37" i="12"/>
  <c r="AI37" i="12"/>
  <c r="AH37" i="12"/>
  <c r="AG37" i="12"/>
  <c r="AT37" i="12"/>
  <c r="O37" i="12"/>
  <c r="AV36" i="12"/>
  <c r="AN36" i="12"/>
  <c r="AK36" i="12"/>
  <c r="AJ36" i="12"/>
  <c r="AI36" i="12"/>
  <c r="AH36" i="12"/>
  <c r="AG36" i="12"/>
  <c r="L36" i="12"/>
  <c r="M36" i="12" s="1"/>
  <c r="I36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K35" i="12"/>
  <c r="AJ35" i="12"/>
  <c r="AI35" i="12"/>
  <c r="AH35" i="12"/>
  <c r="AG35" i="12"/>
  <c r="R35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K34" i="12"/>
  <c r="AJ34" i="12"/>
  <c r="AI34" i="12"/>
  <c r="AH34" i="12"/>
  <c r="AG34" i="12"/>
  <c r="R34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K33" i="12"/>
  <c r="AJ33" i="12"/>
  <c r="AI33" i="12"/>
  <c r="AH33" i="12"/>
  <c r="AG33" i="12"/>
  <c r="R33" i="12"/>
  <c r="AY32" i="12"/>
  <c r="AX32" i="12"/>
  <c r="AU32" i="12"/>
  <c r="AT32" i="12"/>
  <c r="AQ32" i="12"/>
  <c r="AP32" i="12"/>
  <c r="AW32" i="12"/>
  <c r="AV32" i="12"/>
  <c r="AS32" i="12"/>
  <c r="AR32" i="12"/>
  <c r="AO32" i="12"/>
  <c r="AN32" i="12"/>
  <c r="R32" i="12"/>
  <c r="L32" i="12"/>
  <c r="O32" i="12" s="1"/>
  <c r="I32" i="12"/>
  <c r="AY31" i="12"/>
  <c r="AX31" i="12"/>
  <c r="AU31" i="12"/>
  <c r="AT31" i="12"/>
  <c r="AQ31" i="12"/>
  <c r="AP31" i="12"/>
  <c r="AW31" i="12"/>
  <c r="AV31" i="12"/>
  <c r="AS31" i="12"/>
  <c r="AR31" i="12"/>
  <c r="AO31" i="12"/>
  <c r="AN31" i="12"/>
  <c r="R31" i="12"/>
  <c r="L31" i="12"/>
  <c r="O31" i="12" s="1"/>
  <c r="I31" i="12"/>
  <c r="AY30" i="12"/>
  <c r="AX30" i="12"/>
  <c r="AU30" i="12"/>
  <c r="AT30" i="12"/>
  <c r="AQ30" i="12"/>
  <c r="AP30" i="12"/>
  <c r="AW30" i="12"/>
  <c r="AV30" i="12"/>
  <c r="AS30" i="12"/>
  <c r="AR30" i="12"/>
  <c r="AO30" i="12"/>
  <c r="AN30" i="12"/>
  <c r="R30" i="12"/>
  <c r="L30" i="12"/>
  <c r="O30" i="12" s="1"/>
  <c r="I30" i="12"/>
  <c r="AY29" i="12"/>
  <c r="AX29" i="12"/>
  <c r="AU29" i="12"/>
  <c r="AT29" i="12"/>
  <c r="AQ29" i="12"/>
  <c r="AP29" i="12"/>
  <c r="AW29" i="12"/>
  <c r="AV29" i="12"/>
  <c r="AS29" i="12"/>
  <c r="AR29" i="12"/>
  <c r="AO29" i="12"/>
  <c r="AN29" i="12"/>
  <c r="R29" i="12"/>
  <c r="L29" i="12"/>
  <c r="O29" i="12" s="1"/>
  <c r="I29" i="12"/>
  <c r="AY28" i="12"/>
  <c r="AX28" i="12"/>
  <c r="AU28" i="12"/>
  <c r="AT28" i="12"/>
  <c r="AQ28" i="12"/>
  <c r="AP28" i="12"/>
  <c r="AW28" i="12"/>
  <c r="AV28" i="12"/>
  <c r="AS28" i="12"/>
  <c r="AR28" i="12"/>
  <c r="AO28" i="12"/>
  <c r="AN28" i="12"/>
  <c r="R28" i="12"/>
  <c r="L28" i="12"/>
  <c r="O28" i="12" s="1"/>
  <c r="I28" i="12"/>
  <c r="AY27" i="12"/>
  <c r="AX27" i="12"/>
  <c r="AU27" i="12"/>
  <c r="AT27" i="12"/>
  <c r="AQ27" i="12"/>
  <c r="AP27" i="12"/>
  <c r="AW27" i="12"/>
  <c r="AV27" i="12"/>
  <c r="AS27" i="12"/>
  <c r="AR27" i="12"/>
  <c r="AO27" i="12"/>
  <c r="AN27" i="12"/>
  <c r="R27" i="12"/>
  <c r="L27" i="12"/>
  <c r="O27" i="12" s="1"/>
  <c r="I27" i="12"/>
  <c r="AY26" i="12"/>
  <c r="AX26" i="12"/>
  <c r="AU26" i="12"/>
  <c r="AT26" i="12"/>
  <c r="AQ26" i="12"/>
  <c r="AP26" i="12"/>
  <c r="AW26" i="12"/>
  <c r="AV26" i="12"/>
  <c r="AS26" i="12"/>
  <c r="AR26" i="12"/>
  <c r="AO26" i="12"/>
  <c r="AN26" i="12"/>
  <c r="R26" i="12"/>
  <c r="L26" i="12"/>
  <c r="AY25" i="12"/>
  <c r="AX25" i="12"/>
  <c r="AU25" i="12"/>
  <c r="AT25" i="12"/>
  <c r="AQ25" i="12"/>
  <c r="AP25" i="12"/>
  <c r="AW25" i="12"/>
  <c r="AV25" i="12"/>
  <c r="AS25" i="12"/>
  <c r="AR25" i="12"/>
  <c r="AO25" i="12"/>
  <c r="AN25" i="12"/>
  <c r="R25" i="12"/>
  <c r="L25" i="12"/>
  <c r="O25" i="12" s="1"/>
  <c r="I25" i="12"/>
  <c r="AY24" i="12"/>
  <c r="AX24" i="12"/>
  <c r="AU24" i="12"/>
  <c r="AT24" i="12"/>
  <c r="AQ24" i="12"/>
  <c r="AP24" i="12"/>
  <c r="AF266" i="12"/>
  <c r="AE266" i="12"/>
  <c r="AB266" i="12"/>
  <c r="AA266" i="12"/>
  <c r="X266" i="12"/>
  <c r="W266" i="12"/>
  <c r="AH24" i="12"/>
  <c r="R24" i="12"/>
  <c r="L24" i="12"/>
  <c r="O24" i="12" s="1"/>
  <c r="H266" i="12"/>
  <c r="AY23" i="12"/>
  <c r="AX23" i="12"/>
  <c r="AW23" i="12"/>
  <c r="AU23" i="12"/>
  <c r="AT23" i="12"/>
  <c r="AS23" i="12"/>
  <c r="AQ23" i="12"/>
  <c r="AP23" i="12"/>
  <c r="AO23" i="12"/>
  <c r="AK23" i="12"/>
  <c r="AJ23" i="12"/>
  <c r="AI23" i="12"/>
  <c r="AH23" i="12"/>
  <c r="AG23" i="12"/>
  <c r="R23" i="12"/>
  <c r="AV23" i="12"/>
  <c r="O23" i="12"/>
  <c r="AX22" i="12"/>
  <c r="AW22" i="12"/>
  <c r="AT22" i="12"/>
  <c r="AS22" i="12"/>
  <c r="AP22" i="12"/>
  <c r="AO22" i="12"/>
  <c r="AK22" i="12"/>
  <c r="AY22" i="12"/>
  <c r="AV22" i="12"/>
  <c r="AU22" i="12"/>
  <c r="AR22" i="12"/>
  <c r="R22" i="12"/>
  <c r="L22" i="12"/>
  <c r="O22" i="12" s="1"/>
  <c r="I22" i="12"/>
  <c r="AX21" i="12"/>
  <c r="AW21" i="12"/>
  <c r="AT21" i="12"/>
  <c r="AS21" i="12"/>
  <c r="AP21" i="12"/>
  <c r="AO21" i="12"/>
  <c r="AK21" i="12"/>
  <c r="AY21" i="12"/>
  <c r="AV21" i="12"/>
  <c r="AU21" i="12"/>
  <c r="AR21" i="12"/>
  <c r="R21" i="12"/>
  <c r="L21" i="12"/>
  <c r="O21" i="12" s="1"/>
  <c r="I21" i="12"/>
  <c r="AX20" i="12"/>
  <c r="AW20" i="12"/>
  <c r="AT20" i="12"/>
  <c r="AS20" i="12"/>
  <c r="AP20" i="12"/>
  <c r="AO20" i="12"/>
  <c r="AK20" i="12"/>
  <c r="AE269" i="12"/>
  <c r="AD269" i="12"/>
  <c r="AJ20" i="12"/>
  <c r="AA269" i="12"/>
  <c r="Z269" i="12"/>
  <c r="W269" i="12"/>
  <c r="V269" i="12"/>
  <c r="R20" i="12"/>
  <c r="L20" i="12"/>
  <c r="M20" i="12" s="1"/>
  <c r="J269" i="12"/>
  <c r="AX19" i="12"/>
  <c r="AW19" i="12"/>
  <c r="AT19" i="12"/>
  <c r="AS19" i="12"/>
  <c r="AP19" i="12"/>
  <c r="AO19" i="12"/>
  <c r="AK19" i="12"/>
  <c r="AY19" i="12"/>
  <c r="AV19" i="12"/>
  <c r="AR19" i="12"/>
  <c r="R19" i="12"/>
  <c r="L19" i="12"/>
  <c r="O19" i="12" s="1"/>
  <c r="I19" i="12"/>
  <c r="AX18" i="12"/>
  <c r="AX286" i="12" s="1"/>
  <c r="AW18" i="12"/>
  <c r="AT18" i="12"/>
  <c r="AS18" i="12"/>
  <c r="AS286" i="12" s="1"/>
  <c r="AP18" i="12"/>
  <c r="AP286" i="12" s="1"/>
  <c r="AO18" i="12"/>
  <c r="AO286" i="12" s="1"/>
  <c r="AK18" i="12"/>
  <c r="AJ18" i="12"/>
  <c r="AI18" i="12"/>
  <c r="AH18" i="12"/>
  <c r="AG18" i="12"/>
  <c r="R18" i="12"/>
  <c r="P93" i="12"/>
  <c r="O18" i="12"/>
  <c r="AV17" i="12"/>
  <c r="AS17" i="12"/>
  <c r="AN17" i="12"/>
  <c r="AK17" i="12"/>
  <c r="AJ17" i="12"/>
  <c r="AI17" i="12"/>
  <c r="AH17" i="12"/>
  <c r="AG17" i="12"/>
  <c r="AR17" i="12"/>
  <c r="L17" i="12"/>
  <c r="I17" i="12"/>
  <c r="AV16" i="12"/>
  <c r="AN16" i="12"/>
  <c r="AK16" i="12"/>
  <c r="AJ16" i="12"/>
  <c r="AI16" i="12"/>
  <c r="AH16" i="12"/>
  <c r="AG16" i="12"/>
  <c r="AS16" i="12"/>
  <c r="L16" i="12"/>
  <c r="I16" i="12"/>
  <c r="AK15" i="12"/>
  <c r="AJ15" i="12"/>
  <c r="AI15" i="12"/>
  <c r="AH15" i="12"/>
  <c r="AG15" i="12"/>
  <c r="K15" i="12"/>
  <c r="L15" i="12" s="1"/>
  <c r="I15" i="12"/>
  <c r="AX14" i="12"/>
  <c r="AK14" i="12"/>
  <c r="AD264" i="12"/>
  <c r="AG14" i="12"/>
  <c r="V264" i="12"/>
  <c r="K14" i="12"/>
  <c r="I14" i="12"/>
  <c r="AV13" i="12"/>
  <c r="AS13" i="12"/>
  <c r="AR13" i="12"/>
  <c r="AN13" i="12"/>
  <c r="AK13" i="12"/>
  <c r="AJ13" i="12"/>
  <c r="AI13" i="12"/>
  <c r="AH13" i="12"/>
  <c r="AG13" i="12"/>
  <c r="R13" i="12"/>
  <c r="L13" i="12"/>
  <c r="I13" i="12"/>
  <c r="AV12" i="12"/>
  <c r="AS12" i="12"/>
  <c r="AN12" i="12"/>
  <c r="AK12" i="12"/>
  <c r="AJ12" i="12"/>
  <c r="AI12" i="12"/>
  <c r="AH12" i="12"/>
  <c r="AG12" i="12"/>
  <c r="AR12" i="12"/>
  <c r="K12" i="12"/>
  <c r="L12" i="12" s="1"/>
  <c r="I12" i="12"/>
  <c r="AX11" i="12"/>
  <c r="AW11" i="12"/>
  <c r="AT11" i="12"/>
  <c r="AS11" i="12"/>
  <c r="AP11" i="12"/>
  <c r="AO11" i="12"/>
  <c r="AK11" i="12"/>
  <c r="AJ11" i="12"/>
  <c r="AI11" i="12"/>
  <c r="AH11" i="12"/>
  <c r="AG11" i="12"/>
  <c r="R11" i="12"/>
  <c r="AY11" i="12"/>
  <c r="K11" i="12"/>
  <c r="L11" i="12" s="1"/>
  <c r="O11" i="12" s="1"/>
  <c r="I11" i="12"/>
  <c r="AY10" i="12"/>
  <c r="AX10" i="12"/>
  <c r="AW10" i="12"/>
  <c r="AU10" i="12"/>
  <c r="AT10" i="12"/>
  <c r="AS10" i="12"/>
  <c r="AQ10" i="12"/>
  <c r="AP10" i="12"/>
  <c r="AO10" i="12"/>
  <c r="AK10" i="12"/>
  <c r="AJ10" i="12"/>
  <c r="AI10" i="12"/>
  <c r="AH10" i="12"/>
  <c r="AG10" i="12"/>
  <c r="R10" i="12"/>
  <c r="AV10" i="12"/>
  <c r="I10" i="12"/>
  <c r="AK9" i="12"/>
  <c r="AJ9" i="12"/>
  <c r="AI9" i="12"/>
  <c r="AH9" i="12"/>
  <c r="AG9" i="12"/>
  <c r="I9" i="12"/>
  <c r="AV8" i="12"/>
  <c r="AS8" i="12"/>
  <c r="AN8" i="12"/>
  <c r="AK8" i="12"/>
  <c r="AJ8" i="12"/>
  <c r="AI8" i="12"/>
  <c r="AH8" i="12"/>
  <c r="AG8" i="12"/>
  <c r="AR8" i="12"/>
  <c r="K8" i="12"/>
  <c r="L8" i="12" s="1"/>
  <c r="I8" i="12"/>
  <c r="AX7" i="12"/>
  <c r="AW7" i="12"/>
  <c r="AT7" i="12"/>
  <c r="AS7" i="12"/>
  <c r="AP7" i="12"/>
  <c r="AO7" i="12"/>
  <c r="AK7" i="12"/>
  <c r="AJ7" i="12"/>
  <c r="AI7" i="12"/>
  <c r="AH7" i="12"/>
  <c r="AG7" i="12"/>
  <c r="R7" i="12"/>
  <c r="AY7" i="12"/>
  <c r="K7" i="12"/>
  <c r="L7" i="12" s="1"/>
  <c r="AO5" i="12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W5" i="12"/>
  <c r="X5" i="12" s="1"/>
  <c r="Y5" i="12" s="1"/>
  <c r="Z5" i="12" s="1"/>
  <c r="AA5" i="12" s="1"/>
  <c r="AB5" i="12" s="1"/>
  <c r="AC5" i="12" s="1"/>
  <c r="AD5" i="12" s="1"/>
  <c r="AE5" i="12" s="1"/>
  <c r="AF5" i="12" s="1"/>
  <c r="V5" i="12"/>
  <c r="I272" i="12" l="1"/>
  <c r="CQ261" i="9"/>
  <c r="CR261" i="9" s="1"/>
  <c r="L57" i="8"/>
  <c r="Q261" i="9"/>
  <c r="R261" i="9" s="1"/>
  <c r="L28" i="8"/>
  <c r="L29" i="8" s="1"/>
  <c r="L22" i="8"/>
  <c r="CP251" i="9"/>
  <c r="CQ251" i="9" s="1"/>
  <c r="CR251" i="9" s="1"/>
  <c r="CP255" i="9"/>
  <c r="CQ255" i="9" s="1"/>
  <c r="CR255" i="9" s="1"/>
  <c r="BC239" i="12"/>
  <c r="BA241" i="12"/>
  <c r="AK270" i="12"/>
  <c r="AJ283" i="12"/>
  <c r="AK284" i="12"/>
  <c r="M25" i="8"/>
  <c r="BD204" i="12"/>
  <c r="BB206" i="12"/>
  <c r="F177" i="12"/>
  <c r="AB177" i="12"/>
  <c r="AB304" i="12" s="1"/>
  <c r="AF177" i="12"/>
  <c r="AF304" i="12" s="1"/>
  <c r="V177" i="12"/>
  <c r="V304" i="12" s="1"/>
  <c r="BD35" i="12"/>
  <c r="AC226" i="12"/>
  <c r="BA238" i="12"/>
  <c r="BB239" i="12"/>
  <c r="BB241" i="12"/>
  <c r="AJ253" i="12"/>
  <c r="AH272" i="12"/>
  <c r="AH280" i="12"/>
  <c r="AH283" i="12"/>
  <c r="AI283" i="12"/>
  <c r="AK283" i="12"/>
  <c r="AH284" i="12"/>
  <c r="AJ285" i="12"/>
  <c r="AJ301" i="12"/>
  <c r="BA76" i="12"/>
  <c r="BC77" i="12"/>
  <c r="BC98" i="12"/>
  <c r="BD115" i="12"/>
  <c r="AI307" i="12"/>
  <c r="AO265" i="12"/>
  <c r="BD151" i="12"/>
  <c r="BD155" i="12"/>
  <c r="BB156" i="12"/>
  <c r="K162" i="12"/>
  <c r="BB63" i="12"/>
  <c r="AN197" i="12"/>
  <c r="AH299" i="12"/>
  <c r="AN62" i="12"/>
  <c r="BD63" i="12"/>
  <c r="AK301" i="12"/>
  <c r="AJ307" i="12"/>
  <c r="AD177" i="12"/>
  <c r="AD304" i="12" s="1"/>
  <c r="BC192" i="12"/>
  <c r="AL63" i="12"/>
  <c r="BC63" i="12"/>
  <c r="AL113" i="12"/>
  <c r="AG199" i="12"/>
  <c r="AL204" i="12"/>
  <c r="AP296" i="12"/>
  <c r="AX296" i="12"/>
  <c r="AI303" i="12"/>
  <c r="AI299" i="12"/>
  <c r="AH298" i="12"/>
  <c r="U300" i="12"/>
  <c r="AN60" i="12"/>
  <c r="AN268" i="12"/>
  <c r="AN297" i="12"/>
  <c r="U254" i="12"/>
  <c r="U306" i="12"/>
  <c r="AC254" i="12"/>
  <c r="AC306" i="12"/>
  <c r="R305" i="12"/>
  <c r="AJ305" i="12"/>
  <c r="AU305" i="12"/>
  <c r="N258" i="12"/>
  <c r="N313" i="12"/>
  <c r="X258" i="12"/>
  <c r="X313" i="12"/>
  <c r="AB258" i="12"/>
  <c r="AB313" i="12"/>
  <c r="C31" i="8" s="1"/>
  <c r="AF258" i="12"/>
  <c r="AF313" i="12"/>
  <c r="AC327" i="12"/>
  <c r="AD327" i="12" s="1"/>
  <c r="AE327" i="12" s="1"/>
  <c r="AF327" i="12" s="1"/>
  <c r="M20" i="8"/>
  <c r="AC322" i="12"/>
  <c r="AD322" i="12" s="1"/>
  <c r="AE322" i="12" s="1"/>
  <c r="AF322" i="12" s="1"/>
  <c r="M15" i="8"/>
  <c r="AC320" i="12"/>
  <c r="AD320" i="12" s="1"/>
  <c r="AE320" i="12" s="1"/>
  <c r="AF320" i="12" s="1"/>
  <c r="M13" i="8"/>
  <c r="BD219" i="12"/>
  <c r="BD236" i="12"/>
  <c r="AC326" i="12"/>
  <c r="AD326" i="12" s="1"/>
  <c r="AE326" i="12" s="1"/>
  <c r="AF326" i="12" s="1"/>
  <c r="M19" i="8"/>
  <c r="AC321" i="12"/>
  <c r="AD321" i="12" s="1"/>
  <c r="AE321" i="12" s="1"/>
  <c r="AF321" i="12" s="1"/>
  <c r="M14" i="8"/>
  <c r="AL17" i="12"/>
  <c r="R296" i="12"/>
  <c r="AK296" i="12"/>
  <c r="AT296" i="12"/>
  <c r="AK303" i="12"/>
  <c r="AS268" i="12"/>
  <c r="AS297" i="12"/>
  <c r="AK299" i="12"/>
  <c r="AJ298" i="12"/>
  <c r="O68" i="12"/>
  <c r="O69" i="12"/>
  <c r="AH301" i="12"/>
  <c r="AL104" i="12"/>
  <c r="O105" i="12"/>
  <c r="AL105" i="12"/>
  <c r="W254" i="12"/>
  <c r="W306" i="12"/>
  <c r="AE254" i="12"/>
  <c r="AE306" i="12"/>
  <c r="AK307" i="12"/>
  <c r="AH305" i="12"/>
  <c r="AN305" i="12"/>
  <c r="V258" i="12"/>
  <c r="V313" i="12"/>
  <c r="V338" i="12" s="1"/>
  <c r="Z258" i="12"/>
  <c r="Z313" i="12"/>
  <c r="AD258" i="12"/>
  <c r="AD313" i="12"/>
  <c r="BD189" i="12"/>
  <c r="BB209" i="12"/>
  <c r="BD223" i="12"/>
  <c r="AC324" i="12"/>
  <c r="AD324" i="12" s="1"/>
  <c r="AE324" i="12" s="1"/>
  <c r="AF324" i="12" s="1"/>
  <c r="M17" i="8"/>
  <c r="Y254" i="12"/>
  <c r="Y306" i="12"/>
  <c r="AS296" i="12"/>
  <c r="AJ303" i="12"/>
  <c r="AV268" i="12"/>
  <c r="AV297" i="12"/>
  <c r="AJ299" i="12"/>
  <c r="AV299" i="12"/>
  <c r="AI298" i="12"/>
  <c r="V254" i="12"/>
  <c r="V306" i="12"/>
  <c r="Z254" i="12"/>
  <c r="Z306" i="12"/>
  <c r="AW307" i="12"/>
  <c r="AK305" i="12"/>
  <c r="AV305" i="12"/>
  <c r="AC258" i="12"/>
  <c r="AC313" i="12"/>
  <c r="I270" i="12"/>
  <c r="AK295" i="12"/>
  <c r="AL9" i="12"/>
  <c r="AL10" i="12"/>
  <c r="BC10" i="12"/>
  <c r="AO296" i="12"/>
  <c r="AW296" i="12"/>
  <c r="AH303" i="12"/>
  <c r="AK298" i="12"/>
  <c r="AI301" i="12"/>
  <c r="BD94" i="12"/>
  <c r="BB97" i="12"/>
  <c r="BB98" i="12"/>
  <c r="BB99" i="12"/>
  <c r="BC101" i="12"/>
  <c r="BD102" i="12"/>
  <c r="BD106" i="12"/>
  <c r="X254" i="12"/>
  <c r="X306" i="12"/>
  <c r="AB254" i="12"/>
  <c r="AB306" i="12"/>
  <c r="C24" i="8" s="1"/>
  <c r="AF254" i="12"/>
  <c r="AF306" i="12"/>
  <c r="AH307" i="12"/>
  <c r="AO307" i="12"/>
  <c r="BB149" i="12"/>
  <c r="L161" i="12"/>
  <c r="L257" i="12" s="1"/>
  <c r="M257" i="12" s="1"/>
  <c r="BD171" i="12"/>
  <c r="AI305" i="12"/>
  <c r="AR305" i="12"/>
  <c r="AL178" i="12"/>
  <c r="BE178" i="12"/>
  <c r="W258" i="12"/>
  <c r="W313" i="12"/>
  <c r="AA258" i="12"/>
  <c r="AA313" i="12"/>
  <c r="AE258" i="12"/>
  <c r="AE313" i="12"/>
  <c r="BC204" i="12"/>
  <c r="BC206" i="12"/>
  <c r="BD206" i="12"/>
  <c r="BD207" i="12"/>
  <c r="BD253" i="12"/>
  <c r="AC328" i="12"/>
  <c r="AD328" i="12" s="1"/>
  <c r="AE328" i="12" s="1"/>
  <c r="AF328" i="12" s="1"/>
  <c r="M21" i="8"/>
  <c r="AC323" i="12"/>
  <c r="AD323" i="12" s="1"/>
  <c r="AE323" i="12" s="1"/>
  <c r="AF323" i="12" s="1"/>
  <c r="M16" i="8"/>
  <c r="CO264" i="9"/>
  <c r="CP264" i="9" s="1"/>
  <c r="CQ264" i="9" s="1"/>
  <c r="CR264" i="9" s="1"/>
  <c r="CO247" i="9"/>
  <c r="CP247" i="9" s="1"/>
  <c r="CQ247" i="9" s="1"/>
  <c r="CR247" i="9" s="1"/>
  <c r="H237" i="9"/>
  <c r="H260" i="9"/>
  <c r="I260" i="9" s="1"/>
  <c r="J260" i="9" s="1"/>
  <c r="K260" i="9" s="1"/>
  <c r="L260" i="9" s="1"/>
  <c r="M260" i="9" s="1"/>
  <c r="N260" i="9" s="1"/>
  <c r="O260" i="9" s="1"/>
  <c r="P260" i="9" s="1"/>
  <c r="Q260" i="9" s="1"/>
  <c r="R260" i="9" s="1"/>
  <c r="CO248" i="9"/>
  <c r="CP248" i="9" s="1"/>
  <c r="CQ248" i="9" s="1"/>
  <c r="CR248" i="9" s="1"/>
  <c r="CO246" i="9"/>
  <c r="CP246" i="9" s="1"/>
  <c r="CQ246" i="9" s="1"/>
  <c r="CR246" i="9" s="1"/>
  <c r="CO257" i="9"/>
  <c r="CP257" i="9" s="1"/>
  <c r="CQ257" i="9" s="1"/>
  <c r="CR257" i="9" s="1"/>
  <c r="CO263" i="9"/>
  <c r="CP263" i="9" s="1"/>
  <c r="CQ263" i="9" s="1"/>
  <c r="CR263" i="9" s="1"/>
  <c r="O256" i="9"/>
  <c r="P256" i="9" s="1"/>
  <c r="Q256" i="9" s="1"/>
  <c r="R256" i="9" s="1"/>
  <c r="CO254" i="9"/>
  <c r="CP254" i="9" s="1"/>
  <c r="CQ254" i="9" s="1"/>
  <c r="CR254" i="9" s="1"/>
  <c r="O246" i="9"/>
  <c r="P246" i="9" s="1"/>
  <c r="Q246" i="9" s="1"/>
  <c r="R246" i="9" s="1"/>
  <c r="CO249" i="9"/>
  <c r="CP249" i="9" s="1"/>
  <c r="CQ249" i="9" s="1"/>
  <c r="CR249" i="9" s="1"/>
  <c r="O249" i="9"/>
  <c r="P249" i="9" s="1"/>
  <c r="Q249" i="9" s="1"/>
  <c r="R249" i="9" s="1"/>
  <c r="O254" i="9"/>
  <c r="P254" i="9" s="1"/>
  <c r="Q254" i="9" s="1"/>
  <c r="R254" i="9" s="1"/>
  <c r="O247" i="9"/>
  <c r="P247" i="9" s="1"/>
  <c r="Q247" i="9" s="1"/>
  <c r="R247" i="9" s="1"/>
  <c r="CO252" i="9"/>
  <c r="CP252" i="9" s="1"/>
  <c r="CQ252" i="9" s="1"/>
  <c r="CR252" i="9" s="1"/>
  <c r="O248" i="9"/>
  <c r="P248" i="9" s="1"/>
  <c r="Q248" i="9" s="1"/>
  <c r="R248" i="9" s="1"/>
  <c r="CO266" i="9"/>
  <c r="CP266" i="9" s="1"/>
  <c r="CQ266" i="9" s="1"/>
  <c r="CR266" i="9" s="1"/>
  <c r="O250" i="9"/>
  <c r="P250" i="9" s="1"/>
  <c r="Q250" i="9" s="1"/>
  <c r="R250" i="9" s="1"/>
  <c r="O264" i="9"/>
  <c r="P264" i="9" s="1"/>
  <c r="Q264" i="9" s="1"/>
  <c r="R264" i="9" s="1"/>
  <c r="CO258" i="9"/>
  <c r="CP258" i="9" s="1"/>
  <c r="CQ258" i="9" s="1"/>
  <c r="CR258" i="9" s="1"/>
  <c r="O257" i="9"/>
  <c r="P257" i="9" s="1"/>
  <c r="Q257" i="9" s="1"/>
  <c r="R257" i="9" s="1"/>
  <c r="CH237" i="9"/>
  <c r="CH260" i="9"/>
  <c r="CI260" i="9" s="1"/>
  <c r="CJ260" i="9" s="1"/>
  <c r="CK260" i="9" s="1"/>
  <c r="CL260" i="9" s="1"/>
  <c r="CM260" i="9" s="1"/>
  <c r="CN260" i="9" s="1"/>
  <c r="CO260" i="9" s="1"/>
  <c r="CP260" i="9" s="1"/>
  <c r="CQ260" i="9" s="1"/>
  <c r="CR260" i="9" s="1"/>
  <c r="CO253" i="9"/>
  <c r="CP253" i="9" s="1"/>
  <c r="CQ253" i="9" s="1"/>
  <c r="CR253" i="9" s="1"/>
  <c r="O253" i="9"/>
  <c r="P253" i="9" s="1"/>
  <c r="Q253" i="9" s="1"/>
  <c r="R253" i="9" s="1"/>
  <c r="O251" i="9"/>
  <c r="P251" i="9" s="1"/>
  <c r="Q251" i="9" s="1"/>
  <c r="R251" i="9" s="1"/>
  <c r="CO256" i="9"/>
  <c r="CP256" i="9" s="1"/>
  <c r="CQ256" i="9" s="1"/>
  <c r="CR256" i="9" s="1"/>
  <c r="O252" i="9"/>
  <c r="P252" i="9" s="1"/>
  <c r="Q252" i="9" s="1"/>
  <c r="R252" i="9" s="1"/>
  <c r="CO250" i="9"/>
  <c r="CP250" i="9" s="1"/>
  <c r="CQ250" i="9" s="1"/>
  <c r="CR250" i="9" s="1"/>
  <c r="O258" i="9"/>
  <c r="P258" i="9" s="1"/>
  <c r="Q258" i="9" s="1"/>
  <c r="R258" i="9" s="1"/>
  <c r="I265" i="12"/>
  <c r="AJ270" i="12"/>
  <c r="I266" i="12"/>
  <c r="BC106" i="12"/>
  <c r="M26" i="12"/>
  <c r="O26" i="12"/>
  <c r="K268" i="12"/>
  <c r="L38" i="12"/>
  <c r="O38" i="12" s="1"/>
  <c r="O64" i="12"/>
  <c r="O36" i="12"/>
  <c r="AL64" i="12"/>
  <c r="BB101" i="12"/>
  <c r="BA102" i="12"/>
  <c r="O107" i="12"/>
  <c r="M107" i="12"/>
  <c r="AH215" i="12"/>
  <c r="Z215" i="12"/>
  <c r="AC215" i="12" s="1"/>
  <c r="BD70" i="12"/>
  <c r="M74" i="12"/>
  <c r="O74" i="12"/>
  <c r="BC109" i="12"/>
  <c r="AZ138" i="12"/>
  <c r="BB145" i="12"/>
  <c r="BD145" i="12"/>
  <c r="BC145" i="12"/>
  <c r="BA155" i="12"/>
  <c r="BC156" i="12"/>
  <c r="AR285" i="12"/>
  <c r="AX183" i="12"/>
  <c r="BB208" i="12"/>
  <c r="BC211" i="12"/>
  <c r="AZ218" i="12"/>
  <c r="BC236" i="12"/>
  <c r="BB237" i="12"/>
  <c r="AZ34" i="12"/>
  <c r="AL35" i="12"/>
  <c r="AL43" i="12"/>
  <c r="BD45" i="12"/>
  <c r="U103" i="12"/>
  <c r="U137" i="12" s="1"/>
  <c r="AL90" i="12"/>
  <c r="BD95" i="12"/>
  <c r="BC96" i="12"/>
  <c r="BD99" i="12"/>
  <c r="BB100" i="12"/>
  <c r="BC100" i="12"/>
  <c r="BD100" i="12"/>
  <c r="BA101" i="12"/>
  <c r="BD101" i="12"/>
  <c r="BC102" i="12"/>
  <c r="AL108" i="12"/>
  <c r="BD109" i="12"/>
  <c r="BC115" i="12"/>
  <c r="AL127" i="12"/>
  <c r="BC127" i="12"/>
  <c r="BB150" i="12"/>
  <c r="BC153" i="12"/>
  <c r="BA154" i="12"/>
  <c r="AZ163" i="12"/>
  <c r="BC163" i="12"/>
  <c r="BD167" i="12"/>
  <c r="G177" i="12"/>
  <c r="G256" i="12" s="1"/>
  <c r="Y177" i="12"/>
  <c r="Y304" i="12" s="1"/>
  <c r="AC177" i="12"/>
  <c r="W177" i="12"/>
  <c r="W304" i="12" s="1"/>
  <c r="AJ176" i="12"/>
  <c r="AE177" i="12"/>
  <c r="AE304" i="12" s="1"/>
  <c r="AU183" i="12"/>
  <c r="AK183" i="12"/>
  <c r="AK313" i="12" s="1"/>
  <c r="BC189" i="12"/>
  <c r="BC200" i="12"/>
  <c r="BB217" i="12"/>
  <c r="Z233" i="12"/>
  <c r="AC233" i="12" s="1"/>
  <c r="AG233" i="12" s="1"/>
  <c r="Z234" i="12"/>
  <c r="AI234" i="12" s="1"/>
  <c r="BC235" i="12"/>
  <c r="BA240" i="12"/>
  <c r="BB243" i="12"/>
  <c r="AL251" i="12"/>
  <c r="AI253" i="12"/>
  <c r="AH268" i="12"/>
  <c r="AI268" i="12"/>
  <c r="AJ268" i="12"/>
  <c r="AJ272" i="12"/>
  <c r="AI279" i="12"/>
  <c r="AH282" i="12"/>
  <c r="AJ282" i="12"/>
  <c r="AK288" i="12"/>
  <c r="AH290" i="12"/>
  <c r="AJ290" i="12"/>
  <c r="BD156" i="12"/>
  <c r="I176" i="12"/>
  <c r="AI176" i="12"/>
  <c r="BB207" i="12"/>
  <c r="AL218" i="12"/>
  <c r="BB218" i="12"/>
  <c r="BA223" i="12"/>
  <c r="AL237" i="12"/>
  <c r="AZ239" i="12"/>
  <c r="BA243" i="12"/>
  <c r="AK278" i="12"/>
  <c r="AL23" i="12"/>
  <c r="BC66" i="12"/>
  <c r="AL68" i="12"/>
  <c r="BC68" i="12"/>
  <c r="AL69" i="12"/>
  <c r="BC69" i="12"/>
  <c r="BC70" i="12"/>
  <c r="BC76" i="12"/>
  <c r="AL81" i="12"/>
  <c r="BC89" i="12"/>
  <c r="BD91" i="12"/>
  <c r="BB94" i="12"/>
  <c r="BA96" i="12"/>
  <c r="BA98" i="12"/>
  <c r="AZ99" i="12"/>
  <c r="BA100" i="12"/>
  <c r="AL116" i="12"/>
  <c r="AL117" i="12"/>
  <c r="AL120" i="12"/>
  <c r="AL121" i="12"/>
  <c r="BA124" i="12"/>
  <c r="BC124" i="12"/>
  <c r="AL131" i="12"/>
  <c r="BD152" i="12"/>
  <c r="BB153" i="12"/>
  <c r="AL174" i="12"/>
  <c r="AZ174" i="12"/>
  <c r="BB174" i="12"/>
  <c r="AL179" i="12"/>
  <c r="BB179" i="12"/>
  <c r="AP183" i="12"/>
  <c r="L192" i="12"/>
  <c r="BB193" i="12"/>
  <c r="AL210" i="12"/>
  <c r="BB210" i="12"/>
  <c r="BA231" i="12"/>
  <c r="BD234" i="12"/>
  <c r="AH234" i="12"/>
  <c r="AK268" i="12"/>
  <c r="AI272" i="12"/>
  <c r="AJ281" i="12"/>
  <c r="AK282" i="12"/>
  <c r="O54" i="12"/>
  <c r="M54" i="12"/>
  <c r="AP93" i="12"/>
  <c r="AX93" i="12"/>
  <c r="BB26" i="12"/>
  <c r="BB29" i="12"/>
  <c r="AN61" i="12"/>
  <c r="V61" i="12"/>
  <c r="W61" i="12" s="1"/>
  <c r="AP61" i="12" s="1"/>
  <c r="O80" i="12"/>
  <c r="M80" i="12"/>
  <c r="AU93" i="12"/>
  <c r="AO136" i="12"/>
  <c r="AO255" i="12" s="1"/>
  <c r="O144" i="12"/>
  <c r="M144" i="12"/>
  <c r="K177" i="12"/>
  <c r="K256" i="12" s="1"/>
  <c r="AA177" i="12"/>
  <c r="AJ169" i="12"/>
  <c r="AN59" i="12"/>
  <c r="V59" i="12"/>
  <c r="AO59" i="12" s="1"/>
  <c r="O81" i="12"/>
  <c r="M81" i="12"/>
  <c r="AY164" i="12"/>
  <c r="AW164" i="12"/>
  <c r="AO164" i="12"/>
  <c r="AT164" i="12"/>
  <c r="AP164" i="12"/>
  <c r="AX164" i="12"/>
  <c r="R164" i="12"/>
  <c r="BB27" i="12"/>
  <c r="BB28" i="12"/>
  <c r="AL12" i="12"/>
  <c r="BB25" i="12"/>
  <c r="M66" i="12"/>
  <c r="O66" i="12"/>
  <c r="BC91" i="12"/>
  <c r="BD96" i="12"/>
  <c r="BB102" i="12"/>
  <c r="M108" i="12"/>
  <c r="O108" i="12"/>
  <c r="M134" i="12"/>
  <c r="O134" i="12"/>
  <c r="AS164" i="12"/>
  <c r="BB30" i="12"/>
  <c r="AL36" i="12"/>
  <c r="AL42" i="12"/>
  <c r="BA63" i="12"/>
  <c r="AL66" i="12"/>
  <c r="AL67" i="12"/>
  <c r="AL71" i="12"/>
  <c r="BA94" i="12"/>
  <c r="AL97" i="12"/>
  <c r="AL100" i="12"/>
  <c r="BB154" i="12"/>
  <c r="AL170" i="12"/>
  <c r="O174" i="12"/>
  <c r="M174" i="12"/>
  <c r="AH221" i="12"/>
  <c r="AP221" i="12"/>
  <c r="AL16" i="12"/>
  <c r="BA25" i="12"/>
  <c r="BC25" i="12"/>
  <c r="BA26" i="12"/>
  <c r="BC26" i="12"/>
  <c r="BA27" i="12"/>
  <c r="BC27" i="12"/>
  <c r="BA28" i="12"/>
  <c r="BC28" i="12"/>
  <c r="BA29" i="12"/>
  <c r="BC29" i="12"/>
  <c r="BA30" i="12"/>
  <c r="BC30" i="12"/>
  <c r="BA31" i="12"/>
  <c r="BC31" i="12"/>
  <c r="BA32" i="12"/>
  <c r="BC32" i="12"/>
  <c r="AZ33" i="12"/>
  <c r="BA33" i="12"/>
  <c r="BC33" i="12"/>
  <c r="AL37" i="12"/>
  <c r="AL39" i="12"/>
  <c r="AL45" i="12"/>
  <c r="AL56" i="12"/>
  <c r="AZ63" i="12"/>
  <c r="AL65" i="12"/>
  <c r="BC65" i="12"/>
  <c r="BC67" i="12"/>
  <c r="AL74" i="12"/>
  <c r="AL75" i="12"/>
  <c r="BB76" i="12"/>
  <c r="AL86" i="12"/>
  <c r="BD89" i="12"/>
  <c r="AL92" i="12"/>
  <c r="BC94" i="12"/>
  <c r="BB107" i="12"/>
  <c r="BC107" i="12"/>
  <c r="BD107" i="12"/>
  <c r="AL109" i="12"/>
  <c r="AL112" i="12"/>
  <c r="BD113" i="12"/>
  <c r="O119" i="12"/>
  <c r="M119" i="12"/>
  <c r="BA138" i="12"/>
  <c r="AL151" i="12"/>
  <c r="BA151" i="12"/>
  <c r="BC152" i="12"/>
  <c r="BE160" i="12"/>
  <c r="BC238" i="12"/>
  <c r="BD242" i="12"/>
  <c r="AI287" i="12"/>
  <c r="BB31" i="12"/>
  <c r="BB32" i="12"/>
  <c r="BB33" i="12"/>
  <c r="BC34" i="12"/>
  <c r="AL85" i="12"/>
  <c r="AL96" i="12"/>
  <c r="AZ98" i="12"/>
  <c r="BC99" i="12"/>
  <c r="AZ101" i="12"/>
  <c r="AZ155" i="12"/>
  <c r="AL8" i="12"/>
  <c r="BD11" i="12"/>
  <c r="BC21" i="12"/>
  <c r="BA34" i="12"/>
  <c r="BD34" i="12"/>
  <c r="BC35" i="12"/>
  <c r="AL38" i="12"/>
  <c r="AL297" i="12" s="1"/>
  <c r="AL44" i="12"/>
  <c r="BC45" i="12"/>
  <c r="AL54" i="12"/>
  <c r="BD54" i="12"/>
  <c r="AL55" i="12"/>
  <c r="BD66" i="12"/>
  <c r="BD67" i="12"/>
  <c r="AL70" i="12"/>
  <c r="AL72" i="12"/>
  <c r="AL76" i="12"/>
  <c r="BA77" i="12"/>
  <c r="BB77" i="12"/>
  <c r="BD77" i="12"/>
  <c r="AL80" i="12"/>
  <c r="AL87" i="12"/>
  <c r="AL93" i="12"/>
  <c r="AL95" i="12"/>
  <c r="BA95" i="12"/>
  <c r="BC97" i="12"/>
  <c r="BA99" i="12"/>
  <c r="AL101" i="12"/>
  <c r="AL106" i="12"/>
  <c r="AL107" i="12"/>
  <c r="BA107" i="12"/>
  <c r="BB115" i="12"/>
  <c r="AL122" i="12"/>
  <c r="BD124" i="12"/>
  <c r="AL125" i="12"/>
  <c r="AG129" i="12"/>
  <c r="R129" i="12"/>
  <c r="BC144" i="12"/>
  <c r="O145" i="12"/>
  <c r="M145" i="12"/>
  <c r="BC149" i="12"/>
  <c r="BA163" i="12"/>
  <c r="AK169" i="12"/>
  <c r="O170" i="12"/>
  <c r="M170" i="12"/>
  <c r="AI220" i="12"/>
  <c r="AC220" i="12"/>
  <c r="AV220" i="12" s="1"/>
  <c r="AU230" i="12"/>
  <c r="AC230" i="12"/>
  <c r="AD230" i="12" s="1"/>
  <c r="BC237" i="12"/>
  <c r="AH281" i="12"/>
  <c r="BC125" i="12"/>
  <c r="AL132" i="12"/>
  <c r="BC133" i="12"/>
  <c r="AL140" i="12"/>
  <c r="AL142" i="12"/>
  <c r="AL147" i="12"/>
  <c r="BB148" i="12"/>
  <c r="BC148" i="12"/>
  <c r="BD148" i="12"/>
  <c r="BA149" i="12"/>
  <c r="BD149" i="12"/>
  <c r="BA150" i="12"/>
  <c r="BD150" i="12"/>
  <c r="AL152" i="12"/>
  <c r="BA152" i="12"/>
  <c r="AL153" i="12"/>
  <c r="AZ154" i="12"/>
  <c r="BC154" i="12"/>
  <c r="BB155" i="12"/>
  <c r="BC155" i="12"/>
  <c r="AL156" i="12"/>
  <c r="BA156" i="12"/>
  <c r="I257" i="12"/>
  <c r="AL163" i="12"/>
  <c r="BB167" i="12"/>
  <c r="BC167" i="12"/>
  <c r="AL175" i="12"/>
  <c r="AL180" i="12"/>
  <c r="AL182" i="12"/>
  <c r="AJ191" i="12"/>
  <c r="BD192" i="12"/>
  <c r="AL193" i="12"/>
  <c r="AH199" i="12"/>
  <c r="AL199" i="12" s="1"/>
  <c r="BA199" i="12"/>
  <c r="BB199" i="12"/>
  <c r="AZ207" i="12"/>
  <c r="BC207" i="12"/>
  <c r="BA211" i="12"/>
  <c r="BC217" i="12"/>
  <c r="AL219" i="12"/>
  <c r="BA219" i="12"/>
  <c r="BC219" i="12"/>
  <c r="AZ223" i="12"/>
  <c r="BC223" i="12"/>
  <c r="BA235" i="12"/>
  <c r="BA237" i="12"/>
  <c r="BD237" i="12"/>
  <c r="AL238" i="12"/>
  <c r="BC240" i="12"/>
  <c r="AL241" i="12"/>
  <c r="BA242" i="12"/>
  <c r="AL243" i="12"/>
  <c r="BE246" i="12"/>
  <c r="AG281" i="12"/>
  <c r="AL115" i="12"/>
  <c r="BA115" i="12"/>
  <c r="BB125" i="12"/>
  <c r="BD133" i="12"/>
  <c r="BD138" i="12"/>
  <c r="O146" i="12"/>
  <c r="AL148" i="12"/>
  <c r="BA148" i="12"/>
  <c r="AZ149" i="12"/>
  <c r="BC150" i="12"/>
  <c r="G162" i="12"/>
  <c r="I161" i="12"/>
  <c r="BB163" i="12"/>
  <c r="AL167" i="12"/>
  <c r="BA167" i="12"/>
  <c r="Z177" i="12"/>
  <c r="Z304" i="12" s="1"/>
  <c r="BC174" i="12"/>
  <c r="BD187" i="12"/>
  <c r="AT191" i="12"/>
  <c r="BC191" i="12" s="1"/>
  <c r="BA192" i="12"/>
  <c r="BB198" i="12"/>
  <c r="AL206" i="12"/>
  <c r="BC208" i="12"/>
  <c r="BD208" i="12"/>
  <c r="AZ209" i="12"/>
  <c r="BC209" i="12"/>
  <c r="BD209" i="12"/>
  <c r="BC210" i="12"/>
  <c r="BD210" i="12"/>
  <c r="BB211" i="12"/>
  <c r="AZ212" i="12"/>
  <c r="BC218" i="12"/>
  <c r="AJ225" i="12"/>
  <c r="BB235" i="12"/>
  <c r="BB236" i="12"/>
  <c r="BD238" i="12"/>
  <c r="BD240" i="12"/>
  <c r="AL250" i="12"/>
  <c r="AH253" i="12"/>
  <c r="AL253" i="12" s="1"/>
  <c r="AK253" i="12"/>
  <c r="BB253" i="12"/>
  <c r="BC253" i="12"/>
  <c r="AI270" i="12"/>
  <c r="AK272" i="12"/>
  <c r="AK280" i="12"/>
  <c r="AI286" i="12"/>
  <c r="AJ286" i="12"/>
  <c r="AK286" i="12"/>
  <c r="AQ183" i="12"/>
  <c r="AY183" i="12"/>
  <c r="AL181" i="12"/>
  <c r="AL187" i="12"/>
  <c r="BA187" i="12"/>
  <c r="AL189" i="12"/>
  <c r="BA189" i="12"/>
  <c r="AH191" i="12"/>
  <c r="BC193" i="12"/>
  <c r="BD193" i="12"/>
  <c r="BC198" i="12"/>
  <c r="BD199" i="12"/>
  <c r="AL200" i="12"/>
  <c r="BD200" i="12"/>
  <c r="BA207" i="12"/>
  <c r="AL211" i="12"/>
  <c r="BA212" i="12"/>
  <c r="BD212" i="12"/>
  <c r="AZ217" i="12"/>
  <c r="BA217" i="12"/>
  <c r="BA227" i="12"/>
  <c r="AJ229" i="12"/>
  <c r="AL235" i="12"/>
  <c r="AL236" i="12"/>
  <c r="AZ236" i="12"/>
  <c r="AZ238" i="12"/>
  <c r="BA239" i="12"/>
  <c r="BD239" i="12"/>
  <c r="AZ240" i="12"/>
  <c r="BC241" i="12"/>
  <c r="BC243" i="12"/>
  <c r="BA253" i="12"/>
  <c r="AG268" i="12"/>
  <c r="AH270" i="12"/>
  <c r="AI281" i="12"/>
  <c r="AI284" i="12"/>
  <c r="AJ284" i="12"/>
  <c r="AI285" i="12"/>
  <c r="AH286" i="12"/>
  <c r="AK290" i="12"/>
  <c r="M59" i="12"/>
  <c r="O59" i="12"/>
  <c r="M15" i="12"/>
  <c r="O15" i="12"/>
  <c r="M41" i="12"/>
  <c r="O41" i="12"/>
  <c r="M12" i="12"/>
  <c r="O12" i="12"/>
  <c r="M13" i="12"/>
  <c r="O13" i="12"/>
  <c r="M40" i="12"/>
  <c r="O40" i="12"/>
  <c r="M117" i="12"/>
  <c r="O117" i="12"/>
  <c r="M8" i="12"/>
  <c r="O8" i="12"/>
  <c r="M17" i="12"/>
  <c r="O17" i="12"/>
  <c r="O82" i="12"/>
  <c r="M82" i="12"/>
  <c r="H264" i="12"/>
  <c r="I264" i="12" s="1"/>
  <c r="H103" i="12"/>
  <c r="O7" i="12"/>
  <c r="AW9" i="12"/>
  <c r="AS9" i="12"/>
  <c r="AO9" i="12"/>
  <c r="R9" i="12"/>
  <c r="AX9" i="12"/>
  <c r="AT9" i="12"/>
  <c r="AP9" i="12"/>
  <c r="AY9" i="12"/>
  <c r="AC264" i="12"/>
  <c r="AV14" i="12"/>
  <c r="AX15" i="12"/>
  <c r="AT15" i="12"/>
  <c r="AP15" i="12"/>
  <c r="AY15" i="12"/>
  <c r="AU15" i="12"/>
  <c r="AQ15" i="12"/>
  <c r="AO15" i="12"/>
  <c r="AW15" i="12"/>
  <c r="M16" i="12"/>
  <c r="O16" i="12"/>
  <c r="U269" i="12"/>
  <c r="AH269" i="12" s="1"/>
  <c r="AH20" i="12"/>
  <c r="AN20" i="12"/>
  <c r="AH22" i="12"/>
  <c r="AN22" i="12"/>
  <c r="BA22" i="12" s="1"/>
  <c r="AG22" i="12"/>
  <c r="M25" i="12"/>
  <c r="AG25" i="12"/>
  <c r="M27" i="12"/>
  <c r="AG27" i="12"/>
  <c r="M29" i="12"/>
  <c r="AG29" i="12"/>
  <c r="M30" i="12"/>
  <c r="AG30" i="12"/>
  <c r="M32" i="12"/>
  <c r="AG32" i="12"/>
  <c r="BD55" i="12"/>
  <c r="U271" i="12"/>
  <c r="AN57" i="12"/>
  <c r="AR57" i="12"/>
  <c r="AV57" i="12"/>
  <c r="AG57" i="12"/>
  <c r="X60" i="12"/>
  <c r="AP60" i="12"/>
  <c r="X62" i="12"/>
  <c r="AP62" i="12"/>
  <c r="AY86" i="12"/>
  <c r="AU86" i="12"/>
  <c r="AQ86" i="12"/>
  <c r="AV86" i="12"/>
  <c r="AP86" i="12"/>
  <c r="R86" i="12"/>
  <c r="AW86" i="12"/>
  <c r="AR86" i="12"/>
  <c r="AS86" i="12"/>
  <c r="AV116" i="12"/>
  <c r="AV121" i="12"/>
  <c r="L127" i="12"/>
  <c r="O127" i="12" s="1"/>
  <c r="J132" i="12"/>
  <c r="J253" i="12" s="1"/>
  <c r="M131" i="12"/>
  <c r="O131" i="12"/>
  <c r="AA255" i="12"/>
  <c r="AJ255" i="12" s="1"/>
  <c r="AJ136" i="12"/>
  <c r="R265" i="12"/>
  <c r="X265" i="12"/>
  <c r="AI265" i="12" s="1"/>
  <c r="AQ139" i="12"/>
  <c r="AB265" i="12"/>
  <c r="AU139" i="12"/>
  <c r="AB157" i="12"/>
  <c r="AF265" i="12"/>
  <c r="AY139" i="12"/>
  <c r="AW265" i="12"/>
  <c r="AT161" i="12"/>
  <c r="BC182" i="12"/>
  <c r="AS186" i="12"/>
  <c r="N289" i="12"/>
  <c r="R190" i="12"/>
  <c r="U190" i="12"/>
  <c r="AR9" i="12"/>
  <c r="M11" i="12"/>
  <c r="AL11" i="12"/>
  <c r="AU14" i="12"/>
  <c r="R14" i="12"/>
  <c r="AJ14" i="12"/>
  <c r="R15" i="12"/>
  <c r="AR15" i="12"/>
  <c r="AW16" i="12"/>
  <c r="R286" i="12"/>
  <c r="AQ19" i="12"/>
  <c r="BB19" i="12" s="1"/>
  <c r="AI19" i="12"/>
  <c r="AB264" i="12"/>
  <c r="AU19" i="12"/>
  <c r="BC19" i="12" s="1"/>
  <c r="BD19" i="12"/>
  <c r="AQ21" i="12"/>
  <c r="BB21" i="12" s="1"/>
  <c r="AI21" i="12"/>
  <c r="BD21" i="12"/>
  <c r="M22" i="12"/>
  <c r="Z266" i="12"/>
  <c r="AS24" i="12"/>
  <c r="AH25" i="12"/>
  <c r="I26" i="12"/>
  <c r="BD26" i="12"/>
  <c r="BD27" i="12"/>
  <c r="BD28" i="12"/>
  <c r="AH29" i="12"/>
  <c r="BD30" i="12"/>
  <c r="BD31" i="12"/>
  <c r="AH31" i="12"/>
  <c r="AH32" i="12"/>
  <c r="BB35" i="12"/>
  <c r="AW36" i="12"/>
  <c r="AS36" i="12"/>
  <c r="AO36" i="12"/>
  <c r="R36" i="12"/>
  <c r="AX36" i="12"/>
  <c r="AT36" i="12"/>
  <c r="AP36" i="12"/>
  <c r="AQ36" i="12"/>
  <c r="AY36" i="12"/>
  <c r="R41" i="12"/>
  <c r="AR41" i="12"/>
  <c r="AR299" i="12" s="1"/>
  <c r="O43" i="12"/>
  <c r="O44" i="12"/>
  <c r="AW56" i="12"/>
  <c r="AW281" i="12" s="1"/>
  <c r="AS56" i="12"/>
  <c r="AS281" i="12" s="1"/>
  <c r="AO56" i="12"/>
  <c r="R56" i="12"/>
  <c r="R281" i="12" s="1"/>
  <c r="AX56" i="12"/>
  <c r="AX281" i="12" s="1"/>
  <c r="AT56" i="12"/>
  <c r="AP56" i="12"/>
  <c r="AP281" i="12" s="1"/>
  <c r="AY56" i="12"/>
  <c r="AY281" i="12" s="1"/>
  <c r="AO57" i="12"/>
  <c r="AS57" i="12"/>
  <c r="AH57" i="12"/>
  <c r="M58" i="12"/>
  <c r="AH62" i="12"/>
  <c r="I66" i="12"/>
  <c r="AL73" i="12"/>
  <c r="AY79" i="12"/>
  <c r="AU79" i="12"/>
  <c r="AQ79" i="12"/>
  <c r="AW79" i="12"/>
  <c r="AR79" i="12"/>
  <c r="AX79" i="12"/>
  <c r="AS79" i="12"/>
  <c r="AN79" i="12"/>
  <c r="AP79" i="12"/>
  <c r="AW83" i="12"/>
  <c r="AS83" i="12"/>
  <c r="AO83" i="12"/>
  <c r="R83" i="12"/>
  <c r="AX83" i="12"/>
  <c r="AR83" i="12"/>
  <c r="AY83" i="12"/>
  <c r="AT83" i="12"/>
  <c r="AN83" i="12"/>
  <c r="AU83" i="12"/>
  <c r="AL91" i="12"/>
  <c r="AZ95" i="12"/>
  <c r="AL98" i="12"/>
  <c r="J103" i="12"/>
  <c r="M111" i="12"/>
  <c r="O111" i="12"/>
  <c r="AZ115" i="12"/>
  <c r="AW116" i="12"/>
  <c r="AY121" i="12"/>
  <c r="N272" i="12"/>
  <c r="N132" i="12"/>
  <c r="R127" i="12"/>
  <c r="O129" i="12"/>
  <c r="M129" i="12"/>
  <c r="AX130" i="12"/>
  <c r="AT130" i="12"/>
  <c r="AP130" i="12"/>
  <c r="AY130" i="12"/>
  <c r="AU130" i="12"/>
  <c r="AQ130" i="12"/>
  <c r="AS130" i="12"/>
  <c r="AV130" i="12"/>
  <c r="AN130" i="12"/>
  <c r="AR130" i="12"/>
  <c r="J136" i="12"/>
  <c r="J255" i="12" s="1"/>
  <c r="L133" i="12"/>
  <c r="L266" i="12" s="1"/>
  <c r="M266" i="12" s="1"/>
  <c r="AL133" i="12"/>
  <c r="X255" i="12"/>
  <c r="AI255" i="12" s="1"/>
  <c r="AI136" i="12"/>
  <c r="AW136" i="12"/>
  <c r="AI139" i="12"/>
  <c r="R146" i="12"/>
  <c r="AY146" i="12"/>
  <c r="AQ146" i="12"/>
  <c r="AR146" i="12"/>
  <c r="AV146" i="12"/>
  <c r="AN290" i="12"/>
  <c r="AL149" i="12"/>
  <c r="AZ151" i="12"/>
  <c r="AL154" i="12"/>
  <c r="AZ156" i="12"/>
  <c r="X157" i="12"/>
  <c r="M158" i="12"/>
  <c r="AJ159" i="12"/>
  <c r="AZ168" i="12"/>
  <c r="O173" i="12"/>
  <c r="M173" i="12"/>
  <c r="H259" i="12"/>
  <c r="I259" i="12" s="1"/>
  <c r="I245" i="12"/>
  <c r="AW188" i="12"/>
  <c r="R8" i="12"/>
  <c r="AN9" i="12"/>
  <c r="AV9" i="12"/>
  <c r="BD10" i="12"/>
  <c r="R12" i="12"/>
  <c r="AX13" i="12"/>
  <c r="AT13" i="12"/>
  <c r="AP13" i="12"/>
  <c r="AY13" i="12"/>
  <c r="AU13" i="12"/>
  <c r="AQ13" i="12"/>
  <c r="BB13" i="12" s="1"/>
  <c r="AO13" i="12"/>
  <c r="BA13" i="12" s="1"/>
  <c r="AW13" i="12"/>
  <c r="Z264" i="12"/>
  <c r="AF264" i="12"/>
  <c r="AY14" i="12"/>
  <c r="AO14" i="12"/>
  <c r="AW14" i="12"/>
  <c r="AL15" i="12"/>
  <c r="AN15" i="12"/>
  <c r="AV15" i="12"/>
  <c r="R17" i="12"/>
  <c r="AL18" i="12"/>
  <c r="AW286" i="12"/>
  <c r="M19" i="12"/>
  <c r="AJ19" i="12"/>
  <c r="X269" i="12"/>
  <c r="AQ20" i="12"/>
  <c r="AI20" i="12"/>
  <c r="AB269" i="12"/>
  <c r="AU20" i="12"/>
  <c r="AU296" i="12" s="1"/>
  <c r="AF269" i="12"/>
  <c r="AK269" i="12" s="1"/>
  <c r="AY20" i="12"/>
  <c r="AY296" i="12" s="1"/>
  <c r="M21" i="12"/>
  <c r="AJ21" i="12"/>
  <c r="AQ22" i="12"/>
  <c r="BB22" i="12" s="1"/>
  <c r="AI22" i="12"/>
  <c r="BD22" i="12"/>
  <c r="BC23" i="12"/>
  <c r="AZ25" i="12"/>
  <c r="AI25" i="12"/>
  <c r="AJ25" i="12"/>
  <c r="AZ26" i="12"/>
  <c r="AI26" i="12"/>
  <c r="AJ26" i="12"/>
  <c r="AZ27" i="12"/>
  <c r="AI27" i="12"/>
  <c r="AJ27" i="12"/>
  <c r="AZ28" i="12"/>
  <c r="AI28" i="12"/>
  <c r="AJ28" i="12"/>
  <c r="AZ29" i="12"/>
  <c r="AI29" i="12"/>
  <c r="AJ29" i="12"/>
  <c r="AZ30" i="12"/>
  <c r="AI30" i="12"/>
  <c r="AJ30" i="12"/>
  <c r="AZ31" i="12"/>
  <c r="AI31" i="12"/>
  <c r="AJ31" i="12"/>
  <c r="AZ32" i="12"/>
  <c r="AI32" i="12"/>
  <c r="AJ32" i="12"/>
  <c r="BD33" i="12"/>
  <c r="AL34" i="12"/>
  <c r="AU36" i="12"/>
  <c r="R39" i="12"/>
  <c r="AX40" i="12"/>
  <c r="AT40" i="12"/>
  <c r="AP40" i="12"/>
  <c r="AY40" i="12"/>
  <c r="AU40" i="12"/>
  <c r="AQ40" i="12"/>
  <c r="BB40" i="12" s="1"/>
  <c r="AO40" i="12"/>
  <c r="BA40" i="12" s="1"/>
  <c r="AW40" i="12"/>
  <c r="AL41" i="12"/>
  <c r="AN41" i="12"/>
  <c r="AN299" i="12" s="1"/>
  <c r="L42" i="12"/>
  <c r="M46" i="12"/>
  <c r="AL46" i="12"/>
  <c r="BD46" i="12"/>
  <c r="M47" i="12"/>
  <c r="AL47" i="12"/>
  <c r="BD47" i="12"/>
  <c r="M48" i="12"/>
  <c r="AL48" i="12"/>
  <c r="BD48" i="12"/>
  <c r="M49" i="12"/>
  <c r="AL49" i="12"/>
  <c r="BD49" i="12"/>
  <c r="M50" i="12"/>
  <c r="AL50" i="12"/>
  <c r="BD50" i="12"/>
  <c r="M51" i="12"/>
  <c r="AL51" i="12"/>
  <c r="BD51" i="12"/>
  <c r="M52" i="12"/>
  <c r="AL52" i="12"/>
  <c r="BD52" i="12"/>
  <c r="M53" i="12"/>
  <c r="AL53" i="12"/>
  <c r="BD53" i="12"/>
  <c r="AU56" i="12"/>
  <c r="J271" i="12"/>
  <c r="K57" i="12"/>
  <c r="R59" i="12"/>
  <c r="R271" i="12" s="1"/>
  <c r="AO60" i="12"/>
  <c r="K61" i="12"/>
  <c r="L61" i="12" s="1"/>
  <c r="M61" i="12" s="1"/>
  <c r="K62" i="12"/>
  <c r="L62" i="12" s="1"/>
  <c r="M62" i="12" s="1"/>
  <c r="AO62" i="12"/>
  <c r="I64" i="12"/>
  <c r="BD65" i="12"/>
  <c r="I68" i="12"/>
  <c r="BD69" i="12"/>
  <c r="AW73" i="12"/>
  <c r="AS73" i="12"/>
  <c r="AO73" i="12"/>
  <c r="R73" i="12"/>
  <c r="AX73" i="12"/>
  <c r="AR73" i="12"/>
  <c r="AY73" i="12"/>
  <c r="AT73" i="12"/>
  <c r="AN73" i="12"/>
  <c r="AU73" i="12"/>
  <c r="AW74" i="12"/>
  <c r="AS74" i="12"/>
  <c r="AO74" i="12"/>
  <c r="BA74" i="12" s="1"/>
  <c r="R74" i="12"/>
  <c r="AV74" i="12"/>
  <c r="AQ74" i="12"/>
  <c r="AQ301" i="12" s="1"/>
  <c r="AX74" i="12"/>
  <c r="AR74" i="12"/>
  <c r="AT74" i="12"/>
  <c r="BC74" i="12" s="1"/>
  <c r="AL78" i="12"/>
  <c r="AV79" i="12"/>
  <c r="AY80" i="12"/>
  <c r="AU80" i="12"/>
  <c r="AQ80" i="12"/>
  <c r="AV80" i="12"/>
  <c r="AP80" i="12"/>
  <c r="BA80" i="12" s="1"/>
  <c r="R80" i="12"/>
  <c r="AW80" i="12"/>
  <c r="AR80" i="12"/>
  <c r="AS80" i="12"/>
  <c r="AL83" i="12"/>
  <c r="AP83" i="12"/>
  <c r="AW85" i="12"/>
  <c r="AS85" i="12"/>
  <c r="AO85" i="12"/>
  <c r="BA85" i="12" s="1"/>
  <c r="R85" i="12"/>
  <c r="AV85" i="12"/>
  <c r="AQ85" i="12"/>
  <c r="AX85" i="12"/>
  <c r="AR85" i="12"/>
  <c r="AT85" i="12"/>
  <c r="BC85" i="12" s="1"/>
  <c r="AO86" i="12"/>
  <c r="AZ94" i="12"/>
  <c r="O110" i="12"/>
  <c r="M110" i="12"/>
  <c r="O114" i="12"/>
  <c r="M114" i="12"/>
  <c r="M116" i="12"/>
  <c r="O116" i="12"/>
  <c r="M118" i="12"/>
  <c r="O118" i="12"/>
  <c r="AL124" i="12"/>
  <c r="AZ124" i="12"/>
  <c r="AG127" i="12"/>
  <c r="BD127" i="12"/>
  <c r="AX129" i="12"/>
  <c r="AT129" i="12"/>
  <c r="AP129" i="12"/>
  <c r="AY129" i="12"/>
  <c r="AU129" i="12"/>
  <c r="AQ129" i="12"/>
  <c r="BB129" i="12" s="1"/>
  <c r="AV129" i="12"/>
  <c r="AN129" i="12"/>
  <c r="AW129" i="12"/>
  <c r="AO129" i="12"/>
  <c r="H132" i="12"/>
  <c r="AR265" i="12"/>
  <c r="AW140" i="12"/>
  <c r="AO140" i="12"/>
  <c r="R140" i="12"/>
  <c r="AR140" i="12"/>
  <c r="AS140" i="12"/>
  <c r="BB141" i="12"/>
  <c r="AG143" i="12"/>
  <c r="AI143" i="12"/>
  <c r="AZ145" i="12"/>
  <c r="AN146" i="12"/>
  <c r="AX147" i="12"/>
  <c r="AX290" i="12" s="1"/>
  <c r="AT147" i="12"/>
  <c r="AP147" i="12"/>
  <c r="AP290" i="12" s="1"/>
  <c r="AY147" i="12"/>
  <c r="AY290" i="12" s="1"/>
  <c r="AU147" i="12"/>
  <c r="AU290" i="12" s="1"/>
  <c r="AQ147" i="12"/>
  <c r="AR147" i="12"/>
  <c r="AR290" i="12" s="1"/>
  <c r="R147" i="12"/>
  <c r="AS147" i="12"/>
  <c r="AS290" i="12" s="1"/>
  <c r="AV147" i="12"/>
  <c r="AV290" i="12" s="1"/>
  <c r="AZ150" i="12"/>
  <c r="AF157" i="12"/>
  <c r="Y161" i="12"/>
  <c r="Y257" i="12" s="1"/>
  <c r="AP161" i="12"/>
  <c r="AP257" i="12" s="1"/>
  <c r="AX161" i="12"/>
  <c r="AX257" i="12" s="1"/>
  <c r="BA159" i="12"/>
  <c r="BD159" i="12"/>
  <c r="AB161" i="12"/>
  <c r="AB257" i="12" s="1"/>
  <c r="AJ257" i="12" s="1"/>
  <c r="I166" i="12"/>
  <c r="M166" i="12"/>
  <c r="BB168" i="12"/>
  <c r="L176" i="12"/>
  <c r="M171" i="12"/>
  <c r="AL171" i="12"/>
  <c r="AE256" i="12"/>
  <c r="L183" i="12"/>
  <c r="O179" i="12"/>
  <c r="M180" i="12"/>
  <c r="O180" i="12"/>
  <c r="M181" i="12"/>
  <c r="O181" i="12"/>
  <c r="M182" i="12"/>
  <c r="O182" i="12"/>
  <c r="AH198" i="12"/>
  <c r="AL198" i="12" s="1"/>
  <c r="AG198" i="12"/>
  <c r="AP198" i="12"/>
  <c r="M213" i="12"/>
  <c r="O213" i="12"/>
  <c r="Z222" i="12"/>
  <c r="AP222" i="12"/>
  <c r="AH222" i="12"/>
  <c r="AQ9" i="12"/>
  <c r="W264" i="12"/>
  <c r="AP14" i="12"/>
  <c r="L269" i="12"/>
  <c r="O20" i="12"/>
  <c r="Y269" i="12"/>
  <c r="AR20" i="12"/>
  <c r="AC269" i="12"/>
  <c r="AV20" i="12"/>
  <c r="AV296" i="12" s="1"/>
  <c r="AG20" i="12"/>
  <c r="M24" i="12"/>
  <c r="U266" i="12"/>
  <c r="AN24" i="12"/>
  <c r="Y266" i="12"/>
  <c r="AR24" i="12"/>
  <c r="AC266" i="12"/>
  <c r="AJ266" i="12" s="1"/>
  <c r="AV24" i="12"/>
  <c r="BC24" i="12" s="1"/>
  <c r="AG24" i="12"/>
  <c r="AG26" i="12"/>
  <c r="M28" i="12"/>
  <c r="AG28" i="12"/>
  <c r="M31" i="12"/>
  <c r="AG31" i="12"/>
  <c r="AX41" i="12"/>
  <c r="AT41" i="12"/>
  <c r="AP41" i="12"/>
  <c r="AY41" i="12"/>
  <c r="AU41" i="12"/>
  <c r="AQ41" i="12"/>
  <c r="AO41" i="12"/>
  <c r="AW41" i="12"/>
  <c r="K45" i="12"/>
  <c r="L45" i="12" s="1"/>
  <c r="V58" i="12"/>
  <c r="AN58" i="12"/>
  <c r="M70" i="12"/>
  <c r="BC105" i="12"/>
  <c r="AX116" i="12"/>
  <c r="AT116" i="12"/>
  <c r="AP116" i="12"/>
  <c r="AY116" i="12"/>
  <c r="AU116" i="12"/>
  <c r="AQ116" i="12"/>
  <c r="AR116" i="12"/>
  <c r="R116" i="12"/>
  <c r="AS116" i="12"/>
  <c r="AW121" i="12"/>
  <c r="AS121" i="12"/>
  <c r="AS282" i="12" s="1"/>
  <c r="AO121" i="12"/>
  <c r="R121" i="12"/>
  <c r="R282" i="12" s="1"/>
  <c r="AX121" i="12"/>
  <c r="AT121" i="12"/>
  <c r="AP121" i="12"/>
  <c r="AR121" i="12"/>
  <c r="AU121" i="12"/>
  <c r="M143" i="12"/>
  <c r="O143" i="12"/>
  <c r="AJ146" i="12"/>
  <c r="AJ302" i="12" s="1"/>
  <c r="AT146" i="12"/>
  <c r="W157" i="12"/>
  <c r="W162" i="12" s="1"/>
  <c r="BB257" i="12"/>
  <c r="M168" i="12"/>
  <c r="O168" i="12"/>
  <c r="BA168" i="12"/>
  <c r="BD168" i="12"/>
  <c r="BC181" i="12"/>
  <c r="R185" i="12"/>
  <c r="AY185" i="12"/>
  <c r="AQ185" i="12"/>
  <c r="AR185" i="12"/>
  <c r="AN185" i="12"/>
  <c r="AU185" i="12"/>
  <c r="AZ187" i="12"/>
  <c r="AX215" i="12"/>
  <c r="AT215" i="12"/>
  <c r="AP215" i="12"/>
  <c r="R215" i="12"/>
  <c r="AY215" i="12"/>
  <c r="AU215" i="12"/>
  <c r="AQ215" i="12"/>
  <c r="AN215" i="12"/>
  <c r="AO215" i="12"/>
  <c r="AW215" i="12"/>
  <c r="AC227" i="12"/>
  <c r="AJ227" i="12" s="1"/>
  <c r="AU227" i="12"/>
  <c r="AB244" i="12"/>
  <c r="I7" i="12"/>
  <c r="M7" i="12"/>
  <c r="AL7" i="12"/>
  <c r="BD7" i="12"/>
  <c r="AS14" i="12"/>
  <c r="AX16" i="12"/>
  <c r="AT16" i="12"/>
  <c r="AP16" i="12"/>
  <c r="AY16" i="12"/>
  <c r="AU16" i="12"/>
  <c r="AQ16" i="12"/>
  <c r="AO16" i="12"/>
  <c r="BA16" i="12" s="1"/>
  <c r="AJ22" i="12"/>
  <c r="AJ296" i="12" s="1"/>
  <c r="I24" i="12"/>
  <c r="V266" i="12"/>
  <c r="AO24" i="12"/>
  <c r="AO266" i="12" s="1"/>
  <c r="AD266" i="12"/>
  <c r="AK266" i="12" s="1"/>
  <c r="AW24" i="12"/>
  <c r="BD25" i="12"/>
  <c r="AH26" i="12"/>
  <c r="AH27" i="12"/>
  <c r="AH28" i="12"/>
  <c r="BD29" i="12"/>
  <c r="AH30" i="12"/>
  <c r="BD32" i="12"/>
  <c r="H268" i="12"/>
  <c r="I268" i="12" s="1"/>
  <c r="I38" i="12"/>
  <c r="AX38" i="12"/>
  <c r="AT38" i="12"/>
  <c r="AT297" i="12" s="1"/>
  <c r="AP38" i="12"/>
  <c r="AY38" i="12"/>
  <c r="AU38" i="12"/>
  <c r="AQ38" i="12"/>
  <c r="AQ297" i="12" s="1"/>
  <c r="AO38" i="12"/>
  <c r="AW38" i="12"/>
  <c r="AW297" i="12" s="1"/>
  <c r="L39" i="12"/>
  <c r="AV272" i="12"/>
  <c r="AQ56" i="12"/>
  <c r="BD57" i="12"/>
  <c r="AH60" i="12"/>
  <c r="M67" i="12"/>
  <c r="M71" i="12"/>
  <c r="AZ77" i="12"/>
  <c r="AW78" i="12"/>
  <c r="AS78" i="12"/>
  <c r="AO78" i="12"/>
  <c r="R78" i="12"/>
  <c r="AX78" i="12"/>
  <c r="AR78" i="12"/>
  <c r="BB78" i="12" s="1"/>
  <c r="AY78" i="12"/>
  <c r="AT78" i="12"/>
  <c r="AN78" i="12"/>
  <c r="AU78" i="12"/>
  <c r="AY84" i="12"/>
  <c r="AU84" i="12"/>
  <c r="AQ84" i="12"/>
  <c r="AW84" i="12"/>
  <c r="AR84" i="12"/>
  <c r="AX84" i="12"/>
  <c r="AS84" i="12"/>
  <c r="AN84" i="12"/>
  <c r="AP84" i="12"/>
  <c r="AT86" i="12"/>
  <c r="AZ100" i="12"/>
  <c r="BC104" i="12"/>
  <c r="M106" i="12"/>
  <c r="M141" i="12"/>
  <c r="O141" i="12"/>
  <c r="M142" i="12"/>
  <c r="O142" i="12"/>
  <c r="H267" i="12"/>
  <c r="I267" i="12" s="1"/>
  <c r="I164" i="12"/>
  <c r="H169" i="12"/>
  <c r="M164" i="12"/>
  <c r="BC168" i="12"/>
  <c r="AR184" i="12"/>
  <c r="AU184" i="12"/>
  <c r="AY184" i="12"/>
  <c r="AN184" i="12"/>
  <c r="AN188" i="12"/>
  <c r="AX8" i="12"/>
  <c r="AT8" i="12"/>
  <c r="AP8" i="12"/>
  <c r="AY8" i="12"/>
  <c r="AU8" i="12"/>
  <c r="AQ8" i="12"/>
  <c r="BB8" i="12" s="1"/>
  <c r="AO8" i="12"/>
  <c r="BA8" i="12" s="1"/>
  <c r="AW8" i="12"/>
  <c r="K9" i="12"/>
  <c r="AU9" i="12"/>
  <c r="K10" i="12"/>
  <c r="L10" i="12" s="1"/>
  <c r="AX12" i="12"/>
  <c r="AT12" i="12"/>
  <c r="AP12" i="12"/>
  <c r="AY12" i="12"/>
  <c r="AU12" i="12"/>
  <c r="AQ12" i="12"/>
  <c r="BB12" i="12" s="1"/>
  <c r="AO12" i="12"/>
  <c r="BA12" i="12" s="1"/>
  <c r="AW12" i="12"/>
  <c r="AL13" i="12"/>
  <c r="L14" i="12"/>
  <c r="AT14" i="12"/>
  <c r="AS15" i="12"/>
  <c r="R16" i="12"/>
  <c r="AR16" i="12"/>
  <c r="AX17" i="12"/>
  <c r="AT17" i="12"/>
  <c r="AP17" i="12"/>
  <c r="AY17" i="12"/>
  <c r="AU17" i="12"/>
  <c r="AQ17" i="12"/>
  <c r="BB17" i="12" s="1"/>
  <c r="AO17" i="12"/>
  <c r="BA17" i="12" s="1"/>
  <c r="AW17" i="12"/>
  <c r="AT286" i="12"/>
  <c r="AH19" i="12"/>
  <c r="AN19" i="12"/>
  <c r="BA19" i="12" s="1"/>
  <c r="AG19" i="12"/>
  <c r="H269" i="12"/>
  <c r="I269" i="12" s="1"/>
  <c r="I20" i="12"/>
  <c r="AH21" i="12"/>
  <c r="AN21" i="12"/>
  <c r="BA21" i="12" s="1"/>
  <c r="AG21" i="12"/>
  <c r="BC22" i="12"/>
  <c r="AK24" i="12"/>
  <c r="AK25" i="12"/>
  <c r="AK26" i="12"/>
  <c r="AK27" i="12"/>
  <c r="AK28" i="12"/>
  <c r="AK29" i="12"/>
  <c r="AK30" i="12"/>
  <c r="AK31" i="12"/>
  <c r="AK32" i="12"/>
  <c r="AL33" i="12"/>
  <c r="BB34" i="12"/>
  <c r="BA35" i="12"/>
  <c r="AZ35" i="12"/>
  <c r="AR36" i="12"/>
  <c r="AY37" i="12"/>
  <c r="BD37" i="12" s="1"/>
  <c r="AU37" i="12"/>
  <c r="AQ37" i="12"/>
  <c r="AV37" i="12"/>
  <c r="AV283" i="12" s="1"/>
  <c r="AR37" i="12"/>
  <c r="AN37" i="12"/>
  <c r="AN283" i="12" s="1"/>
  <c r="AS37" i="12"/>
  <c r="R38" i="12"/>
  <c r="R297" i="12" s="1"/>
  <c r="AR38" i="12"/>
  <c r="AX39" i="12"/>
  <c r="AT39" i="12"/>
  <c r="AP39" i="12"/>
  <c r="AY39" i="12"/>
  <c r="AU39" i="12"/>
  <c r="AQ39" i="12"/>
  <c r="AO39" i="12"/>
  <c r="AW39" i="12"/>
  <c r="AL40" i="12"/>
  <c r="AS41" i="12"/>
  <c r="AW42" i="12"/>
  <c r="AS42" i="12"/>
  <c r="AO42" i="12"/>
  <c r="R42" i="12"/>
  <c r="AX42" i="12"/>
  <c r="AT42" i="12"/>
  <c r="BC42" i="12" s="1"/>
  <c r="AP42" i="12"/>
  <c r="AQ42" i="12"/>
  <c r="AY42" i="12"/>
  <c r="AW43" i="12"/>
  <c r="AS43" i="12"/>
  <c r="AO43" i="12"/>
  <c r="R43" i="12"/>
  <c r="AX43" i="12"/>
  <c r="AT43" i="12"/>
  <c r="BC43" i="12" s="1"/>
  <c r="AP43" i="12"/>
  <c r="AQ43" i="12"/>
  <c r="AY43" i="12"/>
  <c r="AW44" i="12"/>
  <c r="AW298" i="12" s="1"/>
  <c r="AS44" i="12"/>
  <c r="AS298" i="12" s="1"/>
  <c r="AO44" i="12"/>
  <c r="AO298" i="12" s="1"/>
  <c r="R44" i="12"/>
  <c r="R298" i="12" s="1"/>
  <c r="AX44" i="12"/>
  <c r="AX298" i="12" s="1"/>
  <c r="AT44" i="12"/>
  <c r="AP44" i="12"/>
  <c r="AP298" i="12" s="1"/>
  <c r="AQ44" i="12"/>
  <c r="AY44" i="12"/>
  <c r="AY298" i="12" s="1"/>
  <c r="AR56" i="12"/>
  <c r="AK57" i="12"/>
  <c r="L60" i="12"/>
  <c r="BD64" i="12"/>
  <c r="BD68" i="12"/>
  <c r="M72" i="12"/>
  <c r="M73" i="12"/>
  <c r="O73" i="12"/>
  <c r="M75" i="12"/>
  <c r="AV78" i="12"/>
  <c r="R79" i="12"/>
  <c r="AT79" i="12"/>
  <c r="AV83" i="12"/>
  <c r="R84" i="12"/>
  <c r="AT84" i="12"/>
  <c r="AN86" i="12"/>
  <c r="AX86" i="12"/>
  <c r="AL88" i="12"/>
  <c r="BD88" i="12"/>
  <c r="AL89" i="12"/>
  <c r="AZ102" i="12"/>
  <c r="AW108" i="12"/>
  <c r="AS108" i="12"/>
  <c r="AO108" i="12"/>
  <c r="R108" i="12"/>
  <c r="AX108" i="12"/>
  <c r="AT108" i="12"/>
  <c r="AP108" i="12"/>
  <c r="AR108" i="12"/>
  <c r="AU108" i="12"/>
  <c r="AV108" i="12"/>
  <c r="AW112" i="12"/>
  <c r="AS112" i="12"/>
  <c r="AO112" i="12"/>
  <c r="R112" i="12"/>
  <c r="AX112" i="12"/>
  <c r="AT112" i="12"/>
  <c r="AP112" i="12"/>
  <c r="AR112" i="12"/>
  <c r="AU112" i="12"/>
  <c r="AV112" i="12"/>
  <c r="AN116" i="12"/>
  <c r="BC120" i="12"/>
  <c r="AN121" i="12"/>
  <c r="N254" i="12"/>
  <c r="AG126" i="12"/>
  <c r="AA254" i="12"/>
  <c r="AJ126" i="12"/>
  <c r="AJ306" i="12" s="1"/>
  <c r="R130" i="12"/>
  <c r="AW130" i="12"/>
  <c r="I135" i="12"/>
  <c r="H136" i="12"/>
  <c r="M135" i="12"/>
  <c r="AX135" i="12"/>
  <c r="AX307" i="12" s="1"/>
  <c r="AT135" i="12"/>
  <c r="AT266" i="12" s="1"/>
  <c r="AP135" i="12"/>
  <c r="AP136" i="12" s="1"/>
  <c r="AP255" i="12" s="1"/>
  <c r="AY135" i="12"/>
  <c r="AY266" i="12" s="1"/>
  <c r="AU135" i="12"/>
  <c r="AQ135" i="12"/>
  <c r="AS135" i="12"/>
  <c r="AS136" i="12" s="1"/>
  <c r="AS255" i="12" s="1"/>
  <c r="R135" i="12"/>
  <c r="AV135" i="12"/>
  <c r="AN135" i="12"/>
  <c r="J265" i="12"/>
  <c r="J157" i="12"/>
  <c r="J162" i="12" s="1"/>
  <c r="L139" i="12"/>
  <c r="M140" i="12"/>
  <c r="O140" i="12"/>
  <c r="AW142" i="12"/>
  <c r="AO142" i="12"/>
  <c r="BA142" i="12" s="1"/>
  <c r="R142" i="12"/>
  <c r="AR142" i="12"/>
  <c r="AS142" i="12"/>
  <c r="BB143" i="12"/>
  <c r="M147" i="12"/>
  <c r="O147" i="12"/>
  <c r="AZ148" i="12"/>
  <c r="AE157" i="12"/>
  <c r="AE162" i="12" s="1"/>
  <c r="AF161" i="12"/>
  <c r="AF257" i="12" s="1"/>
  <c r="AK257" i="12" s="1"/>
  <c r="AO161" i="12"/>
  <c r="N159" i="12"/>
  <c r="AH160" i="12"/>
  <c r="AL160" i="12" s="1"/>
  <c r="N160" i="12"/>
  <c r="U161" i="12"/>
  <c r="BB161" i="12"/>
  <c r="I165" i="12"/>
  <c r="M165" i="12"/>
  <c r="AZ167" i="12"/>
  <c r="N177" i="12"/>
  <c r="N304" i="12" s="1"/>
  <c r="N309" i="12" s="1"/>
  <c r="AG169" i="12"/>
  <c r="M175" i="12"/>
  <c r="O175" i="12"/>
  <c r="AH176" i="12"/>
  <c r="V256" i="12"/>
  <c r="U258" i="12"/>
  <c r="AH183" i="12"/>
  <c r="AH313" i="12" s="1"/>
  <c r="Y258" i="12"/>
  <c r="AI183" i="12"/>
  <c r="AI313" i="12" s="1"/>
  <c r="AG183" i="12"/>
  <c r="AV185" i="12"/>
  <c r="AE186" i="12"/>
  <c r="AA186" i="12"/>
  <c r="W186" i="12"/>
  <c r="AF186" i="12"/>
  <c r="AB186" i="12"/>
  <c r="X186" i="12"/>
  <c r="R186" i="12"/>
  <c r="AC186" i="12"/>
  <c r="U186" i="12"/>
  <c r="N194" i="12"/>
  <c r="AD186" i="12"/>
  <c r="V186" i="12"/>
  <c r="Y186" i="12"/>
  <c r="AZ199" i="12"/>
  <c r="AZ219" i="12"/>
  <c r="AS265" i="12"/>
  <c r="AN7" i="12"/>
  <c r="AR7" i="12"/>
  <c r="AV7" i="12"/>
  <c r="AN11" i="12"/>
  <c r="BA11" i="12" s="1"/>
  <c r="AR11" i="12"/>
  <c r="AV11" i="12"/>
  <c r="U264" i="12"/>
  <c r="Y264" i="12"/>
  <c r="AE264" i="12"/>
  <c r="AI14" i="12"/>
  <c r="AN14" i="12"/>
  <c r="AR14" i="12"/>
  <c r="AV93" i="12"/>
  <c r="AR93" i="12"/>
  <c r="AN93" i="12"/>
  <c r="AW93" i="12"/>
  <c r="AS93" i="12"/>
  <c r="AO93" i="12"/>
  <c r="R93" i="12"/>
  <c r="AN18" i="12"/>
  <c r="AR18" i="12"/>
  <c r="AR286" i="12" s="1"/>
  <c r="AV18" i="12"/>
  <c r="AV286" i="12" s="1"/>
  <c r="AA264" i="12"/>
  <c r="AJ24" i="12"/>
  <c r="AN46" i="12"/>
  <c r="BA46" i="12" s="1"/>
  <c r="AR46" i="12"/>
  <c r="AV46" i="12"/>
  <c r="AV298" i="12" s="1"/>
  <c r="AN47" i="12"/>
  <c r="BA47" i="12" s="1"/>
  <c r="AR47" i="12"/>
  <c r="AV47" i="12"/>
  <c r="AN48" i="12"/>
  <c r="BA48" i="12" s="1"/>
  <c r="AR48" i="12"/>
  <c r="AV48" i="12"/>
  <c r="AN49" i="12"/>
  <c r="BA49" i="12" s="1"/>
  <c r="AR49" i="12"/>
  <c r="AV49" i="12"/>
  <c r="AN50" i="12"/>
  <c r="BA50" i="12" s="1"/>
  <c r="AR50" i="12"/>
  <c r="AV50" i="12"/>
  <c r="AN51" i="12"/>
  <c r="BA51" i="12" s="1"/>
  <c r="AR51" i="12"/>
  <c r="AV51" i="12"/>
  <c r="AN52" i="12"/>
  <c r="BA52" i="12" s="1"/>
  <c r="AR52" i="12"/>
  <c r="AV52" i="12"/>
  <c r="AN53" i="12"/>
  <c r="BA53" i="12" s="1"/>
  <c r="AR53" i="12"/>
  <c r="AV53" i="12"/>
  <c r="AN54" i="12"/>
  <c r="BA54" i="12" s="1"/>
  <c r="AR54" i="12"/>
  <c r="AV54" i="12"/>
  <c r="AN55" i="12"/>
  <c r="AR55" i="12"/>
  <c r="AV55" i="12"/>
  <c r="H271" i="12"/>
  <c r="I271" i="12" s="1"/>
  <c r="AJ57" i="12"/>
  <c r="AW72" i="12"/>
  <c r="AS72" i="12"/>
  <c r="BB72" i="12" s="1"/>
  <c r="AO72" i="12"/>
  <c r="R72" i="12"/>
  <c r="AP72" i="12"/>
  <c r="AU72" i="12"/>
  <c r="AL77" i="12"/>
  <c r="AL79" i="12"/>
  <c r="AY82" i="12"/>
  <c r="AU82" i="12"/>
  <c r="AQ82" i="12"/>
  <c r="AO82" i="12"/>
  <c r="AT82" i="12"/>
  <c r="AL84" i="12"/>
  <c r="R280" i="12"/>
  <c r="AS280" i="12"/>
  <c r="AT93" i="12"/>
  <c r="AL94" i="12"/>
  <c r="BB95" i="12"/>
  <c r="BC95" i="12"/>
  <c r="AZ96" i="12"/>
  <c r="AL102" i="12"/>
  <c r="G137" i="12"/>
  <c r="N252" i="12"/>
  <c r="BD105" i="12"/>
  <c r="K109" i="12"/>
  <c r="L109" i="12" s="1"/>
  <c r="AX111" i="12"/>
  <c r="AT111" i="12"/>
  <c r="AP111" i="12"/>
  <c r="AY111" i="12"/>
  <c r="AU111" i="12"/>
  <c r="AQ111" i="12"/>
  <c r="BB111" i="12" s="1"/>
  <c r="AO111" i="12"/>
  <c r="AW111" i="12"/>
  <c r="K113" i="12"/>
  <c r="L113" i="12" s="1"/>
  <c r="AX118" i="12"/>
  <c r="AT118" i="12"/>
  <c r="AP118" i="12"/>
  <c r="AY118" i="12"/>
  <c r="AU118" i="12"/>
  <c r="AQ118" i="12"/>
  <c r="BB118" i="12" s="1"/>
  <c r="AO118" i="12"/>
  <c r="AW118" i="12"/>
  <c r="AL119" i="12"/>
  <c r="BD119" i="12"/>
  <c r="BD120" i="12"/>
  <c r="AL123" i="12"/>
  <c r="BD123" i="12"/>
  <c r="BB124" i="12"/>
  <c r="AZ125" i="12"/>
  <c r="BA125" i="12"/>
  <c r="BD125" i="12"/>
  <c r="AD254" i="12"/>
  <c r="AK126" i="12"/>
  <c r="AK306" i="12" s="1"/>
  <c r="AI126" i="12"/>
  <c r="AI306" i="12" s="1"/>
  <c r="M130" i="12"/>
  <c r="O130" i="12"/>
  <c r="AL130" i="12"/>
  <c r="AW131" i="12"/>
  <c r="AS131" i="12"/>
  <c r="AO131" i="12"/>
  <c r="AX131" i="12"/>
  <c r="AT131" i="12"/>
  <c r="BC131" i="12" s="1"/>
  <c r="AP131" i="12"/>
  <c r="AR131" i="12"/>
  <c r="BE132" i="12"/>
  <c r="AL134" i="12"/>
  <c r="BD134" i="12"/>
  <c r="AL135" i="12"/>
  <c r="AL138" i="12"/>
  <c r="W265" i="12"/>
  <c r="AH265" i="12" s="1"/>
  <c r="AP139" i="12"/>
  <c r="AA265" i="12"/>
  <c r="AT139" i="12"/>
  <c r="AE265" i="12"/>
  <c r="AX139" i="12"/>
  <c r="AN139" i="12"/>
  <c r="AV139" i="12"/>
  <c r="AG140" i="12"/>
  <c r="AP141" i="12"/>
  <c r="AT141" i="12"/>
  <c r="AX141" i="12"/>
  <c r="BD141" i="12" s="1"/>
  <c r="AN141" i="12"/>
  <c r="AV141" i="12"/>
  <c r="AG142" i="12"/>
  <c r="AP143" i="12"/>
  <c r="AT143" i="12"/>
  <c r="AX143" i="12"/>
  <c r="BD143" i="12" s="1"/>
  <c r="AN143" i="12"/>
  <c r="AV143" i="12"/>
  <c r="AH144" i="12"/>
  <c r="AN144" i="12"/>
  <c r="AG144" i="12"/>
  <c r="AH145" i="12"/>
  <c r="AL145" i="12" s="1"/>
  <c r="AO146" i="12"/>
  <c r="AO302" i="12" s="1"/>
  <c r="AS146" i="12"/>
  <c r="AW146" i="12"/>
  <c r="AW302" i="12" s="1"/>
  <c r="AK146" i="12"/>
  <c r="AK302" i="12" s="1"/>
  <c r="AI146" i="12"/>
  <c r="AL150" i="12"/>
  <c r="BB151" i="12"/>
  <c r="BC151" i="12"/>
  <c r="AZ152" i="12"/>
  <c r="AH158" i="12"/>
  <c r="N158" i="12"/>
  <c r="BD158" i="12"/>
  <c r="AI159" i="12"/>
  <c r="F162" i="12"/>
  <c r="AL164" i="12"/>
  <c r="AL165" i="12"/>
  <c r="BD165" i="12"/>
  <c r="AL168" i="12"/>
  <c r="U177" i="12"/>
  <c r="U304" i="12" s="1"/>
  <c r="AH169" i="12"/>
  <c r="Y256" i="12"/>
  <c r="AW170" i="12"/>
  <c r="AS170" i="12"/>
  <c r="AO170" i="12"/>
  <c r="R170" i="12"/>
  <c r="AX170" i="12"/>
  <c r="AT170" i="12"/>
  <c r="AP170" i="12"/>
  <c r="AQ170" i="12"/>
  <c r="AY170" i="12"/>
  <c r="BD173" i="12"/>
  <c r="BC179" i="12"/>
  <c r="AP185" i="12"/>
  <c r="AJ185" i="12"/>
  <c r="AT185" i="12"/>
  <c r="AX185" i="12"/>
  <c r="BB187" i="12"/>
  <c r="BC187" i="12"/>
  <c r="AN202" i="12"/>
  <c r="V202" i="12"/>
  <c r="AX220" i="12"/>
  <c r="AT220" i="12"/>
  <c r="AP220" i="12"/>
  <c r="R220" i="12"/>
  <c r="AY220" i="12"/>
  <c r="AU220" i="12"/>
  <c r="AQ220" i="12"/>
  <c r="AR220" i="12"/>
  <c r="AW220" i="12"/>
  <c r="AN220" i="12"/>
  <c r="AS232" i="12"/>
  <c r="AO232" i="12"/>
  <c r="AT232" i="12"/>
  <c r="AP232" i="12"/>
  <c r="AR232" i="12"/>
  <c r="AU232" i="12"/>
  <c r="AN232" i="12"/>
  <c r="AQ232" i="12"/>
  <c r="AG270" i="12"/>
  <c r="J264" i="12"/>
  <c r="AQ7" i="12"/>
  <c r="AU7" i="12"/>
  <c r="AN10" i="12"/>
  <c r="BA10" i="12" s="1"/>
  <c r="AR10" i="12"/>
  <c r="BB10" i="12" s="1"/>
  <c r="AQ11" i="12"/>
  <c r="AU11" i="12"/>
  <c r="X264" i="12"/>
  <c r="AH14" i="12"/>
  <c r="AQ14" i="12"/>
  <c r="AQ18" i="12"/>
  <c r="AU18" i="12"/>
  <c r="AU286" i="12" s="1"/>
  <c r="AY18" i="12"/>
  <c r="AY286" i="12" s="1"/>
  <c r="AN23" i="12"/>
  <c r="AR23" i="12"/>
  <c r="BD23" i="12"/>
  <c r="J266" i="12"/>
  <c r="AI24" i="12"/>
  <c r="AN45" i="12"/>
  <c r="BA45" i="12" s="1"/>
  <c r="AR45" i="12"/>
  <c r="BB45" i="12" s="1"/>
  <c r="AQ46" i="12"/>
  <c r="AU46" i="12"/>
  <c r="AU298" i="12" s="1"/>
  <c r="C47" i="8" s="1"/>
  <c r="AQ47" i="12"/>
  <c r="AU47" i="12"/>
  <c r="AQ48" i="12"/>
  <c r="AU48" i="12"/>
  <c r="AQ49" i="12"/>
  <c r="BB49" i="12" s="1"/>
  <c r="AU49" i="12"/>
  <c r="AQ50" i="12"/>
  <c r="AU50" i="12"/>
  <c r="AQ51" i="12"/>
  <c r="AU51" i="12"/>
  <c r="AQ52" i="12"/>
  <c r="AU52" i="12"/>
  <c r="AQ53" i="12"/>
  <c r="BB53" i="12" s="1"/>
  <c r="AU53" i="12"/>
  <c r="AQ54" i="12"/>
  <c r="AU54" i="12"/>
  <c r="AQ55" i="12"/>
  <c r="AU55" i="12"/>
  <c r="AI57" i="12"/>
  <c r="AN64" i="12"/>
  <c r="BA64" i="12" s="1"/>
  <c r="AR64" i="12"/>
  <c r="BB64" i="12" s="1"/>
  <c r="AN65" i="12"/>
  <c r="BA65" i="12" s="1"/>
  <c r="AR65" i="12"/>
  <c r="BB65" i="12" s="1"/>
  <c r="AN66" i="12"/>
  <c r="BA66" i="12" s="1"/>
  <c r="AR66" i="12"/>
  <c r="BB66" i="12" s="1"/>
  <c r="AN67" i="12"/>
  <c r="BA67" i="12" s="1"/>
  <c r="AR67" i="12"/>
  <c r="BB67" i="12" s="1"/>
  <c r="AN68" i="12"/>
  <c r="BA68" i="12" s="1"/>
  <c r="AR68" i="12"/>
  <c r="AN69" i="12"/>
  <c r="BA69" i="12" s="1"/>
  <c r="AR69" i="12"/>
  <c r="BB69" i="12" s="1"/>
  <c r="AN70" i="12"/>
  <c r="BA70" i="12" s="1"/>
  <c r="AR70" i="12"/>
  <c r="AW71" i="12"/>
  <c r="BD71" i="12" s="1"/>
  <c r="AS71" i="12"/>
  <c r="BB71" i="12" s="1"/>
  <c r="AO71" i="12"/>
  <c r="R71" i="12"/>
  <c r="AP71" i="12"/>
  <c r="AU71" i="12"/>
  <c r="BC71" i="12" s="1"/>
  <c r="AN72" i="12"/>
  <c r="AT72" i="12"/>
  <c r="AY72" i="12"/>
  <c r="AW75" i="12"/>
  <c r="BD75" i="12" s="1"/>
  <c r="AS75" i="12"/>
  <c r="BB75" i="12" s="1"/>
  <c r="AO75" i="12"/>
  <c r="R75" i="12"/>
  <c r="AP75" i="12"/>
  <c r="AU75" i="12"/>
  <c r="BC75" i="12" s="1"/>
  <c r="AZ76" i="12"/>
  <c r="BD76" i="12"/>
  <c r="AY81" i="12"/>
  <c r="BD81" i="12" s="1"/>
  <c r="AU81" i="12"/>
  <c r="AQ81" i="12"/>
  <c r="BB81" i="12" s="1"/>
  <c r="AO81" i="12"/>
  <c r="AT81" i="12"/>
  <c r="AL82" i="12"/>
  <c r="AN82" i="12"/>
  <c r="AS82" i="12"/>
  <c r="AX82" i="12"/>
  <c r="AW87" i="12"/>
  <c r="AS87" i="12"/>
  <c r="AO87" i="12"/>
  <c r="R87" i="12"/>
  <c r="AX87" i="12"/>
  <c r="AT87" i="12"/>
  <c r="BC87" i="12" s="1"/>
  <c r="AP87" i="12"/>
  <c r="AQ87" i="12"/>
  <c r="AY87" i="12"/>
  <c r="AX90" i="12"/>
  <c r="AX280" i="12" s="1"/>
  <c r="AT90" i="12"/>
  <c r="AT280" i="12" s="1"/>
  <c r="AP90" i="12"/>
  <c r="AP280" i="12" s="1"/>
  <c r="AY90" i="12"/>
  <c r="AY280" i="12" s="1"/>
  <c r="AU90" i="12"/>
  <c r="AQ90" i="12"/>
  <c r="BB90" i="12" s="1"/>
  <c r="AO90" i="12"/>
  <c r="AO280" i="12" s="1"/>
  <c r="AW90" i="12"/>
  <c r="AX92" i="12"/>
  <c r="AT92" i="12"/>
  <c r="AP92" i="12"/>
  <c r="AY92" i="12"/>
  <c r="AU92" i="12"/>
  <c r="AQ92" i="12"/>
  <c r="BB92" i="12" s="1"/>
  <c r="AO92" i="12"/>
  <c r="AW92" i="12"/>
  <c r="AQ93" i="12"/>
  <c r="AY93" i="12"/>
  <c r="BB96" i="12"/>
  <c r="AZ97" i="12"/>
  <c r="BA97" i="12"/>
  <c r="BD97" i="12"/>
  <c r="BD98" i="12"/>
  <c r="AL99" i="12"/>
  <c r="F252" i="12"/>
  <c r="F137" i="12"/>
  <c r="H126" i="12"/>
  <c r="M104" i="12"/>
  <c r="AZ107" i="12"/>
  <c r="AL110" i="12"/>
  <c r="BD110" i="12"/>
  <c r="AL111" i="12"/>
  <c r="AN111" i="12"/>
  <c r="AV111" i="12"/>
  <c r="L112" i="12"/>
  <c r="AL114" i="12"/>
  <c r="BD114" i="12"/>
  <c r="AX117" i="12"/>
  <c r="AT117" i="12"/>
  <c r="AP117" i="12"/>
  <c r="AY117" i="12"/>
  <c r="AU117" i="12"/>
  <c r="AQ117" i="12"/>
  <c r="BB117" i="12" s="1"/>
  <c r="AO117" i="12"/>
  <c r="BA117" i="12" s="1"/>
  <c r="AW117" i="12"/>
  <c r="AL118" i="12"/>
  <c r="AN118" i="12"/>
  <c r="AV118" i="12"/>
  <c r="AX122" i="12"/>
  <c r="AT122" i="12"/>
  <c r="AP122" i="12"/>
  <c r="AY122" i="12"/>
  <c r="AY282" i="12" s="1"/>
  <c r="AU122" i="12"/>
  <c r="AQ122" i="12"/>
  <c r="BB122" i="12" s="1"/>
  <c r="AO122" i="12"/>
  <c r="BA122" i="12" s="1"/>
  <c r="AW122" i="12"/>
  <c r="J126" i="12"/>
  <c r="J254" i="12" s="1"/>
  <c r="AH126" i="12"/>
  <c r="N269" i="12"/>
  <c r="O128" i="12"/>
  <c r="AL128" i="12"/>
  <c r="BD128" i="12"/>
  <c r="AL129" i="12"/>
  <c r="AQ131" i="12"/>
  <c r="AY131" i="12"/>
  <c r="N266" i="12"/>
  <c r="N136" i="12"/>
  <c r="R133" i="12"/>
  <c r="AG134" i="12"/>
  <c r="BB138" i="12"/>
  <c r="BC138" i="12"/>
  <c r="AJ139" i="12"/>
  <c r="AQ140" i="12"/>
  <c r="AU140" i="12"/>
  <c r="BC140" i="12" s="1"/>
  <c r="AY140" i="12"/>
  <c r="AH141" i="12"/>
  <c r="AK141" i="12"/>
  <c r="AJ141" i="12"/>
  <c r="AQ142" i="12"/>
  <c r="AU142" i="12"/>
  <c r="BC142" i="12" s="1"/>
  <c r="AY142" i="12"/>
  <c r="AH143" i="12"/>
  <c r="AK143" i="12"/>
  <c r="AJ143" i="12"/>
  <c r="AQ144" i="12"/>
  <c r="AI144" i="12"/>
  <c r="BD144" i="12"/>
  <c r="BA145" i="12"/>
  <c r="AG145" i="12"/>
  <c r="AG146" i="12"/>
  <c r="AH146" i="12"/>
  <c r="BB152" i="12"/>
  <c r="AZ153" i="12"/>
  <c r="BA153" i="12"/>
  <c r="BD153" i="12"/>
  <c r="BD154" i="12"/>
  <c r="AL155" i="12"/>
  <c r="I157" i="12"/>
  <c r="H162" i="12"/>
  <c r="AA157" i="12"/>
  <c r="AI158" i="12"/>
  <c r="BA158" i="12"/>
  <c r="X161" i="12"/>
  <c r="AW161" i="12"/>
  <c r="BD163" i="12"/>
  <c r="O164" i="12"/>
  <c r="L169" i="12"/>
  <c r="AL166" i="12"/>
  <c r="F256" i="12"/>
  <c r="X177" i="12"/>
  <c r="X304" i="12" s="1"/>
  <c r="AI169" i="12"/>
  <c r="AB256" i="12"/>
  <c r="AN170" i="12"/>
  <c r="AV170" i="12"/>
  <c r="R270" i="12"/>
  <c r="AW270" i="12"/>
  <c r="BD270" i="12" s="1"/>
  <c r="BD172" i="12"/>
  <c r="BD191" i="12"/>
  <c r="AK191" i="12"/>
  <c r="AL192" i="12"/>
  <c r="AZ192" i="12"/>
  <c r="AL208" i="12"/>
  <c r="AL212" i="12"/>
  <c r="BB212" i="12"/>
  <c r="AS224" i="12"/>
  <c r="AO224" i="12"/>
  <c r="AT224" i="12"/>
  <c r="AP224" i="12"/>
  <c r="AR224" i="12"/>
  <c r="AU224" i="12"/>
  <c r="AN224" i="12"/>
  <c r="AQ224" i="12"/>
  <c r="AV229" i="12"/>
  <c r="AD229" i="12"/>
  <c r="AL242" i="12"/>
  <c r="AZ242" i="12"/>
  <c r="AN88" i="12"/>
  <c r="AR88" i="12"/>
  <c r="AV88" i="12"/>
  <c r="AV280" i="12" s="1"/>
  <c r="AN110" i="12"/>
  <c r="BA110" i="12" s="1"/>
  <c r="AR110" i="12"/>
  <c r="AV110" i="12"/>
  <c r="AN114" i="12"/>
  <c r="BA114" i="12" s="1"/>
  <c r="AR114" i="12"/>
  <c r="AV114" i="12"/>
  <c r="AN119" i="12"/>
  <c r="AR119" i="12"/>
  <c r="AV119" i="12"/>
  <c r="AN123" i="12"/>
  <c r="BA123" i="12" s="1"/>
  <c r="AR123" i="12"/>
  <c r="AV123" i="12"/>
  <c r="AN128" i="12"/>
  <c r="BA128" i="12" s="1"/>
  <c r="AR128" i="12"/>
  <c r="AV128" i="12"/>
  <c r="AG131" i="12"/>
  <c r="AN134" i="12"/>
  <c r="BA134" i="12" s="1"/>
  <c r="AR134" i="12"/>
  <c r="AV134" i="12"/>
  <c r="AK255" i="12"/>
  <c r="AH136" i="12"/>
  <c r="AH139" i="12"/>
  <c r="V157" i="12"/>
  <c r="V162" i="12" s="1"/>
  <c r="Z157" i="12"/>
  <c r="Z162" i="12" s="1"/>
  <c r="AD157" i="12"/>
  <c r="AZ158" i="12"/>
  <c r="AN164" i="12"/>
  <c r="AR164" i="12"/>
  <c r="AV164" i="12"/>
  <c r="AN165" i="12"/>
  <c r="BA165" i="12" s="1"/>
  <c r="AR165" i="12"/>
  <c r="AV165" i="12"/>
  <c r="P166" i="12"/>
  <c r="AN285" i="12"/>
  <c r="AV285" i="12"/>
  <c r="AN171" i="12"/>
  <c r="BA171" i="12" s="1"/>
  <c r="AR171" i="12"/>
  <c r="AV171" i="12"/>
  <c r="AL172" i="12"/>
  <c r="BC172" i="12"/>
  <c r="AT270" i="12"/>
  <c r="BC270" i="12" s="1"/>
  <c r="BD174" i="12"/>
  <c r="AG176" i="12"/>
  <c r="AK176" i="12"/>
  <c r="BD179" i="12"/>
  <c r="AT183" i="12"/>
  <c r="AT313" i="12" s="1"/>
  <c r="AP184" i="12"/>
  <c r="AJ184" i="12"/>
  <c r="AT184" i="12"/>
  <c r="AX184" i="12"/>
  <c r="J194" i="12"/>
  <c r="J267" i="12" s="1"/>
  <c r="L185" i="12"/>
  <c r="AO185" i="12"/>
  <c r="AS185" i="12"/>
  <c r="AW185" i="12"/>
  <c r="AK185" i="12"/>
  <c r="AI185" i="12"/>
  <c r="AZ189" i="12"/>
  <c r="BA191" i="12"/>
  <c r="AR191" i="12"/>
  <c r="BB191" i="12" s="1"/>
  <c r="AI191" i="12"/>
  <c r="AG191" i="12"/>
  <c r="K245" i="12"/>
  <c r="K259" i="12" s="1"/>
  <c r="K267" i="12"/>
  <c r="BB192" i="12"/>
  <c r="W195" i="12"/>
  <c r="AO195" i="12"/>
  <c r="AP197" i="12"/>
  <c r="X197" i="12"/>
  <c r="AH197" i="12"/>
  <c r="BA198" i="12"/>
  <c r="BD198" i="12"/>
  <c r="AN203" i="12"/>
  <c r="Z214" i="12"/>
  <c r="AP214" i="12"/>
  <c r="AH214" i="12"/>
  <c r="AV216" i="12"/>
  <c r="AR216" i="12"/>
  <c r="AN216" i="12"/>
  <c r="R216" i="12"/>
  <c r="AW216" i="12"/>
  <c r="AS216" i="12"/>
  <c r="AO216" i="12"/>
  <c r="AU216" i="12"/>
  <c r="AX216" i="12"/>
  <c r="AY221" i="12"/>
  <c r="AU221" i="12"/>
  <c r="AQ221" i="12"/>
  <c r="AR221" i="12"/>
  <c r="AN221" i="12"/>
  <c r="AT221" i="12"/>
  <c r="AW221" i="12"/>
  <c r="AO221" i="12"/>
  <c r="AX221" i="12"/>
  <c r="AV225" i="12"/>
  <c r="AD225" i="12"/>
  <c r="AC231" i="12"/>
  <c r="AJ231" i="12" s="1"/>
  <c r="AU231" i="12"/>
  <c r="AS233" i="12"/>
  <c r="AQ88" i="12"/>
  <c r="AU88" i="12"/>
  <c r="AN89" i="12"/>
  <c r="BA89" i="12" s="1"/>
  <c r="AR89" i="12"/>
  <c r="BB89" i="12" s="1"/>
  <c r="AN91" i="12"/>
  <c r="AR91" i="12"/>
  <c r="BB91" i="12" s="1"/>
  <c r="G252" i="12"/>
  <c r="AN104" i="12"/>
  <c r="AR104" i="12"/>
  <c r="BD104" i="12"/>
  <c r="AN105" i="12"/>
  <c r="BA105" i="12" s="1"/>
  <c r="AR105" i="12"/>
  <c r="BB105" i="12" s="1"/>
  <c r="AN106" i="12"/>
  <c r="BA106" i="12" s="1"/>
  <c r="AR106" i="12"/>
  <c r="BB106" i="12" s="1"/>
  <c r="AN109" i="12"/>
  <c r="BA109" i="12" s="1"/>
  <c r="AR109" i="12"/>
  <c r="BB109" i="12" s="1"/>
  <c r="AQ110" i="12"/>
  <c r="AU110" i="12"/>
  <c r="AN113" i="12"/>
  <c r="BA113" i="12" s="1"/>
  <c r="AR113" i="12"/>
  <c r="BB113" i="12" s="1"/>
  <c r="AQ114" i="12"/>
  <c r="AU114" i="12"/>
  <c r="AQ119" i="12"/>
  <c r="AU119" i="12"/>
  <c r="AN120" i="12"/>
  <c r="BA120" i="12" s="1"/>
  <c r="AR120" i="12"/>
  <c r="AQ123" i="12"/>
  <c r="AU123" i="12"/>
  <c r="AN127" i="12"/>
  <c r="BA127" i="12" s="1"/>
  <c r="AR127" i="12"/>
  <c r="BB127" i="12" s="1"/>
  <c r="AQ128" i="12"/>
  <c r="AU128" i="12"/>
  <c r="AN133" i="12"/>
  <c r="AR133" i="12"/>
  <c r="AQ134" i="12"/>
  <c r="AU134" i="12"/>
  <c r="AH255" i="12"/>
  <c r="AK136" i="12"/>
  <c r="AG139" i="12"/>
  <c r="AK139" i="12"/>
  <c r="U157" i="12"/>
  <c r="U252" i="12" s="1"/>
  <c r="Y157" i="12"/>
  <c r="AC157" i="12"/>
  <c r="AC162" i="12" s="1"/>
  <c r="AQ164" i="12"/>
  <c r="AU164" i="12"/>
  <c r="AQ165" i="12"/>
  <c r="AU165" i="12"/>
  <c r="AU285" i="12"/>
  <c r="AQ171" i="12"/>
  <c r="AU171" i="12"/>
  <c r="L270" i="12"/>
  <c r="M270" i="12" s="1"/>
  <c r="O172" i="12"/>
  <c r="AL173" i="12"/>
  <c r="BC173" i="12"/>
  <c r="AW175" i="12"/>
  <c r="AS175" i="12"/>
  <c r="AO175" i="12"/>
  <c r="R175" i="12"/>
  <c r="R285" i="12" s="1"/>
  <c r="AX175" i="12"/>
  <c r="AT175" i="12"/>
  <c r="AP175" i="12"/>
  <c r="AQ175" i="12"/>
  <c r="AY175" i="12"/>
  <c r="H183" i="12"/>
  <c r="I179" i="12"/>
  <c r="AO184" i="12"/>
  <c r="N184" i="12"/>
  <c r="AS184" i="12"/>
  <c r="AW184" i="12"/>
  <c r="AK184" i="12"/>
  <c r="AI184" i="12"/>
  <c r="AH185" i="12"/>
  <c r="AE188" i="12"/>
  <c r="AX188" i="12" s="1"/>
  <c r="AA188" i="12"/>
  <c r="W188" i="12"/>
  <c r="AP188" i="12" s="1"/>
  <c r="AF188" i="12"/>
  <c r="AY188" i="12" s="1"/>
  <c r="AB188" i="12"/>
  <c r="AU188" i="12" s="1"/>
  <c r="X188" i="12"/>
  <c r="R188" i="12"/>
  <c r="Y188" i="12"/>
  <c r="AR188" i="12" s="1"/>
  <c r="BB189" i="12"/>
  <c r="AZ193" i="12"/>
  <c r="U213" i="12"/>
  <c r="AN195" i="12"/>
  <c r="V196" i="12"/>
  <c r="AN196" i="12"/>
  <c r="AO197" i="12"/>
  <c r="BC199" i="12"/>
  <c r="AN201" i="12"/>
  <c r="V205" i="12"/>
  <c r="BA209" i="12"/>
  <c r="AY216" i="12"/>
  <c r="AL217" i="12"/>
  <c r="AD226" i="12"/>
  <c r="AV226" i="12"/>
  <c r="BC226" i="12" s="1"/>
  <c r="AJ226" i="12"/>
  <c r="AS228" i="12"/>
  <c r="AO228" i="12"/>
  <c r="AT228" i="12"/>
  <c r="AP228" i="12"/>
  <c r="AR228" i="12"/>
  <c r="BB228" i="12" s="1"/>
  <c r="AU228" i="12"/>
  <c r="AN172" i="12"/>
  <c r="AR172" i="12"/>
  <c r="AN173" i="12"/>
  <c r="BA173" i="12" s="1"/>
  <c r="AR173" i="12"/>
  <c r="BB173" i="12" s="1"/>
  <c r="BA174" i="12"/>
  <c r="J176" i="12"/>
  <c r="J177" i="12" s="1"/>
  <c r="BA179" i="12"/>
  <c r="R180" i="12"/>
  <c r="AO180" i="12"/>
  <c r="AS180" i="12"/>
  <c r="AW180" i="12"/>
  <c r="BD180" i="12" s="1"/>
  <c r="R181" i="12"/>
  <c r="AO181" i="12"/>
  <c r="AS181" i="12"/>
  <c r="AW181" i="12"/>
  <c r="BD181" i="12" s="1"/>
  <c r="R182" i="12"/>
  <c r="AO182" i="12"/>
  <c r="AS182" i="12"/>
  <c r="AW182" i="12"/>
  <c r="BD182" i="12" s="1"/>
  <c r="AJ183" i="12"/>
  <c r="AJ313" i="12" s="1"/>
  <c r="AG185" i="12"/>
  <c r="BA193" i="12"/>
  <c r="AZ198" i="12"/>
  <c r="V201" i="12"/>
  <c r="V203" i="12"/>
  <c r="AP204" i="12"/>
  <c r="AZ204" i="12" s="1"/>
  <c r="AG204" i="12"/>
  <c r="BB204" i="12"/>
  <c r="BA206" i="12"/>
  <c r="AZ206" i="12"/>
  <c r="BA208" i="12"/>
  <c r="AZ208" i="12"/>
  <c r="BA210" i="12"/>
  <c r="AZ210" i="12"/>
  <c r="AZ211" i="12"/>
  <c r="BD211" i="12"/>
  <c r="N244" i="12"/>
  <c r="W216" i="12"/>
  <c r="BD218" i="12"/>
  <c r="BB219" i="12"/>
  <c r="AS220" i="12"/>
  <c r="AR225" i="12"/>
  <c r="AN225" i="12"/>
  <c r="R225" i="12"/>
  <c r="AS225" i="12"/>
  <c r="AO225" i="12"/>
  <c r="AU225" i="12"/>
  <c r="AR229" i="12"/>
  <c r="AN229" i="12"/>
  <c r="R229" i="12"/>
  <c r="AS229" i="12"/>
  <c r="AO229" i="12"/>
  <c r="AU229" i="12"/>
  <c r="AY233" i="12"/>
  <c r="AT233" i="12"/>
  <c r="AP233" i="12"/>
  <c r="R233" i="12"/>
  <c r="AU233" i="12"/>
  <c r="AQ233" i="12"/>
  <c r="AO233" i="12"/>
  <c r="AX233" i="12"/>
  <c r="AL240" i="12"/>
  <c r="BB242" i="12"/>
  <c r="BC242" i="12"/>
  <c r="M244" i="12"/>
  <c r="AG280" i="12"/>
  <c r="AZ179" i="12"/>
  <c r="AN180" i="12"/>
  <c r="BA180" i="12" s="1"/>
  <c r="AR180" i="12"/>
  <c r="BB180" i="12" s="1"/>
  <c r="AV180" i="12"/>
  <c r="BC180" i="12" s="1"/>
  <c r="AN181" i="12"/>
  <c r="AR181" i="12"/>
  <c r="AN182" i="12"/>
  <c r="AR182" i="12"/>
  <c r="AP200" i="12"/>
  <c r="BA200" i="12" s="1"/>
  <c r="AG200" i="12"/>
  <c r="BB200" i="12"/>
  <c r="AL207" i="12"/>
  <c r="AL209" i="12"/>
  <c r="BC212" i="12"/>
  <c r="R213" i="12"/>
  <c r="BD214" i="12"/>
  <c r="BD217" i="12"/>
  <c r="BD222" i="12"/>
  <c r="AL223" i="12"/>
  <c r="BB223" i="12"/>
  <c r="AT225" i="12"/>
  <c r="BB227" i="12"/>
  <c r="AT229" i="12"/>
  <c r="BB231" i="12"/>
  <c r="AN233" i="12"/>
  <c r="AW233" i="12"/>
  <c r="AZ237" i="12"/>
  <c r="AL239" i="12"/>
  <c r="AL246" i="12"/>
  <c r="AO214" i="12"/>
  <c r="BA218" i="12"/>
  <c r="W288" i="12"/>
  <c r="AH220" i="12"/>
  <c r="Z221" i="12"/>
  <c r="AO222" i="12"/>
  <c r="BA222" i="12" s="1"/>
  <c r="AC224" i="12"/>
  <c r="AJ224" i="12" s="1"/>
  <c r="R226" i="12"/>
  <c r="AN226" i="12"/>
  <c r="BA226" i="12" s="1"/>
  <c r="AR226" i="12"/>
  <c r="BB226" i="12" s="1"/>
  <c r="AC228" i="12"/>
  <c r="AJ228" i="12" s="1"/>
  <c r="R230" i="12"/>
  <c r="AN230" i="12"/>
  <c r="BA230" i="12" s="1"/>
  <c r="AR230" i="12"/>
  <c r="BB230" i="12" s="1"/>
  <c r="AC232" i="12"/>
  <c r="BD235" i="12"/>
  <c r="BA236" i="12"/>
  <c r="BB240" i="12"/>
  <c r="AZ243" i="12"/>
  <c r="BD243" i="12"/>
  <c r="AL248" i="12"/>
  <c r="BD248" i="12"/>
  <c r="BE248" i="12" s="1"/>
  <c r="BE250" i="12"/>
  <c r="AB287" i="12"/>
  <c r="AZ235" i="12"/>
  <c r="BB238" i="12"/>
  <c r="AZ241" i="12"/>
  <c r="BD241" i="12"/>
  <c r="AZ248" i="12"/>
  <c r="BE251" i="12"/>
  <c r="AL277" i="12"/>
  <c r="AH278" i="12"/>
  <c r="AG278" i="12"/>
  <c r="AG279" i="12"/>
  <c r="AH288" i="12"/>
  <c r="AO234" i="12"/>
  <c r="AI278" i="12"/>
  <c r="AJ278" i="12"/>
  <c r="AL276" i="12"/>
  <c r="BE277" i="12"/>
  <c r="AH279" i="12"/>
  <c r="AK279" i="12"/>
  <c r="AJ279" i="12"/>
  <c r="AI280" i="12"/>
  <c r="AJ280" i="12"/>
  <c r="AH285" i="12"/>
  <c r="AK285" i="12"/>
  <c r="AG290" i="12"/>
  <c r="AG286" i="12"/>
  <c r="AH287" i="12"/>
  <c r="AG282" i="12"/>
  <c r="AG283" i="12"/>
  <c r="AI290" i="12"/>
  <c r="AL292" i="12"/>
  <c r="AK281" i="12"/>
  <c r="AI282" i="12"/>
  <c r="AG284" i="12"/>
  <c r="AG285" i="12"/>
  <c r="C22" i="8" l="1"/>
  <c r="BB83" i="12"/>
  <c r="AC234" i="12"/>
  <c r="AG234" i="12" s="1"/>
  <c r="V329" i="12"/>
  <c r="W329" i="12" s="1"/>
  <c r="X329" i="12" s="1"/>
  <c r="Y329" i="12" s="1"/>
  <c r="Z329" i="12" s="1"/>
  <c r="C45" i="8"/>
  <c r="L15" i="8"/>
  <c r="L23" i="8"/>
  <c r="L20" i="8"/>
  <c r="L59" i="8"/>
  <c r="L14" i="8"/>
  <c r="L49" i="8"/>
  <c r="L55" i="8"/>
  <c r="L25" i="8"/>
  <c r="L54" i="8"/>
  <c r="L17" i="8"/>
  <c r="L13" i="8"/>
  <c r="L56" i="8"/>
  <c r="L16" i="8"/>
  <c r="L46" i="8"/>
  <c r="L45" i="8"/>
  <c r="L53" i="8"/>
  <c r="L19" i="8"/>
  <c r="L18" i="8"/>
  <c r="L51" i="8"/>
  <c r="L24" i="8"/>
  <c r="L31" i="8"/>
  <c r="L60" i="8"/>
  <c r="L50" i="8"/>
  <c r="L21" i="8"/>
  <c r="L47" i="8"/>
  <c r="L52" i="8"/>
  <c r="L58" i="8"/>
  <c r="L44" i="8"/>
  <c r="L48" i="8"/>
  <c r="AU307" i="12"/>
  <c r="C56" i="8" s="1"/>
  <c r="AL159" i="12"/>
  <c r="BC143" i="12"/>
  <c r="AH264" i="12"/>
  <c r="AF256" i="12"/>
  <c r="AJ230" i="12"/>
  <c r="BC184" i="12"/>
  <c r="AK254" i="12"/>
  <c r="BA82" i="12"/>
  <c r="AK258" i="12"/>
  <c r="V331" i="12"/>
  <c r="W331" i="12" s="1"/>
  <c r="X331" i="12" s="1"/>
  <c r="Y331" i="12" s="1"/>
  <c r="Z331" i="12" s="1"/>
  <c r="AA331" i="12" s="1"/>
  <c r="AB331" i="12" s="1"/>
  <c r="BA135" i="12"/>
  <c r="BB135" i="12"/>
  <c r="AW299" i="12"/>
  <c r="AY299" i="12"/>
  <c r="BB24" i="12"/>
  <c r="BE63" i="12"/>
  <c r="AL290" i="12"/>
  <c r="AP278" i="12"/>
  <c r="AH295" i="12"/>
  <c r="BE241" i="12"/>
  <c r="BE206" i="12"/>
  <c r="F247" i="12"/>
  <c r="F250" i="12" s="1"/>
  <c r="BC53" i="12"/>
  <c r="BE53" i="12" s="1"/>
  <c r="BC49" i="12"/>
  <c r="BE49" i="12" s="1"/>
  <c r="AV301" i="12"/>
  <c r="BE100" i="12"/>
  <c r="AL21" i="12"/>
  <c r="AV302" i="12"/>
  <c r="R302" i="12"/>
  <c r="AS295" i="12"/>
  <c r="AP307" i="12"/>
  <c r="AS302" i="12"/>
  <c r="BC41" i="12"/>
  <c r="AJ258" i="12"/>
  <c r="BD82" i="12"/>
  <c r="AG258" i="12"/>
  <c r="AI254" i="12"/>
  <c r="R307" i="12"/>
  <c r="BC123" i="12"/>
  <c r="AL298" i="12"/>
  <c r="AL283" i="12"/>
  <c r="AP302" i="12"/>
  <c r="AH254" i="12"/>
  <c r="BE242" i="12"/>
  <c r="AZ104" i="12"/>
  <c r="AV230" i="12"/>
  <c r="AI295" i="12"/>
  <c r="AP299" i="12"/>
  <c r="AR302" i="12"/>
  <c r="BE148" i="12"/>
  <c r="BC230" i="12"/>
  <c r="BE101" i="12"/>
  <c r="AQ307" i="12"/>
  <c r="AI233" i="12"/>
  <c r="AD256" i="12"/>
  <c r="AK256" i="12" s="1"/>
  <c r="U309" i="12"/>
  <c r="U194" i="12"/>
  <c r="U245" i="12" s="1"/>
  <c r="U310" i="12" s="1"/>
  <c r="AI258" i="12"/>
  <c r="AS299" i="12"/>
  <c r="AW295" i="12"/>
  <c r="AY295" i="12"/>
  <c r="BE32" i="12"/>
  <c r="AT302" i="12"/>
  <c r="BE33" i="12"/>
  <c r="AJ295" i="12"/>
  <c r="L268" i="12"/>
  <c r="O268" i="12" s="1"/>
  <c r="AX295" i="12"/>
  <c r="W256" i="12"/>
  <c r="AU302" i="12"/>
  <c r="C51" i="8" s="1"/>
  <c r="AT295" i="12"/>
  <c r="BE192" i="12"/>
  <c r="AK177" i="12"/>
  <c r="AK304" i="12" s="1"/>
  <c r="AV307" i="12"/>
  <c r="AO299" i="12"/>
  <c r="R295" i="12"/>
  <c r="AL307" i="12"/>
  <c r="BD15" i="12"/>
  <c r="BE207" i="12"/>
  <c r="BA92" i="12"/>
  <c r="BB182" i="12"/>
  <c r="BE208" i="12"/>
  <c r="BE179" i="12"/>
  <c r="BE189" i="12"/>
  <c r="AI302" i="12"/>
  <c r="BD12" i="12"/>
  <c r="AP295" i="12"/>
  <c r="Z256" i="12"/>
  <c r="AL284" i="12"/>
  <c r="AS307" i="12"/>
  <c r="AR295" i="12"/>
  <c r="AJ254" i="12"/>
  <c r="BB112" i="12"/>
  <c r="BB108" i="12"/>
  <c r="BC84" i="12"/>
  <c r="AU299" i="12"/>
  <c r="C48" i="8" s="1"/>
  <c r="AX299" i="12"/>
  <c r="BC37" i="12"/>
  <c r="BE35" i="12"/>
  <c r="BC17" i="12"/>
  <c r="AO268" i="12"/>
  <c r="AO297" i="12"/>
  <c r="AO322" i="12" s="1"/>
  <c r="AP268" i="12"/>
  <c r="AP297" i="12"/>
  <c r="V300" i="12"/>
  <c r="AI266" i="12"/>
  <c r="BD290" i="12"/>
  <c r="AY301" i="12"/>
  <c r="AO301" i="12"/>
  <c r="AU303" i="12"/>
  <c r="AJ269" i="12"/>
  <c r="AL301" i="12"/>
  <c r="AY303" i="12"/>
  <c r="AX283" i="12"/>
  <c r="AX303" i="12"/>
  <c r="AW303" i="12"/>
  <c r="AN300" i="12"/>
  <c r="M38" i="12"/>
  <c r="AH296" i="12"/>
  <c r="AL299" i="12"/>
  <c r="AL303" i="12"/>
  <c r="AP258" i="12"/>
  <c r="AP313" i="12"/>
  <c r="AT307" i="12"/>
  <c r="AX302" i="12"/>
  <c r="AN298" i="12"/>
  <c r="AO323" i="12" s="1"/>
  <c r="AP323" i="12" s="1"/>
  <c r="AO295" i="12"/>
  <c r="BD305" i="12"/>
  <c r="AQ305" i="12"/>
  <c r="AR307" i="12"/>
  <c r="BB144" i="12"/>
  <c r="AQ302" i="12"/>
  <c r="AU301" i="12"/>
  <c r="AS301" i="12"/>
  <c r="AI296" i="12"/>
  <c r="AQ303" i="12"/>
  <c r="R303" i="12"/>
  <c r="BE26" i="12"/>
  <c r="BD164" i="12"/>
  <c r="AA256" i="12"/>
  <c r="AA304" i="12"/>
  <c r="AL305" i="12"/>
  <c r="BA305" i="12"/>
  <c r="BA197" i="12"/>
  <c r="BB171" i="12"/>
  <c r="AU295" i="12"/>
  <c r="AK265" i="12"/>
  <c r="AO324" i="12"/>
  <c r="AU268" i="12"/>
  <c r="AU297" i="12"/>
  <c r="C46" i="8" s="1"/>
  <c r="AX268" i="12"/>
  <c r="AX297" i="12"/>
  <c r="BC7" i="12"/>
  <c r="AP283" i="12"/>
  <c r="AP303" i="12"/>
  <c r="AO283" i="12"/>
  <c r="AO303" i="12"/>
  <c r="AY258" i="12"/>
  <c r="AY313" i="12"/>
  <c r="AN303" i="12"/>
  <c r="AY302" i="12"/>
  <c r="AP301" i="12"/>
  <c r="AR298" i="12"/>
  <c r="AY285" i="12"/>
  <c r="AY305" i="12"/>
  <c r="AX285" i="12"/>
  <c r="AX305" i="12"/>
  <c r="AW285" i="12"/>
  <c r="AW305" i="12"/>
  <c r="C54" i="8" s="1"/>
  <c r="AL126" i="12"/>
  <c r="AL306" i="12" s="1"/>
  <c r="AH306" i="12"/>
  <c r="BA144" i="12"/>
  <c r="AN302" i="12"/>
  <c r="AO327" i="12" s="1"/>
  <c r="AN295" i="12"/>
  <c r="AQ298" i="12"/>
  <c r="AR268" i="12"/>
  <c r="AR297" i="12"/>
  <c r="AR301" i="12"/>
  <c r="AX258" i="12"/>
  <c r="AX313" i="12"/>
  <c r="AS215" i="12"/>
  <c r="BE209" i="12"/>
  <c r="AP285" i="12"/>
  <c r="AP305" i="12"/>
  <c r="AO305" i="12"/>
  <c r="AO330" i="12" s="1"/>
  <c r="AN307" i="12"/>
  <c r="AO332" i="12" s="1"/>
  <c r="AP332" i="12" s="1"/>
  <c r="BC110" i="12"/>
  <c r="AU280" i="12"/>
  <c r="BC280" i="12" s="1"/>
  <c r="BE191" i="12"/>
  <c r="BD92" i="12"/>
  <c r="AL144" i="12"/>
  <c r="AH302" i="12"/>
  <c r="AR303" i="12"/>
  <c r="AN301" i="12"/>
  <c r="AX301" i="12"/>
  <c r="AW301" i="12"/>
  <c r="AQ296" i="12"/>
  <c r="BA15" i="12"/>
  <c r="AL282" i="12"/>
  <c r="BE236" i="12"/>
  <c r="BA214" i="12"/>
  <c r="R287" i="12"/>
  <c r="BE219" i="12"/>
  <c r="BE211" i="12"/>
  <c r="BA228" i="12"/>
  <c r="BC175" i="12"/>
  <c r="AT305" i="12"/>
  <c r="AS285" i="12"/>
  <c r="AS305" i="12"/>
  <c r="AV136" i="12"/>
  <c r="AV255" i="12" s="1"/>
  <c r="I162" i="12"/>
  <c r="BE96" i="12"/>
  <c r="AQ295" i="12"/>
  <c r="G247" i="12"/>
  <c r="G250" i="12" s="1"/>
  <c r="AV295" i="12"/>
  <c r="AH258" i="12"/>
  <c r="BB73" i="12"/>
  <c r="BC44" i="12"/>
  <c r="AT298" i="12"/>
  <c r="AQ299" i="12"/>
  <c r="AT299" i="12"/>
  <c r="AY268" i="12"/>
  <c r="AY297" i="12"/>
  <c r="BC16" i="12"/>
  <c r="AR296" i="12"/>
  <c r="M161" i="12"/>
  <c r="BB74" i="12"/>
  <c r="AT301" i="12"/>
  <c r="R301" i="12"/>
  <c r="R299" i="12"/>
  <c r="AT303" i="12"/>
  <c r="AS303" i="12"/>
  <c r="BE28" i="12"/>
  <c r="AL25" i="12"/>
  <c r="BB57" i="12"/>
  <c r="AN296" i="12"/>
  <c r="AO321" i="12" s="1"/>
  <c r="AP321" i="12" s="1"/>
  <c r="AQ258" i="12"/>
  <c r="AQ313" i="12"/>
  <c r="BC305" i="12"/>
  <c r="BE237" i="12"/>
  <c r="BE31" i="12"/>
  <c r="BB305" i="12"/>
  <c r="AL268" i="12"/>
  <c r="AU258" i="12"/>
  <c r="AU313" i="12"/>
  <c r="AC256" i="12"/>
  <c r="AC304" i="12"/>
  <c r="BE156" i="12"/>
  <c r="AY307" i="12"/>
  <c r="W338" i="12"/>
  <c r="X338" i="12" s="1"/>
  <c r="Y338" i="12" s="1"/>
  <c r="Z338" i="12" s="1"/>
  <c r="AA338" i="12" s="1"/>
  <c r="AB338" i="12" s="1"/>
  <c r="R300" i="12"/>
  <c r="AV303" i="12"/>
  <c r="CH240" i="9"/>
  <c r="CH262" i="9"/>
  <c r="CI262" i="9" s="1"/>
  <c r="CJ262" i="9" s="1"/>
  <c r="CK262" i="9" s="1"/>
  <c r="CL262" i="9" s="1"/>
  <c r="CM262" i="9" s="1"/>
  <c r="CN262" i="9" s="1"/>
  <c r="CO262" i="9" s="1"/>
  <c r="CP262" i="9" s="1"/>
  <c r="CQ262" i="9" s="1"/>
  <c r="CR262" i="9" s="1"/>
  <c r="H240" i="9"/>
  <c r="H262" i="9"/>
  <c r="I262" i="9" s="1"/>
  <c r="J262" i="9" s="1"/>
  <c r="K262" i="9" s="1"/>
  <c r="L262" i="9" s="1"/>
  <c r="M262" i="9" s="1"/>
  <c r="N262" i="9" s="1"/>
  <c r="O262" i="9" s="1"/>
  <c r="P262" i="9" s="1"/>
  <c r="Q262" i="9" s="1"/>
  <c r="R262" i="9" s="1"/>
  <c r="AK264" i="12"/>
  <c r="AL270" i="12"/>
  <c r="AJ215" i="12"/>
  <c r="AV215" i="12"/>
  <c r="AZ215" i="12" s="1"/>
  <c r="BC18" i="12"/>
  <c r="BA188" i="12"/>
  <c r="BB184" i="12"/>
  <c r="BB16" i="12"/>
  <c r="BC80" i="12"/>
  <c r="BD74" i="12"/>
  <c r="BE30" i="12"/>
  <c r="AI215" i="12"/>
  <c r="BE102" i="12"/>
  <c r="BE243" i="12"/>
  <c r="BE235" i="12"/>
  <c r="BA181" i="12"/>
  <c r="AS234" i="12"/>
  <c r="BB234" i="12" s="1"/>
  <c r="BE193" i="12"/>
  <c r="AZ191" i="12"/>
  <c r="BB110" i="12"/>
  <c r="AV282" i="12"/>
  <c r="BA118" i="12"/>
  <c r="BE98" i="12"/>
  <c r="BC54" i="12"/>
  <c r="BC52" i="12"/>
  <c r="BC50" i="12"/>
  <c r="BC48" i="12"/>
  <c r="BC46" i="12"/>
  <c r="AY136" i="12"/>
  <c r="AY255" i="12" s="1"/>
  <c r="AJ177" i="12"/>
  <c r="AJ304" i="12" s="1"/>
  <c r="BB121" i="12"/>
  <c r="BC20" i="12"/>
  <c r="BC296" i="12" s="1"/>
  <c r="BB9" i="12"/>
  <c r="AR272" i="12"/>
  <c r="BE155" i="12"/>
  <c r="BE150" i="12"/>
  <c r="BE107" i="12"/>
  <c r="J245" i="12"/>
  <c r="J259" i="12" s="1"/>
  <c r="BC165" i="12"/>
  <c r="AZ200" i="12"/>
  <c r="AL191" i="12"/>
  <c r="BA42" i="12"/>
  <c r="AP287" i="12"/>
  <c r="AR288" i="12"/>
  <c r="BE163" i="12"/>
  <c r="AL280" i="12"/>
  <c r="BE240" i="12"/>
  <c r="BE218" i="12"/>
  <c r="AG215" i="12"/>
  <c r="BA182" i="12"/>
  <c r="BD184" i="12"/>
  <c r="BE212" i="12"/>
  <c r="BE154" i="12"/>
  <c r="BE152" i="12"/>
  <c r="BE145" i="12"/>
  <c r="AZ144" i="12"/>
  <c r="BB140" i="12"/>
  <c r="BE97" i="12"/>
  <c r="AP288" i="12"/>
  <c r="BD139" i="12"/>
  <c r="BE124" i="12"/>
  <c r="BD135" i="12"/>
  <c r="BD307" i="12" s="1"/>
  <c r="BA112" i="12"/>
  <c r="AV278" i="12"/>
  <c r="BE168" i="12"/>
  <c r="BA79" i="12"/>
  <c r="X61" i="12"/>
  <c r="AQ61" i="12" s="1"/>
  <c r="AL286" i="12"/>
  <c r="AL272" i="12"/>
  <c r="AU282" i="12"/>
  <c r="BC119" i="12"/>
  <c r="AZ131" i="12"/>
  <c r="BE173" i="12"/>
  <c r="AZ70" i="12"/>
  <c r="BB70" i="12"/>
  <c r="BE70" i="12" s="1"/>
  <c r="BB68" i="12"/>
  <c r="BE68" i="12" s="1"/>
  <c r="AZ68" i="12"/>
  <c r="AQ136" i="12"/>
  <c r="AQ255" i="12" s="1"/>
  <c r="AQ266" i="12"/>
  <c r="BA91" i="12"/>
  <c r="BE91" i="12" s="1"/>
  <c r="AZ91" i="12"/>
  <c r="AU244" i="12"/>
  <c r="BC216" i="12"/>
  <c r="AX126" i="12"/>
  <c r="AS264" i="12"/>
  <c r="AX282" i="12"/>
  <c r="AG220" i="12"/>
  <c r="BE210" i="12"/>
  <c r="AS183" i="12"/>
  <c r="BA175" i="12"/>
  <c r="Y162" i="12"/>
  <c r="AZ128" i="12"/>
  <c r="AZ119" i="12"/>
  <c r="BD122" i="12"/>
  <c r="AZ139" i="12"/>
  <c r="BD111" i="12"/>
  <c r="AY126" i="12"/>
  <c r="AS126" i="12"/>
  <c r="BD93" i="12"/>
  <c r="BA116" i="12"/>
  <c r="AU126" i="12"/>
  <c r="AZ84" i="12"/>
  <c r="BE34" i="12"/>
  <c r="BB116" i="12"/>
  <c r="BC116" i="12"/>
  <c r="BB41" i="12"/>
  <c r="AH266" i="12"/>
  <c r="AL266" i="12" s="1"/>
  <c r="AF162" i="12"/>
  <c r="AZ80" i="12"/>
  <c r="AO61" i="12"/>
  <c r="BA61" i="12" s="1"/>
  <c r="AZ20" i="12"/>
  <c r="BD286" i="12"/>
  <c r="BA56" i="12"/>
  <c r="BE253" i="12"/>
  <c r="W59" i="12"/>
  <c r="AL285" i="12"/>
  <c r="BE238" i="12"/>
  <c r="BC225" i="12"/>
  <c r="BE217" i="12"/>
  <c r="BB229" i="12"/>
  <c r="AO183" i="12"/>
  <c r="BE199" i="12"/>
  <c r="AL184" i="12"/>
  <c r="AL255" i="12"/>
  <c r="BE127" i="12"/>
  <c r="AZ120" i="12"/>
  <c r="BC114" i="12"/>
  <c r="BE114" i="12" s="1"/>
  <c r="G260" i="12"/>
  <c r="BA221" i="12"/>
  <c r="AR244" i="12"/>
  <c r="AR176" i="12"/>
  <c r="AL139" i="12"/>
  <c r="AZ123" i="12"/>
  <c r="AR280" i="12"/>
  <c r="AJ220" i="12"/>
  <c r="AL220" i="12" s="1"/>
  <c r="AZ122" i="12"/>
  <c r="BB87" i="12"/>
  <c r="BC81" i="12"/>
  <c r="BB54" i="12"/>
  <c r="BB50" i="12"/>
  <c r="BB46" i="12"/>
  <c r="BC11" i="12"/>
  <c r="BE151" i="12"/>
  <c r="BD146" i="12"/>
  <c r="AZ143" i="12"/>
  <c r="AJ265" i="12"/>
  <c r="AL265" i="12" s="1"/>
  <c r="AT136" i="12"/>
  <c r="AT255" i="12" s="1"/>
  <c r="BD118" i="12"/>
  <c r="AZ113" i="12"/>
  <c r="AZ111" i="12"/>
  <c r="K126" i="12"/>
  <c r="K254" i="12" s="1"/>
  <c r="BC93" i="12"/>
  <c r="AR281" i="12"/>
  <c r="AZ130" i="12"/>
  <c r="BA44" i="12"/>
  <c r="BA298" i="12" s="1"/>
  <c r="BB43" i="12"/>
  <c r="AP272" i="12"/>
  <c r="AR283" i="12"/>
  <c r="BB215" i="12"/>
  <c r="AP282" i="12"/>
  <c r="AO282" i="12"/>
  <c r="AS157" i="12"/>
  <c r="AS162" i="12" s="1"/>
  <c r="BB85" i="12"/>
  <c r="BC130" i="12"/>
  <c r="BC56" i="12"/>
  <c r="BE27" i="12"/>
  <c r="AO281" i="12"/>
  <c r="BA36" i="12"/>
  <c r="BE239" i="12"/>
  <c r="BE167" i="12"/>
  <c r="BE149" i="12"/>
  <c r="BE99" i="12"/>
  <c r="AY264" i="12"/>
  <c r="BB165" i="12"/>
  <c r="AV126" i="12"/>
  <c r="BE187" i="12"/>
  <c r="BC286" i="12"/>
  <c r="BC78" i="12"/>
  <c r="BE159" i="12"/>
  <c r="BD40" i="12"/>
  <c r="AZ22" i="12"/>
  <c r="AL281" i="12"/>
  <c r="BD233" i="12"/>
  <c r="BE223" i="12"/>
  <c r="BB225" i="12"/>
  <c r="AG188" i="12"/>
  <c r="AU266" i="12"/>
  <c r="BC128" i="12"/>
  <c r="BB114" i="12"/>
  <c r="AO288" i="12"/>
  <c r="BE138" i="12"/>
  <c r="BC117" i="12"/>
  <c r="AZ105" i="12"/>
  <c r="BA87" i="12"/>
  <c r="AZ82" i="12"/>
  <c r="AZ81" i="12"/>
  <c r="BE76" i="12"/>
  <c r="BA71" i="12"/>
  <c r="BE71" i="12" s="1"/>
  <c r="AU281" i="12"/>
  <c r="BC51" i="12"/>
  <c r="BC47" i="12"/>
  <c r="BB14" i="12"/>
  <c r="BE95" i="12"/>
  <c r="AZ52" i="12"/>
  <c r="AZ48" i="12"/>
  <c r="AL24" i="12"/>
  <c r="AK161" i="12"/>
  <c r="AP264" i="12"/>
  <c r="AO126" i="12"/>
  <c r="BC79" i="12"/>
  <c r="BA43" i="12"/>
  <c r="BB42" i="12"/>
  <c r="AS272" i="12"/>
  <c r="K103" i="12"/>
  <c r="AT285" i="12"/>
  <c r="BC285" i="12" s="1"/>
  <c r="BE29" i="12"/>
  <c r="BE25" i="12"/>
  <c r="AR157" i="12"/>
  <c r="AR162" i="12" s="1"/>
  <c r="AZ66" i="12"/>
  <c r="AZ13" i="12"/>
  <c r="BA130" i="12"/>
  <c r="BD116" i="12"/>
  <c r="AH61" i="12"/>
  <c r="BD56" i="12"/>
  <c r="BA81" i="12"/>
  <c r="BE115" i="12"/>
  <c r="BE77" i="12"/>
  <c r="BE94" i="12"/>
  <c r="AI221" i="12"/>
  <c r="AC221" i="12"/>
  <c r="AG221" i="12" s="1"/>
  <c r="AS221" i="12"/>
  <c r="BB221" i="12" s="1"/>
  <c r="Z288" i="12"/>
  <c r="AO205" i="12"/>
  <c r="W205" i="12"/>
  <c r="AH205" i="12" s="1"/>
  <c r="AW183" i="12"/>
  <c r="AW313" i="12" s="1"/>
  <c r="BA133" i="12"/>
  <c r="AN136" i="12"/>
  <c r="Y197" i="12"/>
  <c r="AQ197" i="12"/>
  <c r="X195" i="12"/>
  <c r="AP195" i="12"/>
  <c r="M185" i="12"/>
  <c r="L194" i="12"/>
  <c r="O185" i="12"/>
  <c r="BA170" i="12"/>
  <c r="AN176" i="12"/>
  <c r="X256" i="12"/>
  <c r="AI177" i="12"/>
  <c r="AI304" i="12" s="1"/>
  <c r="X257" i="12"/>
  <c r="AI257" i="12" s="1"/>
  <c r="AI161" i="12"/>
  <c r="AA162" i="12"/>
  <c r="AJ157" i="12"/>
  <c r="BC134" i="12"/>
  <c r="N255" i="12"/>
  <c r="AG136" i="12"/>
  <c r="BD90" i="12"/>
  <c r="AZ87" i="12"/>
  <c r="BB23" i="12"/>
  <c r="AQ286" i="12"/>
  <c r="BB286" i="12" s="1"/>
  <c r="BB18" i="12"/>
  <c r="BA141" i="12"/>
  <c r="AZ141" i="12"/>
  <c r="M109" i="12"/>
  <c r="O109" i="12"/>
  <c r="AR264" i="12"/>
  <c r="AP186" i="12"/>
  <c r="AZ134" i="12"/>
  <c r="AZ112" i="12"/>
  <c r="AP126" i="12"/>
  <c r="AZ65" i="12"/>
  <c r="AZ43" i="12"/>
  <c r="BD42" i="12"/>
  <c r="AO272" i="12"/>
  <c r="BA39" i="12"/>
  <c r="AZ10" i="12"/>
  <c r="AO264" i="12"/>
  <c r="BA215" i="12"/>
  <c r="AN244" i="12"/>
  <c r="R244" i="12"/>
  <c r="BA185" i="12"/>
  <c r="O45" i="12"/>
  <c r="M45" i="12"/>
  <c r="M176" i="12"/>
  <c r="O176" i="12"/>
  <c r="AG273" i="12"/>
  <c r="AX279" i="12"/>
  <c r="BB79" i="12"/>
  <c r="AZ18" i="12"/>
  <c r="AZ15" i="12"/>
  <c r="J256" i="12"/>
  <c r="AB162" i="12"/>
  <c r="BA57" i="12"/>
  <c r="BD281" i="12"/>
  <c r="AZ40" i="12"/>
  <c r="AL279" i="12"/>
  <c r="AD232" i="12"/>
  <c r="AV232" i="12"/>
  <c r="BC232" i="12" s="1"/>
  <c r="BB233" i="12"/>
  <c r="AT244" i="12"/>
  <c r="R184" i="12"/>
  <c r="AZ184" i="12" s="1"/>
  <c r="AG184" i="12"/>
  <c r="O184" i="12"/>
  <c r="BE106" i="12"/>
  <c r="AY166" i="12"/>
  <c r="AU166" i="12"/>
  <c r="AU284" i="12" s="1"/>
  <c r="AQ166" i="12"/>
  <c r="AQ269" i="12" s="1"/>
  <c r="AV166" i="12"/>
  <c r="AV284" i="12" s="1"/>
  <c r="AR166" i="12"/>
  <c r="AR284" i="12" s="1"/>
  <c r="AN166" i="12"/>
  <c r="AN269" i="12" s="1"/>
  <c r="AW166" i="12"/>
  <c r="AO166" i="12"/>
  <c r="AO269" i="12" s="1"/>
  <c r="AX166" i="12"/>
  <c r="AP166" i="12"/>
  <c r="R166" i="12"/>
  <c r="AT166" i="12"/>
  <c r="AT269" i="12" s="1"/>
  <c r="AS166" i="12"/>
  <c r="O266" i="12"/>
  <c r="AG266" i="12"/>
  <c r="AW126" i="12"/>
  <c r="AW306" i="12" s="1"/>
  <c r="AZ75" i="12"/>
  <c r="BE67" i="12"/>
  <c r="BE65" i="12"/>
  <c r="AQ281" i="12"/>
  <c r="BB55" i="12"/>
  <c r="BB51" i="12"/>
  <c r="BE51" i="12" s="1"/>
  <c r="BB47" i="12"/>
  <c r="BE47" i="12" s="1"/>
  <c r="BE45" i="12"/>
  <c r="BA23" i="12"/>
  <c r="BE10" i="12"/>
  <c r="BB232" i="12"/>
  <c r="AS176" i="12"/>
  <c r="AV265" i="12"/>
  <c r="AV157" i="12"/>
  <c r="AV162" i="12" s="1"/>
  <c r="AW282" i="12"/>
  <c r="BC111" i="12"/>
  <c r="BC82" i="12"/>
  <c r="BD72" i="12"/>
  <c r="AN281" i="12"/>
  <c r="BA55" i="12"/>
  <c r="AN286" i="12"/>
  <c r="BA286" i="12" s="1"/>
  <c r="BA18" i="12"/>
  <c r="AR186" i="12"/>
  <c r="AI186" i="12"/>
  <c r="AQ186" i="12"/>
  <c r="AJ186" i="12"/>
  <c r="AT186" i="12"/>
  <c r="AZ165" i="12"/>
  <c r="O159" i="12"/>
  <c r="R159" i="12"/>
  <c r="AG159" i="12"/>
  <c r="AZ142" i="12"/>
  <c r="AZ135" i="12"/>
  <c r="AU136" i="12"/>
  <c r="AU255" i="12" s="1"/>
  <c r="AG254" i="12"/>
  <c r="BC108" i="12"/>
  <c r="AV279" i="12"/>
  <c r="AZ79" i="12"/>
  <c r="AQ278" i="12"/>
  <c r="M60" i="12"/>
  <c r="O60" i="12"/>
  <c r="AZ54" i="12"/>
  <c r="AZ42" i="12"/>
  <c r="AQ272" i="12"/>
  <c r="BB39" i="12"/>
  <c r="AT272" i="12"/>
  <c r="BC39" i="12"/>
  <c r="BB37" i="12"/>
  <c r="AN271" i="12"/>
  <c r="M10" i="12"/>
  <c r="O10" i="12"/>
  <c r="BA204" i="12"/>
  <c r="BE204" i="12" s="1"/>
  <c r="AN272" i="12"/>
  <c r="AQ268" i="12"/>
  <c r="BB38" i="12"/>
  <c r="BB297" i="12" s="1"/>
  <c r="AT268" i="12"/>
  <c r="BC38" i="12"/>
  <c r="BC297" i="12" s="1"/>
  <c r="W58" i="12"/>
  <c r="AO58" i="12"/>
  <c r="V103" i="12"/>
  <c r="AR266" i="12"/>
  <c r="AG157" i="12"/>
  <c r="R290" i="12"/>
  <c r="AZ147" i="12"/>
  <c r="BA146" i="12"/>
  <c r="AZ140" i="12"/>
  <c r="AQ126" i="12"/>
  <c r="AQ306" i="12" s="1"/>
  <c r="AY278" i="12"/>
  <c r="AZ57" i="12"/>
  <c r="BD147" i="12"/>
  <c r="V271" i="12"/>
  <c r="AU265" i="12"/>
  <c r="AU157" i="12"/>
  <c r="AU162" i="12" s="1"/>
  <c r="R157" i="12"/>
  <c r="BA131" i="12"/>
  <c r="M127" i="12"/>
  <c r="L132" i="12"/>
  <c r="BA108" i="12"/>
  <c r="BD86" i="12"/>
  <c r="BB86" i="12"/>
  <c r="Y60" i="12"/>
  <c r="AQ60" i="12"/>
  <c r="M268" i="12"/>
  <c r="BA90" i="12"/>
  <c r="AZ118" i="12"/>
  <c r="N291" i="12"/>
  <c r="BA234" i="12"/>
  <c r="BA225" i="12"/>
  <c r="AH216" i="12"/>
  <c r="AL216" i="12" s="1"/>
  <c r="AP216" i="12"/>
  <c r="AZ216" i="12" s="1"/>
  <c r="W244" i="12"/>
  <c r="AG216" i="12"/>
  <c r="AO201" i="12"/>
  <c r="W201" i="12"/>
  <c r="AZ182" i="12"/>
  <c r="AZ181" i="12"/>
  <c r="AZ180" i="12"/>
  <c r="AO196" i="12"/>
  <c r="W196" i="12"/>
  <c r="AI188" i="12"/>
  <c r="AQ188" i="12"/>
  <c r="BB188" i="12" s="1"/>
  <c r="AJ188" i="12"/>
  <c r="AT188" i="12"/>
  <c r="BC188" i="12" s="1"/>
  <c r="R183" i="12"/>
  <c r="R313" i="12" s="1"/>
  <c r="BB175" i="12"/>
  <c r="AZ175" i="12"/>
  <c r="BC171" i="12"/>
  <c r="AQ285" i="12"/>
  <c r="BB164" i="12"/>
  <c r="AR136" i="12"/>
  <c r="AR255" i="12" s="1"/>
  <c r="BB133" i="12"/>
  <c r="BB123" i="12"/>
  <c r="AQ282" i="12"/>
  <c r="BB119" i="12"/>
  <c r="BE113" i="12"/>
  <c r="BE109" i="12"/>
  <c r="BE105" i="12"/>
  <c r="BA104" i="12"/>
  <c r="AN126" i="12"/>
  <c r="AN306" i="12" s="1"/>
  <c r="BA164" i="12"/>
  <c r="AE229" i="12"/>
  <c r="AW229" i="12"/>
  <c r="AR287" i="12"/>
  <c r="AS287" i="12"/>
  <c r="AV176" i="12"/>
  <c r="L177" i="12"/>
  <c r="O177" i="12" s="1"/>
  <c r="M169" i="12"/>
  <c r="AW257" i="12"/>
  <c r="BD257" i="12" s="1"/>
  <c r="BD161" i="12"/>
  <c r="AL143" i="12"/>
  <c r="AZ133" i="12"/>
  <c r="R136" i="12"/>
  <c r="BB131" i="12"/>
  <c r="H254" i="12"/>
  <c r="I254" i="12" s="1"/>
  <c r="I126" i="12"/>
  <c r="F260" i="12"/>
  <c r="BB93" i="12"/>
  <c r="BD87" i="12"/>
  <c r="BA72" i="12"/>
  <c r="BE66" i="12"/>
  <c r="BE64" i="12"/>
  <c r="BB52" i="12"/>
  <c r="BB48" i="12"/>
  <c r="AZ23" i="12"/>
  <c r="BB11" i="12"/>
  <c r="AQ264" i="12"/>
  <c r="BB7" i="12"/>
  <c r="AE230" i="12"/>
  <c r="AW230" i="12"/>
  <c r="AW288" i="12"/>
  <c r="BD220" i="12"/>
  <c r="AY288" i="12"/>
  <c r="AX288" i="12"/>
  <c r="BC185" i="12"/>
  <c r="AQ176" i="12"/>
  <c r="BB170" i="12"/>
  <c r="R176" i="12"/>
  <c r="AZ170" i="12"/>
  <c r="AL169" i="12"/>
  <c r="AX265" i="12"/>
  <c r="AX157" i="12"/>
  <c r="AX162" i="12" s="1"/>
  <c r="AP265" i="12"/>
  <c r="AP157" i="12"/>
  <c r="AP162" i="12" s="1"/>
  <c r="AZ109" i="12"/>
  <c r="N137" i="12"/>
  <c r="BB82" i="12"/>
  <c r="AV281" i="12"/>
  <c r="AV264" i="12"/>
  <c r="K264" i="12"/>
  <c r="AO186" i="12"/>
  <c r="AV186" i="12"/>
  <c r="AY186" i="12"/>
  <c r="AL183" i="12"/>
  <c r="AL313" i="12" s="1"/>
  <c r="AL176" i="12"/>
  <c r="AG177" i="12"/>
  <c r="N256" i="12"/>
  <c r="O160" i="12"/>
  <c r="AG160" i="12"/>
  <c r="R160" i="12"/>
  <c r="AZ160" i="12" s="1"/>
  <c r="BD142" i="12"/>
  <c r="L265" i="12"/>
  <c r="M139" i="12"/>
  <c r="O139" i="12"/>
  <c r="L157" i="12"/>
  <c r="BC135" i="12"/>
  <c r="BD130" i="12"/>
  <c r="BD112" i="12"/>
  <c r="AZ108" i="12"/>
  <c r="AZ90" i="12"/>
  <c r="AZ55" i="12"/>
  <c r="BB44" i="12"/>
  <c r="AZ44" i="12"/>
  <c r="BD43" i="12"/>
  <c r="AW272" i="12"/>
  <c r="BD39" i="12"/>
  <c r="AY272" i="12"/>
  <c r="BE21" i="12"/>
  <c r="AL19" i="12"/>
  <c r="AZ16" i="12"/>
  <c r="BC8" i="12"/>
  <c r="AH188" i="12"/>
  <c r="AZ164" i="12"/>
  <c r="AZ110" i="12"/>
  <c r="AT126" i="12"/>
  <c r="AT306" i="12" s="1"/>
  <c r="AZ92" i="12"/>
  <c r="BA78" i="12"/>
  <c r="BD78" i="12"/>
  <c r="AW268" i="12"/>
  <c r="BD38" i="12"/>
  <c r="BD297" i="12" s="1"/>
  <c r="AL30" i="12"/>
  <c r="AL26" i="12"/>
  <c r="AD227" i="12"/>
  <c r="AV227" i="12"/>
  <c r="AN183" i="12"/>
  <c r="AN313" i="12" s="1"/>
  <c r="BC146" i="12"/>
  <c r="BD121" i="12"/>
  <c r="BA60" i="12"/>
  <c r="AZ45" i="12"/>
  <c r="AV266" i="12"/>
  <c r="AN266" i="12"/>
  <c r="BA24" i="12"/>
  <c r="L258" i="12"/>
  <c r="M183" i="12"/>
  <c r="O183" i="12"/>
  <c r="AW157" i="12"/>
  <c r="AQ290" i="12"/>
  <c r="BB290" i="12" s="1"/>
  <c r="BB147" i="12"/>
  <c r="AT290" i="12"/>
  <c r="BC290" i="12" s="1"/>
  <c r="BC147" i="12"/>
  <c r="BD140" i="12"/>
  <c r="BA129" i="12"/>
  <c r="AZ85" i="12"/>
  <c r="AP279" i="12"/>
  <c r="BD80" i="12"/>
  <c r="BB80" i="12"/>
  <c r="AN278" i="12"/>
  <c r="BA73" i="12"/>
  <c r="AX278" i="12"/>
  <c r="AW278" i="12"/>
  <c r="BD73" i="12"/>
  <c r="K271" i="12"/>
  <c r="AT281" i="12"/>
  <c r="BD18" i="12"/>
  <c r="BC13" i="12"/>
  <c r="AK188" i="12"/>
  <c r="BA290" i="12"/>
  <c r="AW255" i="12"/>
  <c r="N253" i="12"/>
  <c r="AG132" i="12"/>
  <c r="O132" i="12"/>
  <c r="AZ117" i="12"/>
  <c r="AU279" i="12"/>
  <c r="AR279" i="12"/>
  <c r="AS279" i="12"/>
  <c r="BD79" i="12"/>
  <c r="AZ50" i="12"/>
  <c r="AZ46" i="12"/>
  <c r="AY283" i="12"/>
  <c r="AW283" i="12"/>
  <c r="BD36" i="12"/>
  <c r="AL32" i="12"/>
  <c r="AL29" i="12"/>
  <c r="AZ19" i="12"/>
  <c r="L9" i="12"/>
  <c r="R289" i="12"/>
  <c r="AR183" i="12"/>
  <c r="AR313" i="12" s="1"/>
  <c r="AQ265" i="12"/>
  <c r="BB265" i="12" s="1"/>
  <c r="BB139" i="12"/>
  <c r="AQ157" i="12"/>
  <c r="BB120" i="12"/>
  <c r="BE120" i="12" s="1"/>
  <c r="AP266" i="12"/>
  <c r="AL22" i="12"/>
  <c r="AL20" i="12"/>
  <c r="AZ9" i="12"/>
  <c r="AZ129" i="12"/>
  <c r="AL278" i="12"/>
  <c r="AO244" i="12"/>
  <c r="O244" i="12"/>
  <c r="N245" i="12"/>
  <c r="N310" i="12" s="1"/>
  <c r="N311" i="12" s="1"/>
  <c r="N314" i="12" s="1"/>
  <c r="BE89" i="12"/>
  <c r="AR282" i="12"/>
  <c r="AQ287" i="12"/>
  <c r="BB224" i="12"/>
  <c r="BB216" i="12"/>
  <c r="O269" i="12"/>
  <c r="AG269" i="12"/>
  <c r="M112" i="12"/>
  <c r="O112" i="12"/>
  <c r="R288" i="12"/>
  <c r="AZ220" i="12"/>
  <c r="W202" i="12"/>
  <c r="AH202" i="12" s="1"/>
  <c r="AO202" i="12"/>
  <c r="AZ173" i="12"/>
  <c r="AP176" i="12"/>
  <c r="AO176" i="12"/>
  <c r="U256" i="12"/>
  <c r="AH177" i="12"/>
  <c r="AW186" i="12"/>
  <c r="AK186" i="12"/>
  <c r="R268" i="12"/>
  <c r="AZ38" i="12"/>
  <c r="BC88" i="12"/>
  <c r="AZ78" i="12"/>
  <c r="R194" i="12"/>
  <c r="R267" i="12" s="1"/>
  <c r="AZ185" i="12"/>
  <c r="AZ121" i="12"/>
  <c r="AZ89" i="12"/>
  <c r="M269" i="12"/>
  <c r="H253" i="12"/>
  <c r="I253" i="12" s="1"/>
  <c r="I132" i="12"/>
  <c r="BA75" i="12"/>
  <c r="BE75" i="12" s="1"/>
  <c r="AT278" i="12"/>
  <c r="BC73" i="12"/>
  <c r="R278" i="12"/>
  <c r="AZ73" i="12"/>
  <c r="R272" i="12"/>
  <c r="AZ39" i="12"/>
  <c r="BD188" i="12"/>
  <c r="AZ146" i="12"/>
  <c r="BB130" i="12"/>
  <c r="AN279" i="12"/>
  <c r="BA83" i="12"/>
  <c r="AW279" i="12"/>
  <c r="BD83" i="12"/>
  <c r="AZ53" i="12"/>
  <c r="AZ49" i="12"/>
  <c r="AQ283" i="12"/>
  <c r="BB36" i="12"/>
  <c r="R283" i="12"/>
  <c r="AZ36" i="12"/>
  <c r="AL31" i="12"/>
  <c r="Y62" i="12"/>
  <c r="AQ62" i="12"/>
  <c r="BC57" i="12"/>
  <c r="BA233" i="12"/>
  <c r="AQ244" i="12"/>
  <c r="AR270" i="12"/>
  <c r="BB270" i="12" s="1"/>
  <c r="BB172" i="12"/>
  <c r="AE226" i="12"/>
  <c r="AW226" i="12"/>
  <c r="AH195" i="12"/>
  <c r="AL185" i="12"/>
  <c r="I183" i="12"/>
  <c r="H258" i="12"/>
  <c r="I258" i="12" s="1"/>
  <c r="AG265" i="12"/>
  <c r="BD216" i="12"/>
  <c r="V213" i="12"/>
  <c r="BD185" i="12"/>
  <c r="AN282" i="12"/>
  <c r="BA119" i="12"/>
  <c r="AN287" i="12"/>
  <c r="BA224" i="12"/>
  <c r="AT287" i="12"/>
  <c r="AZ172" i="12"/>
  <c r="BC164" i="12"/>
  <c r="BE158" i="12"/>
  <c r="AL146" i="12"/>
  <c r="AL141" i="12"/>
  <c r="BE69" i="12"/>
  <c r="AI264" i="12"/>
  <c r="AQ288" i="12"/>
  <c r="BB220" i="12"/>
  <c r="AZ171" i="12"/>
  <c r="AT176" i="12"/>
  <c r="BC170" i="12"/>
  <c r="N264" i="12"/>
  <c r="O158" i="12"/>
  <c r="N161" i="12"/>
  <c r="AG158" i="12"/>
  <c r="AT265" i="12"/>
  <c r="AT157" i="12"/>
  <c r="BC139" i="12"/>
  <c r="O113" i="12"/>
  <c r="M113" i="12"/>
  <c r="AN264" i="12"/>
  <c r="AN103" i="12"/>
  <c r="BA7" i="12"/>
  <c r="BC14" i="12"/>
  <c r="BD8" i="12"/>
  <c r="BA184" i="12"/>
  <c r="BA84" i="12"/>
  <c r="BD84" i="12"/>
  <c r="AL28" i="12"/>
  <c r="AO285" i="12"/>
  <c r="AX266" i="12"/>
  <c r="BC129" i="12"/>
  <c r="AO278" i="12"/>
  <c r="M42" i="12"/>
  <c r="O42" i="12"/>
  <c r="BA38" i="12"/>
  <c r="BA297" i="12" s="1"/>
  <c r="BB20" i="12"/>
  <c r="BD13" i="12"/>
  <c r="AZ12" i="12"/>
  <c r="BA9" i="12"/>
  <c r="AZ7" i="12"/>
  <c r="BE200" i="12"/>
  <c r="M133" i="12"/>
  <c r="L136" i="12"/>
  <c r="O133" i="12"/>
  <c r="J252" i="12"/>
  <c r="J137" i="12"/>
  <c r="AT279" i="12"/>
  <c r="BC83" i="12"/>
  <c r="R279" i="12"/>
  <c r="AZ83" i="12"/>
  <c r="AL57" i="12"/>
  <c r="AT257" i="12"/>
  <c r="BC257" i="12" s="1"/>
  <c r="BC161" i="12"/>
  <c r="BC9" i="12"/>
  <c r="AD228" i="12"/>
  <c r="AV228" i="12"/>
  <c r="BC228" i="12" s="1"/>
  <c r="AC287" i="12"/>
  <c r="AD224" i="12"/>
  <c r="AV224" i="12"/>
  <c r="BC224" i="12" s="1"/>
  <c r="AJ232" i="12"/>
  <c r="BC229" i="12"/>
  <c r="BB181" i="12"/>
  <c r="BE180" i="12"/>
  <c r="BA229" i="12"/>
  <c r="AO203" i="12"/>
  <c r="W203" i="12"/>
  <c r="AH203" i="12" s="1"/>
  <c r="BE174" i="12"/>
  <c r="AN270" i="12"/>
  <c r="BA270" i="12" s="1"/>
  <c r="BA172" i="12"/>
  <c r="AN213" i="12"/>
  <c r="BD175" i="12"/>
  <c r="AH157" i="12"/>
  <c r="U162" i="12"/>
  <c r="AH162" i="12" s="1"/>
  <c r="BB134" i="12"/>
  <c r="BB128" i="12"/>
  <c r="AR126" i="12"/>
  <c r="BB104" i="12"/>
  <c r="AQ280" i="12"/>
  <c r="BB88" i="12"/>
  <c r="AV233" i="12"/>
  <c r="BC233" i="12" s="1"/>
  <c r="AJ233" i="12"/>
  <c r="AD231" i="12"/>
  <c r="AV231" i="12"/>
  <c r="AE225" i="12"/>
  <c r="AW225" i="12"/>
  <c r="BD221" i="12"/>
  <c r="Z244" i="12"/>
  <c r="AI214" i="12"/>
  <c r="AS214" i="12"/>
  <c r="AC214" i="12"/>
  <c r="BE198" i="12"/>
  <c r="AT258" i="12"/>
  <c r="AD162" i="12"/>
  <c r="AK157" i="12"/>
  <c r="AL136" i="12"/>
  <c r="AN280" i="12"/>
  <c r="BA280" i="12" s="1"/>
  <c r="BA88" i="12"/>
  <c r="AU287" i="12"/>
  <c r="AO287" i="12"/>
  <c r="BE153" i="12"/>
  <c r="BB142" i="12"/>
  <c r="AX136" i="12"/>
  <c r="AX255" i="12" s="1"/>
  <c r="BC122" i="12"/>
  <c r="AT282" i="12"/>
  <c r="BD117" i="12"/>
  <c r="BA111" i="12"/>
  <c r="BC92" i="12"/>
  <c r="BE92" i="12" s="1"/>
  <c r="BC90" i="12"/>
  <c r="BC72" i="12"/>
  <c r="AZ71" i="12"/>
  <c r="AZ24" i="12"/>
  <c r="AL14" i="12"/>
  <c r="AL295" i="12" s="1"/>
  <c r="AU264" i="12"/>
  <c r="O270" i="12"/>
  <c r="BA232" i="12"/>
  <c r="AN288" i="12"/>
  <c r="BA220" i="12"/>
  <c r="AU288" i="12"/>
  <c r="AT288" i="12"/>
  <c r="BC220" i="12"/>
  <c r="AY176" i="12"/>
  <c r="AX176" i="12"/>
  <c r="AW176" i="12"/>
  <c r="BD170" i="12"/>
  <c r="AL158" i="12"/>
  <c r="BA143" i="12"/>
  <c r="BC141" i="12"/>
  <c r="AN265" i="12"/>
  <c r="BA139" i="12"/>
  <c r="AN157" i="12"/>
  <c r="BD131" i="12"/>
  <c r="BE125" i="12"/>
  <c r="BC118" i="12"/>
  <c r="AZ106" i="12"/>
  <c r="AZ88" i="12"/>
  <c r="AZ72" i="12"/>
  <c r="R266" i="12"/>
  <c r="AJ264" i="12"/>
  <c r="AZ93" i="12"/>
  <c r="BA93" i="12"/>
  <c r="BA14" i="12"/>
  <c r="N267" i="12"/>
  <c r="AN186" i="12"/>
  <c r="AH186" i="12"/>
  <c r="AG186" i="12"/>
  <c r="AU186" i="12"/>
  <c r="AX186" i="12"/>
  <c r="O169" i="12"/>
  <c r="U257" i="12"/>
  <c r="AH257" i="12" s="1"/>
  <c r="AH161" i="12"/>
  <c r="AO257" i="12"/>
  <c r="BA257" i="12" s="1"/>
  <c r="BA161" i="12"/>
  <c r="H255" i="12"/>
  <c r="I255" i="12" s="1"/>
  <c r="I136" i="12"/>
  <c r="BA121" i="12"/>
  <c r="BC112" i="12"/>
  <c r="BD108" i="12"/>
  <c r="AW280" i="12"/>
  <c r="BD280" i="12" s="1"/>
  <c r="BA86" i="12"/>
  <c r="AZ69" i="12"/>
  <c r="BD44" i="12"/>
  <c r="BD298" i="12" s="1"/>
  <c r="AU272" i="12"/>
  <c r="AX272" i="12"/>
  <c r="AZ37" i="12"/>
  <c r="BA37" i="12"/>
  <c r="BE19" i="12"/>
  <c r="BD17" i="12"/>
  <c r="M14" i="12"/>
  <c r="O14" i="12"/>
  <c r="BC12" i="12"/>
  <c r="AX264" i="12"/>
  <c r="H177" i="12"/>
  <c r="I169" i="12"/>
  <c r="BC86" i="12"/>
  <c r="BB84" i="12"/>
  <c r="AZ64" i="12"/>
  <c r="BB56" i="12"/>
  <c r="L272" i="12"/>
  <c r="M272" i="12" s="1"/>
  <c r="M39" i="12"/>
  <c r="O39" i="12"/>
  <c r="AL27" i="12"/>
  <c r="AW266" i="12"/>
  <c r="BD266" i="12" s="1"/>
  <c r="BD24" i="12"/>
  <c r="AZ21" i="12"/>
  <c r="AW264" i="12"/>
  <c r="BD215" i="12"/>
  <c r="BB185" i="12"/>
  <c r="AV183" i="12"/>
  <c r="BC183" i="12" s="1"/>
  <c r="BC313" i="12" s="1"/>
  <c r="BC121" i="12"/>
  <c r="AZ116" i="12"/>
  <c r="AQ279" i="12"/>
  <c r="AZ67" i="12"/>
  <c r="BD41" i="12"/>
  <c r="AT264" i="12"/>
  <c r="AI222" i="12"/>
  <c r="AS222" i="12"/>
  <c r="AC222" i="12"/>
  <c r="AO157" i="12"/>
  <c r="AO162" i="12" s="1"/>
  <c r="BA140" i="12"/>
  <c r="BD129" i="12"/>
  <c r="R126" i="12"/>
  <c r="R306" i="12" s="1"/>
  <c r="BD85" i="12"/>
  <c r="AZ74" i="12"/>
  <c r="AU278" i="12"/>
  <c r="AR278" i="12"/>
  <c r="AS278" i="12"/>
  <c r="L57" i="12"/>
  <c r="BC55" i="12"/>
  <c r="BA41" i="12"/>
  <c r="BC40" i="12"/>
  <c r="AU283" i="12"/>
  <c r="BD20" i="12"/>
  <c r="BD296" i="12" s="1"/>
  <c r="AI269" i="12"/>
  <c r="AZ17" i="12"/>
  <c r="BD14" i="12"/>
  <c r="AZ11" i="12"/>
  <c r="AZ8" i="12"/>
  <c r="R264" i="12"/>
  <c r="R103" i="12"/>
  <c r="AJ161" i="12"/>
  <c r="AI157" i="12"/>
  <c r="X162" i="12"/>
  <c r="BA147" i="12"/>
  <c r="BB146" i="12"/>
  <c r="R132" i="12"/>
  <c r="AZ127" i="12"/>
  <c r="AZ114" i="12"/>
  <c r="AY279" i="12"/>
  <c r="AO279" i="12"/>
  <c r="AZ56" i="12"/>
  <c r="AZ51" i="12"/>
  <c r="AZ47" i="12"/>
  <c r="AZ41" i="12"/>
  <c r="AT283" i="12"/>
  <c r="BC36" i="12"/>
  <c r="AS283" i="12"/>
  <c r="AS266" i="12"/>
  <c r="BD16" i="12"/>
  <c r="AZ14" i="12"/>
  <c r="U289" i="12"/>
  <c r="AN190" i="12"/>
  <c r="V190" i="12"/>
  <c r="AY265" i="12"/>
  <c r="AY157" i="12"/>
  <c r="AY162" i="12" s="1"/>
  <c r="L126" i="12"/>
  <c r="AZ86" i="12"/>
  <c r="BA62" i="12"/>
  <c r="BE22" i="12"/>
  <c r="BA20" i="12"/>
  <c r="BB15" i="12"/>
  <c r="BC15" i="12"/>
  <c r="BD9" i="12"/>
  <c r="H252" i="12"/>
  <c r="H137" i="12"/>
  <c r="I137" i="12" s="1"/>
  <c r="I103" i="12"/>
  <c r="AU176" i="12"/>
  <c r="BB268" i="12" l="1"/>
  <c r="AL269" i="12"/>
  <c r="AL233" i="12"/>
  <c r="BE123" i="12"/>
  <c r="BA307" i="12"/>
  <c r="C59" i="8"/>
  <c r="C52" i="8"/>
  <c r="AV234" i="12"/>
  <c r="BC234" i="12" s="1"/>
  <c r="BE234" i="12" s="1"/>
  <c r="AJ234" i="12"/>
  <c r="AL234" i="12" s="1"/>
  <c r="BB296" i="12"/>
  <c r="C50" i="8"/>
  <c r="BA268" i="12"/>
  <c r="BE16" i="12"/>
  <c r="BC215" i="12"/>
  <c r="AN169" i="12"/>
  <c r="BB285" i="12"/>
  <c r="BE54" i="12"/>
  <c r="BE56" i="12"/>
  <c r="AI256" i="12"/>
  <c r="BE46" i="12"/>
  <c r="AQ323" i="12"/>
  <c r="AR323" i="12" s="1"/>
  <c r="AS323" i="12" s="1"/>
  <c r="AA329" i="12"/>
  <c r="AB329" i="12" s="1"/>
  <c r="BE128" i="12"/>
  <c r="BE110" i="12"/>
  <c r="BE143" i="12"/>
  <c r="BE181" i="12"/>
  <c r="BE182" i="12"/>
  <c r="BC298" i="12"/>
  <c r="U267" i="12"/>
  <c r="AQ332" i="12"/>
  <c r="F274" i="12"/>
  <c r="F273" i="12" s="1"/>
  <c r="AL258" i="12"/>
  <c r="AP330" i="12"/>
  <c r="BE12" i="12"/>
  <c r="BE74" i="12"/>
  <c r="AP327" i="12"/>
  <c r="AQ327" i="12" s="1"/>
  <c r="AR327" i="12" s="1"/>
  <c r="AS327" i="12" s="1"/>
  <c r="AT327" i="12" s="1"/>
  <c r="AU327" i="12" s="1"/>
  <c r="AV327" i="12" s="1"/>
  <c r="AW327" i="12" s="1"/>
  <c r="AX327" i="12" s="1"/>
  <c r="AY327" i="12" s="1"/>
  <c r="BE171" i="12"/>
  <c r="U311" i="12"/>
  <c r="U314" i="12" s="1"/>
  <c r="BC301" i="12"/>
  <c r="F261" i="12"/>
  <c r="W300" i="12"/>
  <c r="W309" i="12" s="1"/>
  <c r="U259" i="12"/>
  <c r="BE144" i="12"/>
  <c r="BD285" i="12"/>
  <c r="AQ169" i="12"/>
  <c r="BC303" i="12"/>
  <c r="AU169" i="12"/>
  <c r="AU177" i="12" s="1"/>
  <c r="AU304" i="12" s="1"/>
  <c r="BE13" i="12"/>
  <c r="BA285" i="12"/>
  <c r="BA295" i="12"/>
  <c r="AJ256" i="12"/>
  <c r="AL256" i="12" s="1"/>
  <c r="AL254" i="12"/>
  <c r="BE52" i="12"/>
  <c r="BE87" i="12"/>
  <c r="G261" i="12"/>
  <c r="BD302" i="12"/>
  <c r="AO326" i="12"/>
  <c r="AP326" i="12" s="1"/>
  <c r="AQ326" i="12" s="1"/>
  <c r="AR326" i="12" s="1"/>
  <c r="AS326" i="12" s="1"/>
  <c r="AT326" i="12" s="1"/>
  <c r="AU326" i="12" s="1"/>
  <c r="BA299" i="12"/>
  <c r="BC266" i="12"/>
  <c r="AP324" i="12"/>
  <c r="AQ324" i="12" s="1"/>
  <c r="AR324" i="12" s="1"/>
  <c r="AS324" i="12" s="1"/>
  <c r="AT324" i="12" s="1"/>
  <c r="AU324" i="12" s="1"/>
  <c r="AH256" i="12"/>
  <c r="AL296" i="12"/>
  <c r="BA301" i="12"/>
  <c r="BC302" i="12"/>
  <c r="BE135" i="12"/>
  <c r="BC268" i="12"/>
  <c r="BC307" i="12"/>
  <c r="G274" i="12"/>
  <c r="G273" i="12" s="1"/>
  <c r="K137" i="12"/>
  <c r="K247" i="12" s="1"/>
  <c r="K274" i="12" s="1"/>
  <c r="K273" i="12" s="1"/>
  <c r="AQ321" i="12"/>
  <c r="AR321" i="12" s="1"/>
  <c r="AS321" i="12" s="1"/>
  <c r="AT321" i="12" s="1"/>
  <c r="AU321" i="12" s="1"/>
  <c r="AV321" i="12" s="1"/>
  <c r="AW321" i="12" s="1"/>
  <c r="AX321" i="12" s="1"/>
  <c r="AY321" i="12" s="1"/>
  <c r="AQ330" i="12"/>
  <c r="AR330" i="12" s="1"/>
  <c r="AS330" i="12" s="1"/>
  <c r="AT330" i="12" s="1"/>
  <c r="AU330" i="12" s="1"/>
  <c r="BE122" i="12"/>
  <c r="AS288" i="12"/>
  <c r="AH58" i="12"/>
  <c r="BD301" i="12"/>
  <c r="BD268" i="12"/>
  <c r="BE8" i="12"/>
  <c r="BE165" i="12"/>
  <c r="BE48" i="12"/>
  <c r="BA283" i="12"/>
  <c r="AC329" i="12"/>
  <c r="AD329" i="12" s="1"/>
  <c r="AE329" i="12" s="1"/>
  <c r="AF329" i="12" s="1"/>
  <c r="C44" i="8"/>
  <c r="V325" i="12"/>
  <c r="V309" i="12"/>
  <c r="BC283" i="12"/>
  <c r="BE184" i="12"/>
  <c r="BE188" i="12"/>
  <c r="AO271" i="12"/>
  <c r="AV254" i="12"/>
  <c r="AV306" i="12"/>
  <c r="AU254" i="12"/>
  <c r="AU306" i="12"/>
  <c r="C55" i="8" s="1"/>
  <c r="AY254" i="12"/>
  <c r="AY306" i="12"/>
  <c r="BA288" i="12"/>
  <c r="BA282" i="12"/>
  <c r="BB303" i="12"/>
  <c r="Y61" i="12"/>
  <c r="Z61" i="12" s="1"/>
  <c r="BD283" i="12"/>
  <c r="BE80" i="12"/>
  <c r="BD299" i="12"/>
  <c r="BB298" i="12"/>
  <c r="BB176" i="12"/>
  <c r="BB295" i="12"/>
  <c r="BB307" i="12"/>
  <c r="BD282" i="12"/>
  <c r="AP254" i="12"/>
  <c r="AP306" i="12"/>
  <c r="AO254" i="12"/>
  <c r="AO306" i="12"/>
  <c r="AO331" i="12" s="1"/>
  <c r="AS258" i="12"/>
  <c r="AS313" i="12"/>
  <c r="AL302" i="12"/>
  <c r="BA302" i="12"/>
  <c r="AO328" i="12"/>
  <c r="AP328" i="12" s="1"/>
  <c r="AQ328" i="12" s="1"/>
  <c r="AR328" i="12" s="1"/>
  <c r="AS328" i="12" s="1"/>
  <c r="AT328" i="12" s="1"/>
  <c r="AU328" i="12" s="1"/>
  <c r="AV258" i="12"/>
  <c r="BC258" i="12" s="1"/>
  <c r="AV313" i="12"/>
  <c r="BA303" i="12"/>
  <c r="AO258" i="12"/>
  <c r="AO313" i="12"/>
  <c r="AO338" i="12" s="1"/>
  <c r="AP338" i="12" s="1"/>
  <c r="AQ338" i="12" s="1"/>
  <c r="AR338" i="12" s="1"/>
  <c r="AS338" i="12" s="1"/>
  <c r="AT338" i="12" s="1"/>
  <c r="AU338" i="12" s="1"/>
  <c r="AS254" i="12"/>
  <c r="AS306" i="12"/>
  <c r="BD295" i="12"/>
  <c r="AI162" i="12"/>
  <c r="BE305" i="12"/>
  <c r="AL177" i="12"/>
  <c r="AL304" i="12" s="1"/>
  <c r="AH304" i="12"/>
  <c r="BD303" i="12"/>
  <c r="BC299" i="12"/>
  <c r="BE50" i="12"/>
  <c r="BE118" i="12"/>
  <c r="AC338" i="12"/>
  <c r="AD338" i="12" s="1"/>
  <c r="AE338" i="12" s="1"/>
  <c r="AF338" i="12" s="1"/>
  <c r="AR332" i="12"/>
  <c r="AS332" i="12" s="1"/>
  <c r="AT332" i="12" s="1"/>
  <c r="AU332" i="12" s="1"/>
  <c r="AO320" i="12"/>
  <c r="AP320" i="12" s="1"/>
  <c r="AQ320" i="12" s="1"/>
  <c r="AR320" i="12" s="1"/>
  <c r="AS320" i="12" s="1"/>
  <c r="AT320" i="12" s="1"/>
  <c r="AU320" i="12" s="1"/>
  <c r="BA296" i="12"/>
  <c r="BE41" i="12"/>
  <c r="BE17" i="12"/>
  <c r="BE257" i="12"/>
  <c r="BC282" i="12"/>
  <c r="AR254" i="12"/>
  <c r="AR306" i="12"/>
  <c r="J247" i="12"/>
  <c r="J274" i="12" s="1"/>
  <c r="J273" i="12" s="1"/>
  <c r="BB299" i="12"/>
  <c r="BE42" i="12"/>
  <c r="BE11" i="12"/>
  <c r="AX254" i="12"/>
  <c r="AX306" i="12"/>
  <c r="AL215" i="12"/>
  <c r="AO300" i="12"/>
  <c r="AO325" i="12" s="1"/>
  <c r="BB301" i="12"/>
  <c r="AT323" i="12"/>
  <c r="AU323" i="12" s="1"/>
  <c r="AC331" i="12"/>
  <c r="AD331" i="12" s="1"/>
  <c r="AE331" i="12" s="1"/>
  <c r="AF331" i="12" s="1"/>
  <c r="M24" i="8"/>
  <c r="BC295" i="12"/>
  <c r="BB302" i="12"/>
  <c r="AP322" i="12"/>
  <c r="AQ322" i="12" s="1"/>
  <c r="AR322" i="12" s="1"/>
  <c r="AS322" i="12" s="1"/>
  <c r="AT322" i="12" s="1"/>
  <c r="AU322" i="12" s="1"/>
  <c r="H243" i="9"/>
  <c r="H265" i="9"/>
  <c r="I265" i="9" s="1"/>
  <c r="J265" i="9" s="1"/>
  <c r="K265" i="9" s="1"/>
  <c r="L265" i="9" s="1"/>
  <c r="M265" i="9" s="1"/>
  <c r="N265" i="9" s="1"/>
  <c r="O265" i="9" s="1"/>
  <c r="P265" i="9" s="1"/>
  <c r="Q265" i="9" s="1"/>
  <c r="R265" i="9" s="1"/>
  <c r="CH243" i="9"/>
  <c r="CH265" i="9"/>
  <c r="BD264" i="12"/>
  <c r="BE270" i="12"/>
  <c r="BE140" i="12"/>
  <c r="BE82" i="12"/>
  <c r="AN284" i="12"/>
  <c r="BE40" i="12"/>
  <c r="BE37" i="12"/>
  <c r="BE139" i="12"/>
  <c r="BE38" i="12"/>
  <c r="BE297" i="12" s="1"/>
  <c r="BE7" i="12"/>
  <c r="BA287" i="12"/>
  <c r="BB283" i="12"/>
  <c r="BE290" i="12"/>
  <c r="BE146" i="12"/>
  <c r="BB266" i="12"/>
  <c r="BA272" i="12"/>
  <c r="BC272" i="12"/>
  <c r="BA281" i="12"/>
  <c r="BB281" i="12"/>
  <c r="BE81" i="12"/>
  <c r="BE130" i="12"/>
  <c r="BC265" i="12"/>
  <c r="AU269" i="12"/>
  <c r="BE112" i="12"/>
  <c r="BA265" i="12"/>
  <c r="BE117" i="12"/>
  <c r="BB287" i="12"/>
  <c r="BE43" i="12"/>
  <c r="BB282" i="12"/>
  <c r="BB186" i="12"/>
  <c r="AZ265" i="12"/>
  <c r="BC136" i="12"/>
  <c r="BE142" i="12"/>
  <c r="BC281" i="12"/>
  <c r="BE85" i="12"/>
  <c r="BC264" i="12"/>
  <c r="BE134" i="12"/>
  <c r="AL264" i="12"/>
  <c r="AP244" i="12"/>
  <c r="BA244" i="12" s="1"/>
  <c r="AZ285" i="12"/>
  <c r="AO213" i="12"/>
  <c r="AO276" i="12" s="1"/>
  <c r="BE73" i="12"/>
  <c r="AV269" i="12"/>
  <c r="BC269" i="12" s="1"/>
  <c r="BB264" i="12"/>
  <c r="BB272" i="12"/>
  <c r="K252" i="12"/>
  <c r="K260" i="12" s="1"/>
  <c r="K261" i="12" s="1"/>
  <c r="BE14" i="12"/>
  <c r="BD255" i="12"/>
  <c r="X59" i="12"/>
  <c r="AP59" i="12"/>
  <c r="BA59" i="12" s="1"/>
  <c r="BE116" i="12"/>
  <c r="BB280" i="12"/>
  <c r="BE44" i="12"/>
  <c r="BA216" i="12"/>
  <c r="BE216" i="12" s="1"/>
  <c r="BE175" i="12"/>
  <c r="AH59" i="12"/>
  <c r="BE15" i="12"/>
  <c r="BE147" i="12"/>
  <c r="BC279" i="12"/>
  <c r="BE9" i="12"/>
  <c r="BE84" i="12"/>
  <c r="BE36" i="12"/>
  <c r="BA279" i="12"/>
  <c r="BE24" i="12"/>
  <c r="BD265" i="12"/>
  <c r="BE164" i="12"/>
  <c r="BC186" i="12"/>
  <c r="BE79" i="12"/>
  <c r="BA176" i="12"/>
  <c r="BE133" i="12"/>
  <c r="W190" i="12"/>
  <c r="V289" i="12"/>
  <c r="V291" i="12" s="1"/>
  <c r="AO190" i="12"/>
  <c r="R252" i="12"/>
  <c r="R137" i="12"/>
  <c r="AS244" i="12"/>
  <c r="BB244" i="12" s="1"/>
  <c r="BB214" i="12"/>
  <c r="AF225" i="12"/>
  <c r="AY225" i="12" s="1"/>
  <c r="AX225" i="12"/>
  <c r="AG264" i="12"/>
  <c r="AN258" i="12"/>
  <c r="BA183" i="12"/>
  <c r="BA313" i="12" s="1"/>
  <c r="BC227" i="12"/>
  <c r="AW254" i="12"/>
  <c r="BD126" i="12"/>
  <c r="BD306" i="12" s="1"/>
  <c r="AS169" i="12"/>
  <c r="AS177" i="12" s="1"/>
  <c r="AS304" i="12" s="1"/>
  <c r="AS284" i="12"/>
  <c r="AX269" i="12"/>
  <c r="AX169" i="12"/>
  <c r="AX177" i="12" s="1"/>
  <c r="AX304" i="12" s="1"/>
  <c r="AX284" i="12"/>
  <c r="AY169" i="12"/>
  <c r="AY177" i="12" s="1"/>
  <c r="AY304" i="12" s="1"/>
  <c r="AY284" i="12"/>
  <c r="AL161" i="12"/>
  <c r="AZ188" i="12"/>
  <c r="BE119" i="12"/>
  <c r="AQ162" i="12"/>
  <c r="BB162" i="12" s="1"/>
  <c r="BB157" i="12"/>
  <c r="BA278" i="12"/>
  <c r="AE227" i="12"/>
  <c r="AW227" i="12"/>
  <c r="BE78" i="12"/>
  <c r="R255" i="12"/>
  <c r="AZ136" i="12"/>
  <c r="AP201" i="12"/>
  <c r="X201" i="12"/>
  <c r="AH201" i="12"/>
  <c r="AH244" i="12"/>
  <c r="AZ233" i="12"/>
  <c r="BE90" i="12"/>
  <c r="AZ159" i="12"/>
  <c r="R161" i="12"/>
  <c r="R162" i="12" s="1"/>
  <c r="R245" i="12"/>
  <c r="R310" i="12" s="1"/>
  <c r="M126" i="12"/>
  <c r="L254" i="12"/>
  <c r="O126" i="12"/>
  <c r="AH190" i="12"/>
  <c r="BB279" i="12"/>
  <c r="BE86" i="12"/>
  <c r="BE121" i="12"/>
  <c r="BE161" i="12"/>
  <c r="BA186" i="12"/>
  <c r="AN162" i="12"/>
  <c r="BA162" i="12" s="1"/>
  <c r="BA157" i="12"/>
  <c r="BE280" i="12"/>
  <c r="AV214" i="12"/>
  <c r="AJ214" i="12"/>
  <c r="AL214" i="12" s="1"/>
  <c r="AC244" i="12"/>
  <c r="AN276" i="12"/>
  <c r="BE172" i="12"/>
  <c r="X203" i="12"/>
  <c r="AP203" i="12"/>
  <c r="BA203" i="12" s="1"/>
  <c r="AV287" i="12"/>
  <c r="BC287" i="12" s="1"/>
  <c r="AW228" i="12"/>
  <c r="AE228" i="12"/>
  <c r="AZ286" i="12"/>
  <c r="BA264" i="12"/>
  <c r="BC157" i="12"/>
  <c r="AT162" i="12"/>
  <c r="BC162" i="12" s="1"/>
  <c r="AV169" i="12"/>
  <c r="AV177" i="12" s="1"/>
  <c r="AV304" i="12" s="1"/>
  <c r="AX226" i="12"/>
  <c r="AF226" i="12"/>
  <c r="BE233" i="12"/>
  <c r="AZ283" i="12"/>
  <c r="BE83" i="12"/>
  <c r="AZ272" i="12"/>
  <c r="AZ281" i="12"/>
  <c r="BD136" i="12"/>
  <c r="M258" i="12"/>
  <c r="O258" i="12"/>
  <c r="AT254" i="12"/>
  <c r="BC126" i="12"/>
  <c r="BC306" i="12" s="1"/>
  <c r="AZ176" i="12"/>
  <c r="BD288" i="12"/>
  <c r="L256" i="12"/>
  <c r="O256" i="12" s="1"/>
  <c r="M177" i="12"/>
  <c r="AN254" i="12"/>
  <c r="BA126" i="12"/>
  <c r="BA306" i="12" s="1"/>
  <c r="AR60" i="12"/>
  <c r="Z60" i="12"/>
  <c r="BE108" i="12"/>
  <c r="AZ157" i="12"/>
  <c r="V252" i="12"/>
  <c r="V137" i="12"/>
  <c r="BB278" i="12"/>
  <c r="AP169" i="12"/>
  <c r="AP177" i="12" s="1"/>
  <c r="AP304" i="12" s="1"/>
  <c r="AP284" i="12"/>
  <c r="BA166" i="12"/>
  <c r="O272" i="12"/>
  <c r="AY269" i="12"/>
  <c r="BE185" i="12"/>
  <c r="BE215" i="12"/>
  <c r="AZ186" i="12"/>
  <c r="AJ162" i="12"/>
  <c r="X205" i="12"/>
  <c r="AP205" i="12"/>
  <c r="BA205" i="12" s="1"/>
  <c r="AI288" i="12"/>
  <c r="AV221" i="12"/>
  <c r="AJ221" i="12"/>
  <c r="AL221" i="12" s="1"/>
  <c r="AC288" i="12"/>
  <c r="AJ288" i="12" s="1"/>
  <c r="BC231" i="12"/>
  <c r="AS269" i="12"/>
  <c r="R254" i="12"/>
  <c r="AZ126" i="12"/>
  <c r="AV222" i="12"/>
  <c r="BC222" i="12" s="1"/>
  <c r="AJ222" i="12"/>
  <c r="AL222" i="12" s="1"/>
  <c r="AG222" i="12"/>
  <c r="AZ266" i="12"/>
  <c r="AD287" i="12"/>
  <c r="AD244" i="12"/>
  <c r="AW224" i="12"/>
  <c r="AE224" i="12"/>
  <c r="L255" i="12"/>
  <c r="M255" i="12" s="1"/>
  <c r="M136" i="12"/>
  <c r="BC278" i="12"/>
  <c r="U247" i="12"/>
  <c r="U315" i="12" s="1"/>
  <c r="AR258" i="12"/>
  <c r="BB183" i="12"/>
  <c r="BB313" i="12" s="1"/>
  <c r="M9" i="12"/>
  <c r="O9" i="12"/>
  <c r="L264" i="12"/>
  <c r="M264" i="12" s="1"/>
  <c r="L103" i="12"/>
  <c r="AW162" i="12"/>
  <c r="BD162" i="12" s="1"/>
  <c r="BD157" i="12"/>
  <c r="BE104" i="12"/>
  <c r="R258" i="12"/>
  <c r="AZ183" i="12"/>
  <c r="X196" i="12"/>
  <c r="AP196" i="12"/>
  <c r="BA196" i="12" s="1"/>
  <c r="AH196" i="12"/>
  <c r="M132" i="12"/>
  <c r="L253" i="12"/>
  <c r="M253" i="12" s="1"/>
  <c r="AG255" i="12"/>
  <c r="AN255" i="12"/>
  <c r="BA255" i="12" s="1"/>
  <c r="BA136" i="12"/>
  <c r="AN289" i="12"/>
  <c r="AZ264" i="12"/>
  <c r="BB222" i="12"/>
  <c r="BE93" i="12"/>
  <c r="AK162" i="12"/>
  <c r="AL157" i="12"/>
  <c r="M265" i="12"/>
  <c r="O265" i="12"/>
  <c r="V194" i="12"/>
  <c r="V245" i="12" s="1"/>
  <c r="V310" i="12" s="1"/>
  <c r="V335" i="12" s="1"/>
  <c r="AZ280" i="12"/>
  <c r="AR269" i="12"/>
  <c r="AP58" i="12"/>
  <c r="X58" i="12"/>
  <c r="W103" i="12"/>
  <c r="AH103" i="12" s="1"/>
  <c r="W271" i="12"/>
  <c r="BE18" i="12"/>
  <c r="BE55" i="12"/>
  <c r="BC166" i="12"/>
  <c r="AT169" i="12"/>
  <c r="AT284" i="12"/>
  <c r="BC284" i="12" s="1"/>
  <c r="AO284" i="12"/>
  <c r="AO169" i="12"/>
  <c r="AO177" i="12" s="1"/>
  <c r="AO304" i="12" s="1"/>
  <c r="BE39" i="12"/>
  <c r="W213" i="12"/>
  <c r="Z197" i="12"/>
  <c r="AR197" i="12"/>
  <c r="BB255" i="12"/>
  <c r="AJ287" i="12"/>
  <c r="I252" i="12"/>
  <c r="BE20" i="12"/>
  <c r="U291" i="12"/>
  <c r="R253" i="12"/>
  <c r="AZ253" i="12" s="1"/>
  <c r="AZ132" i="12"/>
  <c r="L271" i="12"/>
  <c r="O57" i="12"/>
  <c r="M57" i="12"/>
  <c r="H256" i="12"/>
  <c r="I256" i="12" s="1"/>
  <c r="H247" i="12"/>
  <c r="I177" i="12"/>
  <c r="AL257" i="12"/>
  <c r="AL186" i="12"/>
  <c r="BC255" i="12"/>
  <c r="BD176" i="12"/>
  <c r="BE220" i="12"/>
  <c r="BE111" i="12"/>
  <c r="AZ270" i="12"/>
  <c r="BE88" i="12"/>
  <c r="AR169" i="12"/>
  <c r="AR177" i="12" s="1"/>
  <c r="AR304" i="12" s="1"/>
  <c r="AG214" i="12"/>
  <c r="AI244" i="12"/>
  <c r="AW231" i="12"/>
  <c r="AE231" i="12"/>
  <c r="BA195" i="12"/>
  <c r="AZ279" i="12"/>
  <c r="J260" i="12"/>
  <c r="AN252" i="12"/>
  <c r="AN137" i="12"/>
  <c r="N257" i="12"/>
  <c r="O161" i="12"/>
  <c r="N162" i="12"/>
  <c r="AG161" i="12"/>
  <c r="BC176" i="12"/>
  <c r="BB288" i="12"/>
  <c r="U260" i="12"/>
  <c r="AR62" i="12"/>
  <c r="Z62" i="12"/>
  <c r="BD279" i="12"/>
  <c r="AZ278" i="12"/>
  <c r="AZ268" i="12"/>
  <c r="BD186" i="12"/>
  <c r="X202" i="12"/>
  <c r="AP202" i="12"/>
  <c r="BA202" i="12" s="1"/>
  <c r="N259" i="12"/>
  <c r="AG253" i="12"/>
  <c r="BD278" i="12"/>
  <c r="BE129" i="12"/>
  <c r="BA266" i="12"/>
  <c r="AO103" i="12"/>
  <c r="AL188" i="12"/>
  <c r="BD272" i="12"/>
  <c r="M157" i="12"/>
  <c r="L162" i="12"/>
  <c r="M162" i="12" s="1"/>
  <c r="O157" i="12"/>
  <c r="AG256" i="12"/>
  <c r="AX230" i="12"/>
  <c r="AF230" i="12"/>
  <c r="BE72" i="12"/>
  <c r="AF229" i="12"/>
  <c r="AX229" i="12"/>
  <c r="AN177" i="12"/>
  <c r="AN309" i="12" s="1"/>
  <c r="AQ177" i="12"/>
  <c r="AQ304" i="12" s="1"/>
  <c r="BE131" i="12"/>
  <c r="AQ254" i="12"/>
  <c r="BB126" i="12"/>
  <c r="BB306" i="12" s="1"/>
  <c r="AZ290" i="12"/>
  <c r="BE286" i="12"/>
  <c r="BE23" i="12"/>
  <c r="AZ166" i="12"/>
  <c r="R169" i="12"/>
  <c r="R284" i="12"/>
  <c r="R291" i="12" s="1"/>
  <c r="BD166" i="12"/>
  <c r="AW169" i="12"/>
  <c r="AW269" i="12"/>
  <c r="AW284" i="12"/>
  <c r="BB166" i="12"/>
  <c r="AQ284" i="12"/>
  <c r="AW232" i="12"/>
  <c r="AE232" i="12"/>
  <c r="BE57" i="12"/>
  <c r="R269" i="12"/>
  <c r="AN194" i="12"/>
  <c r="AN267" i="12" s="1"/>
  <c r="BE141" i="12"/>
  <c r="O136" i="12"/>
  <c r="BE170" i="12"/>
  <c r="L267" i="12"/>
  <c r="M267" i="12" s="1"/>
  <c r="L245" i="12"/>
  <c r="Y195" i="12"/>
  <c r="AQ195" i="12"/>
  <c r="AW258" i="12"/>
  <c r="BD258" i="12" s="1"/>
  <c r="BD183" i="12"/>
  <c r="BD313" i="12" s="1"/>
  <c r="AP269" i="12"/>
  <c r="BA269" i="12" s="1"/>
  <c r="BB136" i="12"/>
  <c r="AZ282" i="12"/>
  <c r="BE285" i="12" l="1"/>
  <c r="J250" i="12"/>
  <c r="C53" i="8"/>
  <c r="X300" i="12"/>
  <c r="X309" i="12" s="1"/>
  <c r="M31" i="8"/>
  <c r="M22" i="8"/>
  <c r="AZ234" i="12"/>
  <c r="BE298" i="12"/>
  <c r="J261" i="12"/>
  <c r="BD254" i="12"/>
  <c r="BE283" i="12"/>
  <c r="AP331" i="12"/>
  <c r="AQ331" i="12" s="1"/>
  <c r="W325" i="12"/>
  <c r="M51" i="8"/>
  <c r="AP300" i="12"/>
  <c r="AP309" i="12" s="1"/>
  <c r="AR61" i="12"/>
  <c r="F275" i="12"/>
  <c r="BE268" i="12"/>
  <c r="M45" i="8"/>
  <c r="G275" i="12"/>
  <c r="BE302" i="12"/>
  <c r="BE282" i="12"/>
  <c r="AL288" i="12"/>
  <c r="BE176" i="12"/>
  <c r="AI61" i="12"/>
  <c r="BC254" i="12"/>
  <c r="AH300" i="12"/>
  <c r="AH309" i="12" s="1"/>
  <c r="AZ222" i="12"/>
  <c r="BB254" i="12"/>
  <c r="AO309" i="12"/>
  <c r="AV338" i="12"/>
  <c r="AW338" i="12" s="1"/>
  <c r="AX338" i="12" s="1"/>
  <c r="AY338" i="12" s="1"/>
  <c r="M59" i="8"/>
  <c r="X325" i="12"/>
  <c r="AV324" i="12"/>
  <c r="AW324" i="12" s="1"/>
  <c r="AX324" i="12" s="1"/>
  <c r="AY324" i="12" s="1"/>
  <c r="BB269" i="12"/>
  <c r="BB258" i="12"/>
  <c r="BE258" i="12" s="1"/>
  <c r="K275" i="12"/>
  <c r="BB284" i="12"/>
  <c r="AK225" i="12"/>
  <c r="AL225" i="12" s="1"/>
  <c r="AO329" i="12"/>
  <c r="BA254" i="12"/>
  <c r="BA258" i="12"/>
  <c r="BE303" i="12"/>
  <c r="BE301" i="12"/>
  <c r="BE295" i="12"/>
  <c r="AV320" i="12"/>
  <c r="AW320" i="12" s="1"/>
  <c r="AX320" i="12" s="1"/>
  <c r="AY320" i="12" s="1"/>
  <c r="M44" i="8"/>
  <c r="AV328" i="12"/>
  <c r="AW328" i="12" s="1"/>
  <c r="AX328" i="12" s="1"/>
  <c r="AY328" i="12" s="1"/>
  <c r="M52" i="8"/>
  <c r="AV330" i="12"/>
  <c r="AW330" i="12" s="1"/>
  <c r="AX330" i="12" s="1"/>
  <c r="AY330" i="12" s="1"/>
  <c r="M54" i="8"/>
  <c r="V311" i="12"/>
  <c r="V334" i="12"/>
  <c r="W334" i="12" s="1"/>
  <c r="X334" i="12" s="1"/>
  <c r="AV322" i="12"/>
  <c r="AW322" i="12" s="1"/>
  <c r="AX322" i="12" s="1"/>
  <c r="AY322" i="12" s="1"/>
  <c r="M46" i="8"/>
  <c r="BE296" i="12"/>
  <c r="BE299" i="12"/>
  <c r="AV323" i="12"/>
  <c r="AW323" i="12" s="1"/>
  <c r="AX323" i="12" s="1"/>
  <c r="AY323" i="12" s="1"/>
  <c r="M47" i="8"/>
  <c r="AR331" i="12"/>
  <c r="AS331" i="12" s="1"/>
  <c r="AT331" i="12" s="1"/>
  <c r="AU331" i="12" s="1"/>
  <c r="AV326" i="12"/>
  <c r="AW326" i="12" s="1"/>
  <c r="AX326" i="12" s="1"/>
  <c r="AY326" i="12" s="1"/>
  <c r="BE272" i="12"/>
  <c r="BA58" i="12"/>
  <c r="BA300" i="12" s="1"/>
  <c r="BE307" i="12"/>
  <c r="AV332" i="12"/>
  <c r="AW332" i="12" s="1"/>
  <c r="AX332" i="12" s="1"/>
  <c r="AY332" i="12" s="1"/>
  <c r="M56" i="8"/>
  <c r="CI265" i="9"/>
  <c r="CH267" i="9"/>
  <c r="BE281" i="12"/>
  <c r="BE279" i="12"/>
  <c r="BE265" i="12"/>
  <c r="BE266" i="12"/>
  <c r="O253" i="12"/>
  <c r="BD225" i="12"/>
  <c r="BE225" i="12" s="1"/>
  <c r="AZ254" i="12"/>
  <c r="O264" i="12"/>
  <c r="BE255" i="12"/>
  <c r="BE264" i="12"/>
  <c r="AG225" i="12"/>
  <c r="Y59" i="12"/>
  <c r="AQ59" i="12"/>
  <c r="AN245" i="12"/>
  <c r="BD284" i="12"/>
  <c r="BB169" i="12"/>
  <c r="J275" i="12"/>
  <c r="BE222" i="12"/>
  <c r="O255" i="12"/>
  <c r="AL162" i="12"/>
  <c r="V259" i="12"/>
  <c r="V260" i="12" s="1"/>
  <c r="AY230" i="12"/>
  <c r="AZ230" i="12" s="1"/>
  <c r="AK230" i="12"/>
  <c r="AL230" i="12" s="1"/>
  <c r="AO252" i="12"/>
  <c r="AO137" i="12"/>
  <c r="AQ58" i="12"/>
  <c r="Y58" i="12"/>
  <c r="X271" i="12"/>
  <c r="X103" i="12"/>
  <c r="AQ196" i="12"/>
  <c r="Y196" i="12"/>
  <c r="AQ205" i="12"/>
  <c r="Y205" i="12"/>
  <c r="AY226" i="12"/>
  <c r="BD226" i="12" s="1"/>
  <c r="BE226" i="12" s="1"/>
  <c r="AG226" i="12"/>
  <c r="BE157" i="12"/>
  <c r="AQ201" i="12"/>
  <c r="Y201" i="12"/>
  <c r="AR195" i="12"/>
  <c r="Z195" i="12"/>
  <c r="AI195" i="12" s="1"/>
  <c r="AQ256" i="12"/>
  <c r="BB177" i="12"/>
  <c r="BB304" i="12" s="1"/>
  <c r="X213" i="12"/>
  <c r="L259" i="12"/>
  <c r="M259" i="12" s="1"/>
  <c r="M245" i="12"/>
  <c r="AZ269" i="12"/>
  <c r="AF232" i="12"/>
  <c r="AG232" i="12" s="1"/>
  <c r="AX232" i="12"/>
  <c r="AW177" i="12"/>
  <c r="AW304" i="12" s="1"/>
  <c r="BD169" i="12"/>
  <c r="AH213" i="12"/>
  <c r="AN256" i="12"/>
  <c r="BA177" i="12"/>
  <c r="BA304" i="12" s="1"/>
  <c r="AG230" i="12"/>
  <c r="O245" i="12"/>
  <c r="AK226" i="12"/>
  <c r="AL226" i="12" s="1"/>
  <c r="O257" i="12"/>
  <c r="AG257" i="12"/>
  <c r="AX231" i="12"/>
  <c r="AF231" i="12"/>
  <c r="AG231" i="12" s="1"/>
  <c r="AR256" i="12"/>
  <c r="H274" i="12"/>
  <c r="H250" i="12"/>
  <c r="I247" i="12"/>
  <c r="M271" i="12"/>
  <c r="O271" i="12"/>
  <c r="AS197" i="12"/>
  <c r="BB197" i="12" s="1"/>
  <c r="AA197" i="12"/>
  <c r="AI197" i="12"/>
  <c r="AO256" i="12"/>
  <c r="W252" i="12"/>
  <c r="W137" i="12"/>
  <c r="AH137" i="12" s="1"/>
  <c r="O267" i="12"/>
  <c r="BE136" i="12"/>
  <c r="AE287" i="12"/>
  <c r="AE244" i="12"/>
  <c r="AF224" i="12"/>
  <c r="AG224" i="12" s="1"/>
  <c r="AX224" i="12"/>
  <c r="BC221" i="12"/>
  <c r="BE221" i="12" s="1"/>
  <c r="AV288" i="12"/>
  <c r="AZ221" i="12"/>
  <c r="BE166" i="12"/>
  <c r="AZ162" i="12"/>
  <c r="AS60" i="12"/>
  <c r="BB60" i="12" s="1"/>
  <c r="AA60" i="12"/>
  <c r="AI60" i="12"/>
  <c r="AS61" i="12"/>
  <c r="BB61" i="12" s="1"/>
  <c r="AA61" i="12"/>
  <c r="AF228" i="12"/>
  <c r="AG228" i="12" s="1"/>
  <c r="AX228" i="12"/>
  <c r="AJ244" i="12"/>
  <c r="R257" i="12"/>
  <c r="AZ257" i="12" s="1"/>
  <c r="AZ161" i="12"/>
  <c r="AS256" i="12"/>
  <c r="AO289" i="12"/>
  <c r="AO291" i="12" s="1"/>
  <c r="AO194" i="12"/>
  <c r="AV256" i="12"/>
  <c r="AX256" i="12"/>
  <c r="AZ284" i="12"/>
  <c r="AY229" i="12"/>
  <c r="AZ229" i="12" s="1"/>
  <c r="AG229" i="12"/>
  <c r="AK229" i="12"/>
  <c r="AL229" i="12" s="1"/>
  <c r="O162" i="12"/>
  <c r="AG162" i="12"/>
  <c r="N247" i="12"/>
  <c r="N315" i="12" s="1"/>
  <c r="AU256" i="12"/>
  <c r="AP271" i="12"/>
  <c r="AP103" i="12"/>
  <c r="BA103" i="12" s="1"/>
  <c r="N260" i="12"/>
  <c r="U274" i="12"/>
  <c r="U275" i="12" s="1"/>
  <c r="U261" i="12"/>
  <c r="U249" i="12"/>
  <c r="AW287" i="12"/>
  <c r="AW244" i="12"/>
  <c r="AP256" i="12"/>
  <c r="V247" i="12"/>
  <c r="BE126" i="12"/>
  <c r="BE306" i="12" s="1"/>
  <c r="AZ226" i="12"/>
  <c r="AQ203" i="12"/>
  <c r="Y203" i="12"/>
  <c r="AV244" i="12"/>
  <c r="BC214" i="12"/>
  <c r="BE214" i="12" s="1"/>
  <c r="BE162" i="12"/>
  <c r="BA201" i="12"/>
  <c r="BE278" i="12"/>
  <c r="BE183" i="12"/>
  <c r="BE313" i="12" s="1"/>
  <c r="W289" i="12"/>
  <c r="AH289" i="12" s="1"/>
  <c r="X190" i="12"/>
  <c r="AP190" i="12"/>
  <c r="W194" i="12"/>
  <c r="W245" i="12" s="1"/>
  <c r="W310" i="12" s="1"/>
  <c r="W311" i="12" s="1"/>
  <c r="W314" i="12" s="1"/>
  <c r="BD269" i="12"/>
  <c r="BE269" i="12" s="1"/>
  <c r="R177" i="12"/>
  <c r="R304" i="12" s="1"/>
  <c r="R309" i="12" s="1"/>
  <c r="R311" i="12" s="1"/>
  <c r="R314" i="12" s="1"/>
  <c r="AZ169" i="12"/>
  <c r="BA169" i="12"/>
  <c r="Y202" i="12"/>
  <c r="AQ202" i="12"/>
  <c r="AS62" i="12"/>
  <c r="BB62" i="12" s="1"/>
  <c r="AA62" i="12"/>
  <c r="AI62" i="12"/>
  <c r="AZ214" i="12"/>
  <c r="H260" i="12"/>
  <c r="I260" i="12" s="1"/>
  <c r="AT177" i="12"/>
  <c r="AT304" i="12" s="1"/>
  <c r="BC169" i="12"/>
  <c r="AH271" i="12"/>
  <c r="AP213" i="12"/>
  <c r="AZ258" i="12"/>
  <c r="L252" i="12"/>
  <c r="M103" i="12"/>
  <c r="L137" i="12"/>
  <c r="O103" i="12"/>
  <c r="AG288" i="12"/>
  <c r="BA284" i="12"/>
  <c r="M256" i="12"/>
  <c r="V267" i="12"/>
  <c r="BE186" i="12"/>
  <c r="M254" i="12"/>
  <c r="O254" i="12"/>
  <c r="R259" i="12"/>
  <c r="AZ255" i="12"/>
  <c r="AX227" i="12"/>
  <c r="AF227" i="12"/>
  <c r="AN291" i="12"/>
  <c r="AY256" i="12"/>
  <c r="AZ225" i="12"/>
  <c r="AP329" i="12" l="1"/>
  <c r="AQ329" i="12" s="1"/>
  <c r="AR329" i="12" s="1"/>
  <c r="AS329" i="12" s="1"/>
  <c r="AT329" i="12" s="1"/>
  <c r="AU329" i="12" s="1"/>
  <c r="M50" i="8"/>
  <c r="M48" i="8"/>
  <c r="AP325" i="12"/>
  <c r="BE254" i="12"/>
  <c r="V314" i="12"/>
  <c r="V336" i="12"/>
  <c r="W336" i="12" s="1"/>
  <c r="W335" i="12"/>
  <c r="Y300" i="12"/>
  <c r="Y309" i="12" s="1"/>
  <c r="Y334" i="12" s="1"/>
  <c r="AO334" i="12"/>
  <c r="AP334" i="12" s="1"/>
  <c r="AQ300" i="12"/>
  <c r="AN259" i="12"/>
  <c r="AN260" i="12" s="1"/>
  <c r="AN310" i="12"/>
  <c r="AN311" i="12" s="1"/>
  <c r="AN314" i="12" s="1"/>
  <c r="BA309" i="12"/>
  <c r="AV331" i="12"/>
  <c r="AW331" i="12" s="1"/>
  <c r="AX331" i="12" s="1"/>
  <c r="AY331" i="12" s="1"/>
  <c r="CI267" i="9"/>
  <c r="CJ265" i="9"/>
  <c r="BE284" i="12"/>
  <c r="Y213" i="12"/>
  <c r="BB256" i="12"/>
  <c r="BA256" i="12"/>
  <c r="Z59" i="12"/>
  <c r="AI59" i="12" s="1"/>
  <c r="AR59" i="12"/>
  <c r="W267" i="12"/>
  <c r="AH267" i="12" s="1"/>
  <c r="AN247" i="12"/>
  <c r="BE169" i="12"/>
  <c r="H261" i="12"/>
  <c r="W259" i="12"/>
  <c r="AH259" i="12" s="1"/>
  <c r="AH245" i="12"/>
  <c r="AH310" i="12" s="1"/>
  <c r="AH311" i="12" s="1"/>
  <c r="AH314" i="12" s="1"/>
  <c r="AT256" i="12"/>
  <c r="BC256" i="12" s="1"/>
  <c r="BC177" i="12"/>
  <c r="R256" i="12"/>
  <c r="R247" i="12"/>
  <c r="R315" i="12" s="1"/>
  <c r="AZ177" i="12"/>
  <c r="X289" i="12"/>
  <c r="Y190" i="12"/>
  <c r="AQ190" i="12"/>
  <c r="X194" i="12"/>
  <c r="X267" i="12" s="1"/>
  <c r="L260" i="12"/>
  <c r="M260" i="12" s="1"/>
  <c r="M252" i="12"/>
  <c r="O252" i="12"/>
  <c r="M137" i="12"/>
  <c r="O137" i="12"/>
  <c r="AP289" i="12"/>
  <c r="AP291" i="12" s="1"/>
  <c r="BA291" i="12" s="1"/>
  <c r="BA190" i="12"/>
  <c r="AP194" i="12"/>
  <c r="AP245" i="12" s="1"/>
  <c r="Z203" i="12"/>
  <c r="AR203" i="12"/>
  <c r="L247" i="12"/>
  <c r="BA271" i="12"/>
  <c r="BD229" i="12"/>
  <c r="BE229" i="12" s="1"/>
  <c r="AY228" i="12"/>
  <c r="AK228" i="12"/>
  <c r="AL228" i="12" s="1"/>
  <c r="AX287" i="12"/>
  <c r="AX244" i="12"/>
  <c r="W247" i="12"/>
  <c r="W315" i="12" s="1"/>
  <c r="AP276" i="12"/>
  <c r="BA213" i="12"/>
  <c r="N274" i="12"/>
  <c r="N261" i="12"/>
  <c r="O247" i="12"/>
  <c r="AB61" i="12"/>
  <c r="AT61" i="12"/>
  <c r="AB60" i="12"/>
  <c r="AT60" i="12"/>
  <c r="AF287" i="12"/>
  <c r="AF244" i="12"/>
  <c r="AY224" i="12"/>
  <c r="AZ224" i="12" s="1"/>
  <c r="AK224" i="12"/>
  <c r="AL224" i="12" s="1"/>
  <c r="AT197" i="12"/>
  <c r="AB197" i="12"/>
  <c r="AW256" i="12"/>
  <c r="BD256" i="12" s="1"/>
  <c r="BD177" i="12"/>
  <c r="BD304" i="12" s="1"/>
  <c r="AR196" i="12"/>
  <c r="Z196" i="12"/>
  <c r="X252" i="12"/>
  <c r="X137" i="12"/>
  <c r="AQ271" i="12"/>
  <c r="AQ103" i="12"/>
  <c r="BD230" i="12"/>
  <c r="BE230" i="12" s="1"/>
  <c r="W291" i="12"/>
  <c r="AQ213" i="12"/>
  <c r="I274" i="12"/>
  <c r="H273" i="12"/>
  <c r="I273" i="12" s="1"/>
  <c r="AY231" i="12"/>
  <c r="AK231" i="12"/>
  <c r="AL231" i="12" s="1"/>
  <c r="Z205" i="12"/>
  <c r="AR205" i="12"/>
  <c r="AY227" i="12"/>
  <c r="BD227" i="12" s="1"/>
  <c r="BE227" i="12" s="1"/>
  <c r="AG227" i="12"/>
  <c r="AK227" i="12"/>
  <c r="AL227" i="12" s="1"/>
  <c r="AH252" i="12"/>
  <c r="AB62" i="12"/>
  <c r="AT62" i="12"/>
  <c r="AR202" i="12"/>
  <c r="Z202" i="12"/>
  <c r="BC244" i="12"/>
  <c r="V274" i="12"/>
  <c r="V273" i="12" s="1"/>
  <c r="V249" i="12"/>
  <c r="V261" i="12"/>
  <c r="AH247" i="12"/>
  <c r="U273" i="12"/>
  <c r="AH194" i="12"/>
  <c r="AP252" i="12"/>
  <c r="AP137" i="12"/>
  <c r="BA137" i="12" s="1"/>
  <c r="O259" i="12"/>
  <c r="AO245" i="12"/>
  <c r="AO310" i="12" s="1"/>
  <c r="AO311" i="12" s="1"/>
  <c r="AO267" i="12"/>
  <c r="BC288" i="12"/>
  <c r="BE288" i="12" s="1"/>
  <c r="AZ288" i="12"/>
  <c r="H275" i="12"/>
  <c r="AY232" i="12"/>
  <c r="AZ232" i="12" s="1"/>
  <c r="AK232" i="12"/>
  <c r="AL232" i="12" s="1"/>
  <c r="X245" i="12"/>
  <c r="X310" i="12" s="1"/>
  <c r="X311" i="12" s="1"/>
  <c r="X314" i="12" s="1"/>
  <c r="AA195" i="12"/>
  <c r="AS195" i="12"/>
  <c r="Z201" i="12"/>
  <c r="AR201" i="12"/>
  <c r="AI205" i="12"/>
  <c r="Z58" i="12"/>
  <c r="AR58" i="12"/>
  <c r="Y103" i="12"/>
  <c r="Y271" i="12"/>
  <c r="M55" i="8" l="1"/>
  <c r="AR300" i="12"/>
  <c r="AR309" i="12" s="1"/>
  <c r="AN315" i="12"/>
  <c r="Y325" i="12"/>
  <c r="Z300" i="12"/>
  <c r="Z309" i="12" s="1"/>
  <c r="Z334" i="12" s="1"/>
  <c r="AV329" i="12"/>
  <c r="AW329" i="12" s="1"/>
  <c r="AX329" i="12" s="1"/>
  <c r="AY329" i="12" s="1"/>
  <c r="M53" i="8"/>
  <c r="AP259" i="12"/>
  <c r="AP260" i="12" s="1"/>
  <c r="AP310" i="12"/>
  <c r="AP311" i="12" s="1"/>
  <c r="AP314" i="12" s="1"/>
  <c r="AO314" i="12"/>
  <c r="AO336" i="12"/>
  <c r="AQ309" i="12"/>
  <c r="AQ325" i="12"/>
  <c r="X336" i="12"/>
  <c r="BE177" i="12"/>
  <c r="BE304" i="12" s="1"/>
  <c r="BC304" i="12"/>
  <c r="AO335" i="12"/>
  <c r="AP335" i="12" s="1"/>
  <c r="AH315" i="12"/>
  <c r="AN261" i="12"/>
  <c r="X335" i="12"/>
  <c r="V339" i="12"/>
  <c r="W339" i="12" s="1"/>
  <c r="X339" i="12" s="1"/>
  <c r="V315" i="12"/>
  <c r="V340" i="12" s="1"/>
  <c r="W340" i="12" s="1"/>
  <c r="CK265" i="9"/>
  <c r="CJ267" i="9"/>
  <c r="Z213" i="12"/>
  <c r="AI213" i="12" s="1"/>
  <c r="AN249" i="12"/>
  <c r="AN274" i="12"/>
  <c r="AN273" i="12" s="1"/>
  <c r="BE256" i="12"/>
  <c r="AS59" i="12"/>
  <c r="BB59" i="12" s="1"/>
  <c r="AA59" i="12"/>
  <c r="AZ227" i="12"/>
  <c r="O260" i="12"/>
  <c r="AS196" i="12"/>
  <c r="AA196" i="12"/>
  <c r="Y289" i="12"/>
  <c r="AR190" i="12"/>
  <c r="Z190" i="12"/>
  <c r="AI190" i="12" s="1"/>
  <c r="Y194" i="12"/>
  <c r="Y245" i="12" s="1"/>
  <c r="AA58" i="12"/>
  <c r="AS58" i="12"/>
  <c r="Z271" i="12"/>
  <c r="Z103" i="12"/>
  <c r="AI103" i="12" s="1"/>
  <c r="AI58" i="12"/>
  <c r="AI300" i="12" s="1"/>
  <c r="AI309" i="12" s="1"/>
  <c r="AA201" i="12"/>
  <c r="AS201" i="12"/>
  <c r="BB201" i="12" s="1"/>
  <c r="AI201" i="12"/>
  <c r="Y252" i="12"/>
  <c r="Y137" i="12"/>
  <c r="AT195" i="12"/>
  <c r="AB195" i="12"/>
  <c r="AP247" i="12"/>
  <c r="V275" i="12"/>
  <c r="AA202" i="12"/>
  <c r="AS202" i="12"/>
  <c r="BB202" i="12" s="1"/>
  <c r="AI202" i="12"/>
  <c r="AS205" i="12"/>
  <c r="AA205" i="12"/>
  <c r="W260" i="12"/>
  <c r="W261" i="12" s="1"/>
  <c r="AH261" i="12" s="1"/>
  <c r="AK287" i="12"/>
  <c r="AL287" i="12" s="1"/>
  <c r="AG287" i="12"/>
  <c r="BA289" i="12"/>
  <c r="AR213" i="12"/>
  <c r="AZ228" i="12"/>
  <c r="BD228" i="12"/>
  <c r="BE228" i="12" s="1"/>
  <c r="L274" i="12"/>
  <c r="O274" i="12" s="1"/>
  <c r="L261" i="12"/>
  <c r="M247" i="12"/>
  <c r="AQ289" i="12"/>
  <c r="AQ194" i="12"/>
  <c r="AQ267" i="12" s="1"/>
  <c r="AR271" i="12"/>
  <c r="AR103" i="12"/>
  <c r="AO259" i="12"/>
  <c r="AO247" i="12"/>
  <c r="BA245" i="12"/>
  <c r="BA310" i="12" s="1"/>
  <c r="BA311" i="12" s="1"/>
  <c r="BA314" i="12" s="1"/>
  <c r="BA252" i="12"/>
  <c r="AC197" i="12"/>
  <c r="AJ197" i="12" s="1"/>
  <c r="AU197" i="12"/>
  <c r="AC61" i="12"/>
  <c r="AU61" i="12"/>
  <c r="X259" i="12"/>
  <c r="AQ276" i="12"/>
  <c r="AQ252" i="12"/>
  <c r="AQ137" i="12"/>
  <c r="X247" i="12"/>
  <c r="X315" i="12" s="1"/>
  <c r="AY287" i="12"/>
  <c r="BD287" i="12" s="1"/>
  <c r="BE287" i="12" s="1"/>
  <c r="AY244" i="12"/>
  <c r="BD224" i="12"/>
  <c r="BE224" i="12" s="1"/>
  <c r="AC60" i="12"/>
  <c r="AJ60" i="12" s="1"/>
  <c r="AU60" i="12"/>
  <c r="AJ61" i="12"/>
  <c r="N273" i="12"/>
  <c r="AS203" i="12"/>
  <c r="BB203" i="12" s="1"/>
  <c r="AA203" i="12"/>
  <c r="AI203" i="12"/>
  <c r="AI196" i="12"/>
  <c r="R274" i="12"/>
  <c r="BD232" i="12"/>
  <c r="BE232" i="12" s="1"/>
  <c r="BB195" i="12"/>
  <c r="AC62" i="12"/>
  <c r="AU62" i="12"/>
  <c r="BD231" i="12"/>
  <c r="BE231" i="12" s="1"/>
  <c r="AZ231" i="12"/>
  <c r="AH291" i="12"/>
  <c r="AG244" i="12"/>
  <c r="N275" i="12"/>
  <c r="BA276" i="12"/>
  <c r="W274" i="12"/>
  <c r="W273" i="12" s="1"/>
  <c r="AH273" i="12" s="1"/>
  <c r="W249" i="12"/>
  <c r="AH249" i="12" s="1"/>
  <c r="BA194" i="12"/>
  <c r="AK244" i="12"/>
  <c r="AL244" i="12" s="1"/>
  <c r="X291" i="12"/>
  <c r="AZ256" i="12"/>
  <c r="R260" i="12"/>
  <c r="O47" i="8"/>
  <c r="P47" i="8" s="1"/>
  <c r="O58" i="8"/>
  <c r="P58" i="8" s="1"/>
  <c r="O52" i="8"/>
  <c r="P52" i="8" s="1"/>
  <c r="O48" i="8"/>
  <c r="P48" i="8" s="1"/>
  <c r="Z325" i="12" l="1"/>
  <c r="AP336" i="12"/>
  <c r="L275" i="12"/>
  <c r="AN275" i="12"/>
  <c r="AR325" i="12"/>
  <c r="Y259" i="12"/>
  <c r="Y260" i="12" s="1"/>
  <c r="Y310" i="12"/>
  <c r="Y311" i="12" s="1"/>
  <c r="Y314" i="12" s="1"/>
  <c r="AA300" i="12"/>
  <c r="AA309" i="12" s="1"/>
  <c r="AP315" i="12"/>
  <c r="X340" i="12"/>
  <c r="AS300" i="12"/>
  <c r="AS309" i="12" s="1"/>
  <c r="AO315" i="12"/>
  <c r="AO340" i="12" s="1"/>
  <c r="AO339" i="12"/>
  <c r="AP339" i="12" s="1"/>
  <c r="AQ334" i="12"/>
  <c r="AR334" i="12" s="1"/>
  <c r="CL265" i="9"/>
  <c r="CK267" i="9"/>
  <c r="O59" i="8"/>
  <c r="P59" i="8" s="1"/>
  <c r="O46" i="8"/>
  <c r="O50" i="8"/>
  <c r="P50" i="8" s="1"/>
  <c r="O55" i="8"/>
  <c r="P55" i="8" s="1"/>
  <c r="O56" i="8"/>
  <c r="P56" i="8" s="1"/>
  <c r="O54" i="8"/>
  <c r="O45" i="8"/>
  <c r="P45" i="8" s="1"/>
  <c r="O51" i="8"/>
  <c r="P51" i="8" s="1"/>
  <c r="W275" i="12"/>
  <c r="AS213" i="12"/>
  <c r="BB213" i="12" s="1"/>
  <c r="AT59" i="12"/>
  <c r="AB59" i="12"/>
  <c r="AQ245" i="12"/>
  <c r="AH274" i="12"/>
  <c r="Y247" i="12"/>
  <c r="Y249" i="12" s="1"/>
  <c r="R273" i="12"/>
  <c r="AB203" i="12"/>
  <c r="AT203" i="12"/>
  <c r="AQ291" i="12"/>
  <c r="AH260" i="12"/>
  <c r="AB201" i="12"/>
  <c r="AT201" i="12"/>
  <c r="AS271" i="12"/>
  <c r="BB271" i="12" s="1"/>
  <c r="AS103" i="12"/>
  <c r="Z289" i="12"/>
  <c r="AA190" i="12"/>
  <c r="AS190" i="12"/>
  <c r="Z194" i="12"/>
  <c r="Z267" i="12" s="1"/>
  <c r="AD62" i="12"/>
  <c r="AV62" i="12"/>
  <c r="BC62" i="12" s="1"/>
  <c r="AJ62" i="12"/>
  <c r="AV60" i="12"/>
  <c r="BC60" i="12" s="1"/>
  <c r="AD60" i="12"/>
  <c r="AO274" i="12"/>
  <c r="AO249" i="12"/>
  <c r="BA247" i="12"/>
  <c r="BA315" i="12" s="1"/>
  <c r="AZ287" i="12"/>
  <c r="M274" i="12"/>
  <c r="L273" i="12"/>
  <c r="M273" i="12" s="1"/>
  <c r="X260" i="12"/>
  <c r="AT205" i="12"/>
  <c r="AB205" i="12"/>
  <c r="AH275" i="12"/>
  <c r="AC195" i="12"/>
  <c r="AU195" i="12"/>
  <c r="AT58" i="12"/>
  <c r="AB58" i="12"/>
  <c r="AA271" i="12"/>
  <c r="AA103" i="12"/>
  <c r="AR289" i="12"/>
  <c r="AR291" i="12" s="1"/>
  <c r="AR194" i="12"/>
  <c r="AR267" i="12" s="1"/>
  <c r="BB196" i="12"/>
  <c r="X249" i="12"/>
  <c r="X274" i="12"/>
  <c r="AD197" i="12"/>
  <c r="AV197" i="12"/>
  <c r="BC197" i="12" s="1"/>
  <c r="AN4" i="12"/>
  <c r="AR276" i="12"/>
  <c r="AR245" i="12"/>
  <c r="AR310" i="12" s="1"/>
  <c r="AR311" i="12" s="1"/>
  <c r="AR314" i="12" s="1"/>
  <c r="BB205" i="12"/>
  <c r="AA213" i="12"/>
  <c r="Z252" i="12"/>
  <c r="Z137" i="12"/>
  <c r="AI137" i="12" s="1"/>
  <c r="Y291" i="12"/>
  <c r="R275" i="12"/>
  <c r="AZ244" i="12"/>
  <c r="BD244" i="12"/>
  <c r="BE244" i="12" s="1"/>
  <c r="AV61" i="12"/>
  <c r="BC61" i="12" s="1"/>
  <c r="AD61" i="12"/>
  <c r="BB58" i="12"/>
  <c r="BB300" i="12" s="1"/>
  <c r="BB309" i="12" s="1"/>
  <c r="AO260" i="12"/>
  <c r="BA260" i="12" s="1"/>
  <c r="BA259" i="12"/>
  <c r="AR252" i="12"/>
  <c r="AR137" i="12"/>
  <c r="AB202" i="12"/>
  <c r="AT202" i="12"/>
  <c r="AP274" i="12"/>
  <c r="AP275" i="12" s="1"/>
  <c r="AP261" i="12"/>
  <c r="AP249" i="12"/>
  <c r="AP267" i="12"/>
  <c r="AI271" i="12"/>
  <c r="Y267" i="12"/>
  <c r="AB196" i="12"/>
  <c r="AT196" i="12"/>
  <c r="O53" i="8"/>
  <c r="P53" i="8" s="1"/>
  <c r="B39" i="8"/>
  <c r="Y261" i="12" l="1"/>
  <c r="AS276" i="12"/>
  <c r="BB276" i="12" s="1"/>
  <c r="Y315" i="12"/>
  <c r="AS334" i="12"/>
  <c r="AT213" i="12"/>
  <c r="AT276" i="12" s="1"/>
  <c r="Y274" i="12"/>
  <c r="Y273" i="12" s="1"/>
  <c r="AT300" i="12"/>
  <c r="AT309" i="12" s="1"/>
  <c r="Y336" i="12"/>
  <c r="Y339" i="12"/>
  <c r="AA325" i="12"/>
  <c r="AB300" i="12"/>
  <c r="AQ247" i="12"/>
  <c r="AQ274" i="12" s="1"/>
  <c r="AQ275" i="12" s="1"/>
  <c r="AQ310" i="12"/>
  <c r="AS325" i="12"/>
  <c r="Y340" i="12"/>
  <c r="AP340" i="12"/>
  <c r="Y335" i="12"/>
  <c r="AA334" i="12"/>
  <c r="CM265" i="9"/>
  <c r="CL267" i="9"/>
  <c r="P54" i="8"/>
  <c r="P46" i="8"/>
  <c r="AQ259" i="12"/>
  <c r="AQ260" i="12" s="1"/>
  <c r="AC59" i="12"/>
  <c r="AJ59" i="12" s="1"/>
  <c r="AU59" i="12"/>
  <c r="AI267" i="12"/>
  <c r="AO273" i="12"/>
  <c r="AO4" i="12" s="1"/>
  <c r="BA274" i="12"/>
  <c r="O273" i="12"/>
  <c r="AW62" i="12"/>
  <c r="AE62" i="12"/>
  <c r="AS289" i="12"/>
  <c r="AS291" i="12" s="1"/>
  <c r="BB291" i="12" s="1"/>
  <c r="AS194" i="12"/>
  <c r="BB190" i="12"/>
  <c r="AP273" i="12"/>
  <c r="AP4" i="12" s="1"/>
  <c r="AC202" i="12"/>
  <c r="AU202" i="12"/>
  <c r="AR259" i="12"/>
  <c r="AR260" i="12" s="1"/>
  <c r="X273" i="12"/>
  <c r="AU58" i="12"/>
  <c r="AU300" i="12" s="1"/>
  <c r="AC58" i="12"/>
  <c r="AB103" i="12"/>
  <c r="AB271" i="12"/>
  <c r="AO261" i="12"/>
  <c r="AI194" i="12"/>
  <c r="Z245" i="12"/>
  <c r="Z310" i="12" s="1"/>
  <c r="Z311" i="12" s="1"/>
  <c r="Z314" i="12" s="1"/>
  <c r="Z339" i="12" s="1"/>
  <c r="Z291" i="12"/>
  <c r="AI291" i="12" s="1"/>
  <c r="AI289" i="12"/>
  <c r="BA267" i="12"/>
  <c r="AW61" i="12"/>
  <c r="AE61" i="12"/>
  <c r="AS252" i="12"/>
  <c r="AS137" i="12"/>
  <c r="AU201" i="12"/>
  <c r="AC201" i="12"/>
  <c r="AE197" i="12"/>
  <c r="AW197" i="12"/>
  <c r="AA252" i="12"/>
  <c r="AA137" i="12"/>
  <c r="AT271" i="12"/>
  <c r="AT103" i="12"/>
  <c r="AV195" i="12"/>
  <c r="BC195" i="12" s="1"/>
  <c r="AD195" i="12"/>
  <c r="AJ195" i="12"/>
  <c r="AU205" i="12"/>
  <c r="AC205" i="12"/>
  <c r="AJ205" i="12" s="1"/>
  <c r="BA249" i="12"/>
  <c r="AC196" i="12"/>
  <c r="AU196" i="12"/>
  <c r="AR247" i="12"/>
  <c r="AR315" i="12" s="1"/>
  <c r="AI252" i="12"/>
  <c r="Y275" i="12"/>
  <c r="X275" i="12"/>
  <c r="X261" i="12"/>
  <c r="AB213" i="12"/>
  <c r="AO275" i="12"/>
  <c r="BA275" i="12" s="1"/>
  <c r="AW60" i="12"/>
  <c r="AE60" i="12"/>
  <c r="AA289" i="12"/>
  <c r="AB190" i="12"/>
  <c r="AT190" i="12"/>
  <c r="AA194" i="12"/>
  <c r="AA267" i="12" s="1"/>
  <c r="AU203" i="12"/>
  <c r="AC203" i="12"/>
  <c r="BB103" i="12"/>
  <c r="B98" i="8"/>
  <c r="AT334" i="12" l="1"/>
  <c r="AQ249" i="12"/>
  <c r="AQ261" i="12"/>
  <c r="AQ4" i="12" s="1"/>
  <c r="AT325" i="12"/>
  <c r="AU325" i="12" s="1"/>
  <c r="AC300" i="12"/>
  <c r="AC309" i="12" s="1"/>
  <c r="Z335" i="12"/>
  <c r="Z336" i="12"/>
  <c r="AB309" i="12"/>
  <c r="AB334" i="12" s="1"/>
  <c r="AC334" i="12" s="1"/>
  <c r="AU309" i="12"/>
  <c r="AU334" i="12" s="1"/>
  <c r="AQ335" i="12"/>
  <c r="AR335" i="12" s="1"/>
  <c r="AQ311" i="12"/>
  <c r="AB325" i="12"/>
  <c r="CN265" i="9"/>
  <c r="CM267" i="9"/>
  <c r="AA245" i="12"/>
  <c r="AA310" i="12" s="1"/>
  <c r="AA311" i="12" s="1"/>
  <c r="AA314" i="12" s="1"/>
  <c r="AV59" i="12"/>
  <c r="BC59" i="12" s="1"/>
  <c r="AD59" i="12"/>
  <c r="AU213" i="12"/>
  <c r="AU276" i="12" s="1"/>
  <c r="AA291" i="12"/>
  <c r="AD205" i="12"/>
  <c r="AV205" i="12"/>
  <c r="BC205" i="12" s="1"/>
  <c r="AE195" i="12"/>
  <c r="AW195" i="12"/>
  <c r="AT252" i="12"/>
  <c r="AT137" i="12"/>
  <c r="AF61" i="12"/>
  <c r="AK61" i="12" s="1"/>
  <c r="AL61" i="12" s="1"/>
  <c r="AX61" i="12"/>
  <c r="Z259" i="12"/>
  <c r="AI245" i="12"/>
  <c r="AI310" i="12" s="1"/>
  <c r="AI311" i="12" s="1"/>
  <c r="AI314" i="12" s="1"/>
  <c r="AU271" i="12"/>
  <c r="AU103" i="12"/>
  <c r="BB137" i="12"/>
  <c r="AQ273" i="12"/>
  <c r="AF62" i="12"/>
  <c r="AX62" i="12"/>
  <c r="AT289" i="12"/>
  <c r="AT194" i="12"/>
  <c r="AB289" i="12"/>
  <c r="AB291" i="12" s="1"/>
  <c r="AC190" i="12"/>
  <c r="AU190" i="12"/>
  <c r="AB194" i="12"/>
  <c r="AF60" i="12"/>
  <c r="AX60" i="12"/>
  <c r="AR274" i="12"/>
  <c r="AR275" i="12" s="1"/>
  <c r="AR249" i="12"/>
  <c r="AR261" i="12"/>
  <c r="AV196" i="12"/>
  <c r="AD196" i="12"/>
  <c r="AJ196" i="12"/>
  <c r="AC213" i="12"/>
  <c r="AJ213" i="12" s="1"/>
  <c r="AD201" i="12"/>
  <c r="AV201" i="12"/>
  <c r="BC201" i="12" s="1"/>
  <c r="BA261" i="12"/>
  <c r="AB252" i="12"/>
  <c r="AB137" i="12"/>
  <c r="BB194" i="12"/>
  <c r="AS245" i="12"/>
  <c r="AS310" i="12" s="1"/>
  <c r="AS311" i="12" s="1"/>
  <c r="AS314" i="12" s="1"/>
  <c r="Z247" i="12"/>
  <c r="Z315" i="12" s="1"/>
  <c r="Z340" i="12" s="1"/>
  <c r="BA273" i="12"/>
  <c r="AV203" i="12"/>
  <c r="BC203" i="12" s="1"/>
  <c r="AD203" i="12"/>
  <c r="BB252" i="12"/>
  <c r="AJ201" i="12"/>
  <c r="AX197" i="12"/>
  <c r="AF197" i="12"/>
  <c r="BB289" i="12"/>
  <c r="AD58" i="12"/>
  <c r="AV58" i="12"/>
  <c r="AC103" i="12"/>
  <c r="AC271" i="12"/>
  <c r="AJ271" i="12" s="1"/>
  <c r="AJ58" i="12"/>
  <c r="AJ300" i="12" s="1"/>
  <c r="AJ309" i="12" s="1"/>
  <c r="AV202" i="12"/>
  <c r="BC202" i="12" s="1"/>
  <c r="AD202" i="12"/>
  <c r="AJ202" i="12"/>
  <c r="AS267" i="12"/>
  <c r="BB267" i="12" s="1"/>
  <c r="AJ203" i="12"/>
  <c r="K39" i="8"/>
  <c r="AS335" i="12" l="1"/>
  <c r="AA336" i="12"/>
  <c r="AA247" i="12"/>
  <c r="AA315" i="12" s="1"/>
  <c r="AA340" i="12" s="1"/>
  <c r="BC58" i="12"/>
  <c r="BC300" i="12" s="1"/>
  <c r="BC309" i="12" s="1"/>
  <c r="AV300" i="12"/>
  <c r="AD300" i="12"/>
  <c r="AA259" i="12"/>
  <c r="AA260" i="12" s="1"/>
  <c r="AC325" i="12"/>
  <c r="AA335" i="12"/>
  <c r="AQ314" i="12"/>
  <c r="AQ336" i="12"/>
  <c r="AR336" i="12" s="1"/>
  <c r="AS336" i="12" s="1"/>
  <c r="AA339" i="12"/>
  <c r="CO265" i="9"/>
  <c r="CN267" i="9"/>
  <c r="AV213" i="12"/>
  <c r="AV276" i="12" s="1"/>
  <c r="BC276" i="12" s="1"/>
  <c r="BC196" i="12"/>
  <c r="AE59" i="12"/>
  <c r="AW59" i="12"/>
  <c r="AE201" i="12"/>
  <c r="AW201" i="12"/>
  <c r="AY60" i="12"/>
  <c r="AG60" i="12"/>
  <c r="AC289" i="12"/>
  <c r="AV190" i="12"/>
  <c r="AD190" i="12"/>
  <c r="AC194" i="12"/>
  <c r="AJ194" i="12" s="1"/>
  <c r="AT245" i="12"/>
  <c r="AT310" i="12" s="1"/>
  <c r="AT311" i="12" s="1"/>
  <c r="AT314" i="12" s="1"/>
  <c r="AF195" i="12"/>
  <c r="AX195" i="12"/>
  <c r="AK60" i="12"/>
  <c r="AL60" i="12" s="1"/>
  <c r="Z274" i="12"/>
  <c r="Z275" i="12" s="1"/>
  <c r="Z249" i="12"/>
  <c r="AI249" i="12" s="1"/>
  <c r="AI247" i="12"/>
  <c r="AI315" i="12" s="1"/>
  <c r="AW196" i="12"/>
  <c r="AE196" i="12"/>
  <c r="AR273" i="12"/>
  <c r="AR4" i="12" s="1"/>
  <c r="AB267" i="12"/>
  <c r="AB245" i="12"/>
  <c r="AT267" i="12"/>
  <c r="AI259" i="12"/>
  <c r="Z260" i="12"/>
  <c r="AY61" i="12"/>
  <c r="AG61" i="12"/>
  <c r="AD213" i="12"/>
  <c r="AE202" i="12"/>
  <c r="AW202" i="12"/>
  <c r="AE58" i="12"/>
  <c r="AW58" i="12"/>
  <c r="AD271" i="12"/>
  <c r="AD103" i="12"/>
  <c r="AW203" i="12"/>
  <c r="AE203" i="12"/>
  <c r="AC252" i="12"/>
  <c r="AC137" i="12"/>
  <c r="AJ103" i="12"/>
  <c r="AJ190" i="12"/>
  <c r="AS259" i="12"/>
  <c r="BB245" i="12"/>
  <c r="BB310" i="12" s="1"/>
  <c r="BB311" i="12" s="1"/>
  <c r="BB314" i="12" s="1"/>
  <c r="AU252" i="12"/>
  <c r="AU137" i="12"/>
  <c r="AV103" i="12"/>
  <c r="AV271" i="12"/>
  <c r="BC271" i="12" s="1"/>
  <c r="AY197" i="12"/>
  <c r="AZ197" i="12" s="1"/>
  <c r="AG197" i="12"/>
  <c r="AK197" i="12"/>
  <c r="AL197" i="12" s="1"/>
  <c r="AU289" i="12"/>
  <c r="AU291" i="12" s="1"/>
  <c r="AU194" i="12"/>
  <c r="AU245" i="12" s="1"/>
  <c r="AT291" i="12"/>
  <c r="AY62" i="12"/>
  <c r="AG62" i="12"/>
  <c r="AK62" i="12"/>
  <c r="AL62" i="12" s="1"/>
  <c r="AS247" i="12"/>
  <c r="AS315" i="12" s="1"/>
  <c r="BC103" i="12"/>
  <c r="AE205" i="12"/>
  <c r="AW205" i="12"/>
  <c r="AD309" i="12" l="1"/>
  <c r="AD334" i="12" s="1"/>
  <c r="C18" i="8"/>
  <c r="AT335" i="12"/>
  <c r="AA249" i="12"/>
  <c r="AA261" i="12"/>
  <c r="AA274" i="12"/>
  <c r="AA275" i="12" s="1"/>
  <c r="AT336" i="12"/>
  <c r="BC213" i="12"/>
  <c r="AU259" i="12"/>
  <c r="AU260" i="12" s="1"/>
  <c r="AU310" i="12"/>
  <c r="AE300" i="12"/>
  <c r="AE309" i="12" s="1"/>
  <c r="AD325" i="12"/>
  <c r="M18" i="8" s="1"/>
  <c r="AV309" i="12"/>
  <c r="AV325" i="12"/>
  <c r="AB247" i="12"/>
  <c r="AB274" i="12" s="1"/>
  <c r="AB273" i="12" s="1"/>
  <c r="AB310" i="12"/>
  <c r="AB335" i="12" s="1"/>
  <c r="AQ315" i="12"/>
  <c r="AQ339" i="12"/>
  <c r="AR339" i="12" s="1"/>
  <c r="AS339" i="12" s="1"/>
  <c r="AT339" i="12" s="1"/>
  <c r="AE334" i="12"/>
  <c r="AW300" i="12"/>
  <c r="CP265" i="9"/>
  <c r="CO267" i="9"/>
  <c r="AW213" i="12"/>
  <c r="AW276" i="12" s="1"/>
  <c r="AC245" i="12"/>
  <c r="AC247" i="12" s="1"/>
  <c r="AF59" i="12"/>
  <c r="AY59" i="12" s="1"/>
  <c r="AX59" i="12"/>
  <c r="AE213" i="12"/>
  <c r="AC267" i="12"/>
  <c r="AJ267" i="12" s="1"/>
  <c r="AC291" i="12"/>
  <c r="AJ291" i="12" s="1"/>
  <c r="AJ289" i="12"/>
  <c r="AF201" i="12"/>
  <c r="AK201" i="12" s="1"/>
  <c r="AL201" i="12" s="1"/>
  <c r="AX201" i="12"/>
  <c r="AS274" i="12"/>
  <c r="AS275" i="12" s="1"/>
  <c r="BB275" i="12" s="1"/>
  <c r="AS249" i="12"/>
  <c r="BB247" i="12"/>
  <c r="BB315" i="12" s="1"/>
  <c r="AJ137" i="12"/>
  <c r="AD252" i="12"/>
  <c r="AD137" i="12"/>
  <c r="AX58" i="12"/>
  <c r="AF58" i="12"/>
  <c r="AE271" i="12"/>
  <c r="AE103" i="12"/>
  <c r="AX202" i="12"/>
  <c r="AF202" i="12"/>
  <c r="AB259" i="12"/>
  <c r="AF205" i="12"/>
  <c r="AX205" i="12"/>
  <c r="AZ62" i="12"/>
  <c r="BD62" i="12"/>
  <c r="BE62" i="12" s="1"/>
  <c r="BB259" i="12"/>
  <c r="AS260" i="12"/>
  <c r="AW271" i="12"/>
  <c r="AW103" i="12"/>
  <c r="AI260" i="12"/>
  <c r="Z261" i="12"/>
  <c r="AY195" i="12"/>
  <c r="AG195" i="12"/>
  <c r="AK195" i="12"/>
  <c r="AL195" i="12" s="1"/>
  <c r="AF203" i="12"/>
  <c r="AK203" i="12" s="1"/>
  <c r="AL203" i="12" s="1"/>
  <c r="AX203" i="12"/>
  <c r="AJ252" i="12"/>
  <c r="AF196" i="12"/>
  <c r="AX196" i="12"/>
  <c r="AI275" i="12"/>
  <c r="AT259" i="12"/>
  <c r="AD289" i="12"/>
  <c r="AE190" i="12"/>
  <c r="AW190" i="12"/>
  <c r="AD194" i="12"/>
  <c r="AD245" i="12" s="1"/>
  <c r="AD310" i="12" s="1"/>
  <c r="AD311" i="12" s="1"/>
  <c r="AD314" i="12" s="1"/>
  <c r="AZ60" i="12"/>
  <c r="BD60" i="12"/>
  <c r="BE60" i="12" s="1"/>
  <c r="AU267" i="12"/>
  <c r="AV252" i="12"/>
  <c r="BC252" i="12" s="1"/>
  <c r="AV137" i="12"/>
  <c r="AU247" i="12"/>
  <c r="AT247" i="12"/>
  <c r="AT315" i="12" s="1"/>
  <c r="AZ61" i="12"/>
  <c r="BD61" i="12"/>
  <c r="BE61" i="12" s="1"/>
  <c r="Z273" i="12"/>
  <c r="AI273" i="12" s="1"/>
  <c r="AI274" i="12"/>
  <c r="AV289" i="12"/>
  <c r="AV194" i="12"/>
  <c r="AV245" i="12" s="1"/>
  <c r="AV267" i="12"/>
  <c r="BC190" i="12"/>
  <c r="BD197" i="12"/>
  <c r="BE197" i="12" s="1"/>
  <c r="AW309" i="12" l="1"/>
  <c r="C49" i="8"/>
  <c r="AJ245" i="12"/>
  <c r="AJ310" i="12" s="1"/>
  <c r="AJ311" i="12" s="1"/>
  <c r="AJ314" i="12" s="1"/>
  <c r="AZ59" i="12"/>
  <c r="AU335" i="12"/>
  <c r="AB249" i="12"/>
  <c r="AF300" i="12"/>
  <c r="AF309" i="12" s="1"/>
  <c r="AF334" i="12" s="1"/>
  <c r="AA273" i="12"/>
  <c r="AE325" i="12"/>
  <c r="AD267" i="12"/>
  <c r="AW325" i="12"/>
  <c r="M49" i="8" s="1"/>
  <c r="O49" i="8" s="1"/>
  <c r="P49" i="8" s="1"/>
  <c r="AU311" i="12"/>
  <c r="AQ340" i="12"/>
  <c r="AR340" i="12" s="1"/>
  <c r="AS340" i="12" s="1"/>
  <c r="AT340" i="12" s="1"/>
  <c r="AX300" i="12"/>
  <c r="AX309" i="12" s="1"/>
  <c r="AV259" i="12"/>
  <c r="BC259" i="12" s="1"/>
  <c r="AV310" i="12"/>
  <c r="AC259" i="12"/>
  <c r="AC260" i="12" s="1"/>
  <c r="AC261" i="12" s="1"/>
  <c r="AC310" i="12"/>
  <c r="AC311" i="12" s="1"/>
  <c r="AC314" i="12" s="1"/>
  <c r="AC315" i="12" s="1"/>
  <c r="C28" i="8"/>
  <c r="AB311" i="12"/>
  <c r="AV334" i="12"/>
  <c r="CQ265" i="9"/>
  <c r="CP267" i="9"/>
  <c r="AX213" i="12"/>
  <c r="AX276" i="12" s="1"/>
  <c r="BD59" i="12"/>
  <c r="BE59" i="12" s="1"/>
  <c r="BC267" i="12"/>
  <c r="BC194" i="12"/>
  <c r="BC245" i="12"/>
  <c r="BC310" i="12" s="1"/>
  <c r="BC311" i="12" s="1"/>
  <c r="BC314" i="12" s="1"/>
  <c r="AK59" i="12"/>
  <c r="AL59" i="12" s="1"/>
  <c r="AG59" i="12"/>
  <c r="AT260" i="12"/>
  <c r="AT261" i="12" s="1"/>
  <c r="AY196" i="12"/>
  <c r="AG196" i="12"/>
  <c r="AX271" i="12"/>
  <c r="AX103" i="12"/>
  <c r="BB260" i="12"/>
  <c r="AB260" i="12"/>
  <c r="AE252" i="12"/>
  <c r="AE137" i="12"/>
  <c r="AC274" i="12"/>
  <c r="AC275" i="12" s="1"/>
  <c r="AC249" i="12"/>
  <c r="AT274" i="12"/>
  <c r="AT249" i="12"/>
  <c r="AD291" i="12"/>
  <c r="AJ247" i="12"/>
  <c r="AW252" i="12"/>
  <c r="AW137" i="12"/>
  <c r="AY205" i="12"/>
  <c r="AG205" i="12"/>
  <c r="AK196" i="12"/>
  <c r="AL196" i="12" s="1"/>
  <c r="AY202" i="12"/>
  <c r="AZ202" i="12" s="1"/>
  <c r="AG202" i="12"/>
  <c r="AK202" i="12"/>
  <c r="AL202" i="12" s="1"/>
  <c r="AY58" i="12"/>
  <c r="AY300" i="12" s="1"/>
  <c r="AY309" i="12" s="1"/>
  <c r="AF103" i="12"/>
  <c r="AK103" i="12" s="1"/>
  <c r="AL103" i="12" s="1"/>
  <c r="AF271" i="12"/>
  <c r="AG58" i="12"/>
  <c r="AK58" i="12"/>
  <c r="AS273" i="12"/>
  <c r="BB273" i="12" s="1"/>
  <c r="BB274" i="12"/>
  <c r="AV291" i="12"/>
  <c r="BC291" i="12" s="1"/>
  <c r="BC289" i="12"/>
  <c r="AD259" i="12"/>
  <c r="AU274" i="12"/>
  <c r="AU273" i="12" s="1"/>
  <c r="AU261" i="12"/>
  <c r="AU249" i="12"/>
  <c r="AW289" i="12"/>
  <c r="AW194" i="12"/>
  <c r="AW267" i="12" s="1"/>
  <c r="AY203" i="12"/>
  <c r="AZ203" i="12" s="1"/>
  <c r="AG203" i="12"/>
  <c r="AF213" i="12"/>
  <c r="AI261" i="12"/>
  <c r="BB249" i="12"/>
  <c r="AV247" i="12"/>
  <c r="BC137" i="12"/>
  <c r="AE289" i="12"/>
  <c r="AE291" i="12" s="1"/>
  <c r="AF190" i="12"/>
  <c r="AX190" i="12"/>
  <c r="AE194" i="12"/>
  <c r="AE245" i="12" s="1"/>
  <c r="AK205" i="12"/>
  <c r="AL205" i="12" s="1"/>
  <c r="AZ195" i="12"/>
  <c r="BD195" i="12"/>
  <c r="BE195" i="12" s="1"/>
  <c r="BD58" i="12"/>
  <c r="AB275" i="12"/>
  <c r="AD247" i="12"/>
  <c r="AD315" i="12" s="1"/>
  <c r="AS261" i="12"/>
  <c r="AY201" i="12"/>
  <c r="AG201" i="12"/>
  <c r="AJ315" i="12" l="1"/>
  <c r="AJ249" i="12"/>
  <c r="AW334" i="12"/>
  <c r="AX334" i="12" s="1"/>
  <c r="AY334" i="12" s="1"/>
  <c r="AF325" i="12"/>
  <c r="AV335" i="12"/>
  <c r="AV260" i="12"/>
  <c r="AV261" i="12" s="1"/>
  <c r="BC261" i="12" s="1"/>
  <c r="AX325" i="12"/>
  <c r="AY325" i="12" s="1"/>
  <c r="AB314" i="12"/>
  <c r="AB336" i="12"/>
  <c r="AC336" i="12" s="1"/>
  <c r="AD336" i="12" s="1"/>
  <c r="AE259" i="12"/>
  <c r="AE260" i="12" s="1"/>
  <c r="AE310" i="12"/>
  <c r="AE311" i="12" s="1"/>
  <c r="AE314" i="12" s="1"/>
  <c r="AJ259" i="12"/>
  <c r="AV311" i="12"/>
  <c r="AV314" i="12" s="1"/>
  <c r="AV315" i="12" s="1"/>
  <c r="AC335" i="12"/>
  <c r="AD335" i="12" s="1"/>
  <c r="M28" i="8" s="1"/>
  <c r="AY213" i="12"/>
  <c r="BD213" i="12" s="1"/>
  <c r="BE213" i="12" s="1"/>
  <c r="BE58" i="12"/>
  <c r="BE300" i="12" s="1"/>
  <c r="BE309" i="12" s="1"/>
  <c r="BD300" i="12"/>
  <c r="BD309" i="12" s="1"/>
  <c r="AU314" i="12"/>
  <c r="AU336" i="12"/>
  <c r="AL58" i="12"/>
  <c r="AL300" i="12" s="1"/>
  <c r="AL309" i="12" s="1"/>
  <c r="AK300" i="12"/>
  <c r="AK309" i="12" s="1"/>
  <c r="CR265" i="9"/>
  <c r="CR267" i="9" s="1"/>
  <c r="CQ267" i="9"/>
  <c r="AE267" i="12"/>
  <c r="AU275" i="12"/>
  <c r="AU4" i="12" s="1"/>
  <c r="AY276" i="12"/>
  <c r="AZ276" i="12" s="1"/>
  <c r="BB261" i="12"/>
  <c r="AS4" i="12"/>
  <c r="AF289" i="12"/>
  <c r="AY190" i="12"/>
  <c r="BD190" i="12" s="1"/>
  <c r="BE190" i="12" s="1"/>
  <c r="AF194" i="12"/>
  <c r="AG190" i="12"/>
  <c r="AK190" i="12"/>
  <c r="AL190" i="12" s="1"/>
  <c r="AG213" i="12"/>
  <c r="AF245" i="12"/>
  <c r="AK213" i="12"/>
  <c r="AL213" i="12" s="1"/>
  <c r="AT273" i="12"/>
  <c r="AV274" i="12"/>
  <c r="BC274" i="12" s="1"/>
  <c r="AV249" i="12"/>
  <c r="AD260" i="12"/>
  <c r="AD261" i="12" s="1"/>
  <c r="AG271" i="12"/>
  <c r="AK271" i="12"/>
  <c r="AL271" i="12" s="1"/>
  <c r="AZ205" i="12"/>
  <c r="BD205" i="12"/>
  <c r="BE205" i="12" s="1"/>
  <c r="AT275" i="12"/>
  <c r="AE247" i="12"/>
  <c r="AX252" i="12"/>
  <c r="AX137" i="12"/>
  <c r="AJ275" i="12"/>
  <c r="AW291" i="12"/>
  <c r="AD274" i="12"/>
  <c r="AD275" i="12" s="1"/>
  <c r="AD249" i="12"/>
  <c r="AW245" i="12"/>
  <c r="AW310" i="12" s="1"/>
  <c r="AF252" i="12"/>
  <c r="AF137" i="12"/>
  <c r="AG103" i="12"/>
  <c r="BD202" i="12"/>
  <c r="BE202" i="12" s="1"/>
  <c r="AZ201" i="12"/>
  <c r="BD201" i="12"/>
  <c r="BE201" i="12" s="1"/>
  <c r="AX289" i="12"/>
  <c r="AX291" i="12" s="1"/>
  <c r="AX194" i="12"/>
  <c r="AX245" i="12" s="1"/>
  <c r="AY271" i="12"/>
  <c r="AY103" i="12"/>
  <c r="AZ58" i="12"/>
  <c r="BC247" i="12"/>
  <c r="BC315" i="12" s="1"/>
  <c r="AC273" i="12"/>
  <c r="AJ273" i="12" s="1"/>
  <c r="AJ274" i="12"/>
  <c r="AJ260" i="12"/>
  <c r="AB261" i="12"/>
  <c r="AJ261" i="12" s="1"/>
  <c r="AZ196" i="12"/>
  <c r="BD196" i="12"/>
  <c r="BE196" i="12" s="1"/>
  <c r="BD203" i="12"/>
  <c r="BE203" i="12" s="1"/>
  <c r="AW311" i="12" l="1"/>
  <c r="AW314" i="12" s="1"/>
  <c r="C57" i="8"/>
  <c r="F57" i="8" s="1"/>
  <c r="BC260" i="12"/>
  <c r="AE336" i="12"/>
  <c r="AX267" i="12"/>
  <c r="AV336" i="12"/>
  <c r="AX259" i="12"/>
  <c r="AX260" i="12" s="1"/>
  <c r="AX310" i="12"/>
  <c r="AX311" i="12" s="1"/>
  <c r="AX314" i="12" s="1"/>
  <c r="AK245" i="12"/>
  <c r="AF310" i="12"/>
  <c r="AF311" i="12" s="1"/>
  <c r="AF314" i="12" s="1"/>
  <c r="AU315" i="12"/>
  <c r="AU339" i="12"/>
  <c r="AV339" i="12" s="1"/>
  <c r="AW339" i="12" s="1"/>
  <c r="AX339" i="12" s="1"/>
  <c r="AE315" i="12"/>
  <c r="AB315" i="12"/>
  <c r="AB340" i="12" s="1"/>
  <c r="AC340" i="12" s="1"/>
  <c r="AD340" i="12" s="1"/>
  <c r="AB339" i="12"/>
  <c r="AC339" i="12" s="1"/>
  <c r="AD339" i="12" s="1"/>
  <c r="AE339" i="12" s="1"/>
  <c r="AZ213" i="12"/>
  <c r="AE335" i="12"/>
  <c r="AW335" i="12"/>
  <c r="M57" i="8" s="1"/>
  <c r="O57" i="8" s="1"/>
  <c r="P57" i="8" s="1"/>
  <c r="AV275" i="12"/>
  <c r="BC275" i="12" s="1"/>
  <c r="BD276" i="12"/>
  <c r="BE276" i="12" s="1"/>
  <c r="AY252" i="12"/>
  <c r="AY137" i="12"/>
  <c r="BD137" i="12" s="1"/>
  <c r="BE137" i="12" s="1"/>
  <c r="AZ103" i="12"/>
  <c r="BD103" i="12"/>
  <c r="BE103" i="12" s="1"/>
  <c r="AF247" i="12"/>
  <c r="AG137" i="12"/>
  <c r="AK137" i="12"/>
  <c r="AL137" i="12" s="1"/>
  <c r="AF291" i="12"/>
  <c r="AG289" i="12"/>
  <c r="AE274" i="12"/>
  <c r="AE275" i="12" s="1"/>
  <c r="AE261" i="12"/>
  <c r="AE249" i="12"/>
  <c r="AV273" i="12"/>
  <c r="BC273" i="12" s="1"/>
  <c r="AT4" i="12"/>
  <c r="AY289" i="12"/>
  <c r="BD289" i="12" s="1"/>
  <c r="BE289" i="12" s="1"/>
  <c r="AY194" i="12"/>
  <c r="AY267" i="12" s="1"/>
  <c r="AZ190" i="12"/>
  <c r="AW259" i="12"/>
  <c r="AK289" i="12"/>
  <c r="AL289" i="12" s="1"/>
  <c r="AZ271" i="12"/>
  <c r="BD271" i="12"/>
  <c r="BE271" i="12" s="1"/>
  <c r="AW247" i="12"/>
  <c r="AW315" i="12" s="1"/>
  <c r="AG252" i="12"/>
  <c r="AK252" i="12"/>
  <c r="AL252" i="12" s="1"/>
  <c r="AX247" i="12"/>
  <c r="AV4" i="12"/>
  <c r="AF259" i="12"/>
  <c r="AG245" i="12"/>
  <c r="AG194" i="12"/>
  <c r="AK194" i="12"/>
  <c r="AL194" i="12" s="1"/>
  <c r="BC249" i="12"/>
  <c r="AD273" i="12"/>
  <c r="AF267" i="12"/>
  <c r="AW336" i="12" l="1"/>
  <c r="AX336" i="12" s="1"/>
  <c r="AF335" i="12"/>
  <c r="AF339" i="12"/>
  <c r="AX335" i="12"/>
  <c r="AE340" i="12"/>
  <c r="AF315" i="12"/>
  <c r="AX315" i="12"/>
  <c r="C60" i="8"/>
  <c r="AU340" i="12"/>
  <c r="AF336" i="12"/>
  <c r="AL245" i="12"/>
  <c r="AL310" i="12" s="1"/>
  <c r="AL311" i="12" s="1"/>
  <c r="AL314" i="12" s="1"/>
  <c r="AK310" i="12"/>
  <c r="AK311" i="12" s="1"/>
  <c r="AK314" i="12" s="1"/>
  <c r="AG259" i="12"/>
  <c r="AK259" i="12"/>
  <c r="AL259" i="12" s="1"/>
  <c r="AX274" i="12"/>
  <c r="AX273" i="12" s="1"/>
  <c r="AX261" i="12"/>
  <c r="AX249" i="12"/>
  <c r="AZ252" i="12"/>
  <c r="BD252" i="12"/>
  <c r="BE252" i="12" s="1"/>
  <c r="AF260" i="12"/>
  <c r="AF261" i="12" s="1"/>
  <c r="AW260" i="12"/>
  <c r="AW261" i="12" s="1"/>
  <c r="AG267" i="12"/>
  <c r="AK267" i="12"/>
  <c r="AL267" i="12" s="1"/>
  <c r="AZ289" i="12"/>
  <c r="AY291" i="12"/>
  <c r="AG291" i="12"/>
  <c r="AK291" i="12"/>
  <c r="AL291" i="12" s="1"/>
  <c r="AZ137" i="12"/>
  <c r="AF274" i="12"/>
  <c r="AF275" i="12" s="1"/>
  <c r="AF249" i="12"/>
  <c r="AK249" i="12" s="1"/>
  <c r="AL249" i="12" s="1"/>
  <c r="AG247" i="12"/>
  <c r="AK247" i="12"/>
  <c r="AL247" i="12" s="1"/>
  <c r="AZ267" i="12"/>
  <c r="BD267" i="12"/>
  <c r="BE267" i="12" s="1"/>
  <c r="AW274" i="12"/>
  <c r="AW275" i="12" s="1"/>
  <c r="AW249" i="12"/>
  <c r="AZ194" i="12"/>
  <c r="BD194" i="12"/>
  <c r="BE194" i="12" s="1"/>
  <c r="AY245" i="12"/>
  <c r="AY310" i="12" s="1"/>
  <c r="AY311" i="12" s="1"/>
  <c r="AY314" i="12" s="1"/>
  <c r="AE273" i="12"/>
  <c r="AG274" i="12"/>
  <c r="AY335" i="12" l="1"/>
  <c r="AF340" i="12"/>
  <c r="AL315" i="12"/>
  <c r="AY336" i="12"/>
  <c r="AV340" i="12"/>
  <c r="AW340" i="12" s="1"/>
  <c r="AX340" i="12" s="1"/>
  <c r="AK315" i="12"/>
  <c r="AY339" i="12"/>
  <c r="AG275" i="12"/>
  <c r="AK275" i="12"/>
  <c r="AL275" i="12" s="1"/>
  <c r="AF273" i="12"/>
  <c r="AK273" i="12" s="1"/>
  <c r="AL273" i="12" s="1"/>
  <c r="AK274" i="12"/>
  <c r="AL274" i="12" s="1"/>
  <c r="AG260" i="12"/>
  <c r="AK260" i="12"/>
  <c r="AL260" i="12" s="1"/>
  <c r="AZ291" i="12"/>
  <c r="BD291" i="12"/>
  <c r="BE291" i="12" s="1"/>
  <c r="AY259" i="12"/>
  <c r="AZ245" i="12"/>
  <c r="BD245" i="12"/>
  <c r="AW273" i="12"/>
  <c r="AG261" i="12"/>
  <c r="AK261" i="12"/>
  <c r="AL261" i="12" s="1"/>
  <c r="AY247" i="12"/>
  <c r="AY315" i="12" s="1"/>
  <c r="AX275" i="12"/>
  <c r="AX4" i="12" s="1"/>
  <c r="AY340" i="12" l="1"/>
  <c r="M60" i="8" s="1"/>
  <c r="O60" i="8" s="1"/>
  <c r="P60" i="8" s="1"/>
  <c r="BE245" i="12"/>
  <c r="BE310" i="12" s="1"/>
  <c r="BE311" i="12" s="1"/>
  <c r="BE314" i="12" s="1"/>
  <c r="BD310" i="12"/>
  <c r="BD311" i="12" s="1"/>
  <c r="BD314" i="12" s="1"/>
  <c r="AY274" i="12"/>
  <c r="AY275" i="12" s="1"/>
  <c r="AY249" i="12"/>
  <c r="AZ247" i="12"/>
  <c r="BD247" i="12"/>
  <c r="BE247" i="12" s="1"/>
  <c r="AZ259" i="12"/>
  <c r="AY260" i="12"/>
  <c r="AY261" i="12" s="1"/>
  <c r="BD259" i="12"/>
  <c r="BE259" i="12" s="1"/>
  <c r="AW4" i="12"/>
  <c r="BD315" i="12" l="1"/>
  <c r="BE315" i="12"/>
  <c r="AZ275" i="12"/>
  <c r="BD275" i="12"/>
  <c r="BE275" i="12" s="1"/>
  <c r="AZ260" i="12"/>
  <c r="BD260" i="12"/>
  <c r="BE260" i="12" s="1"/>
  <c r="AZ249" i="12"/>
  <c r="BD249" i="12"/>
  <c r="BE249" i="12" s="1"/>
  <c r="AZ261" i="12"/>
  <c r="BD261" i="12"/>
  <c r="BE261" i="12" s="1"/>
  <c r="AY4" i="12"/>
  <c r="AY273" i="12"/>
  <c r="AZ274" i="12"/>
  <c r="BD274" i="12"/>
  <c r="BE274" i="12" s="1"/>
  <c r="AZ273" i="12" l="1"/>
  <c r="BD273" i="12"/>
  <c r="BE273" i="12" s="1"/>
  <c r="Q60" i="8" l="1"/>
  <c r="R60" i="8" s="1"/>
  <c r="Q59" i="8"/>
  <c r="R59" i="8" s="1"/>
  <c r="Q58" i="8"/>
  <c r="R58" i="8" s="1"/>
  <c r="Q57" i="8"/>
  <c r="R57" i="8" s="1"/>
  <c r="E34" i="5" s="1"/>
  <c r="O44" i="8" l="1"/>
  <c r="P44" i="8" s="1"/>
  <c r="H60" i="8"/>
  <c r="I60" i="8" s="1"/>
  <c r="F60" i="8"/>
  <c r="G60" i="8" s="1"/>
  <c r="H59" i="8"/>
  <c r="I59" i="8" s="1"/>
  <c r="F59" i="8"/>
  <c r="G59" i="8" s="1"/>
  <c r="H58" i="8"/>
  <c r="I58" i="8" s="1"/>
  <c r="F58" i="8"/>
  <c r="G58" i="8" s="1"/>
  <c r="E33" i="5"/>
  <c r="H57" i="8"/>
  <c r="G57" i="8"/>
  <c r="Q56" i="8"/>
  <c r="R56" i="8" s="1"/>
  <c r="H56" i="8"/>
  <c r="I56" i="8" s="1"/>
  <c r="F56" i="8"/>
  <c r="G56" i="8" s="1"/>
  <c r="Q55" i="8"/>
  <c r="R55" i="8" s="1"/>
  <c r="H55" i="8"/>
  <c r="I55" i="8" s="1"/>
  <c r="F55" i="8"/>
  <c r="G55" i="8" s="1"/>
  <c r="Q54" i="8"/>
  <c r="R54" i="8" s="1"/>
  <c r="H54" i="8"/>
  <c r="I54" i="8" s="1"/>
  <c r="F54" i="8"/>
  <c r="G54" i="8" s="1"/>
  <c r="Q53" i="8"/>
  <c r="R53" i="8" s="1"/>
  <c r="H53" i="8"/>
  <c r="F53" i="8"/>
  <c r="G53" i="8" s="1"/>
  <c r="Q52" i="8"/>
  <c r="R52" i="8" s="1"/>
  <c r="F52" i="8"/>
  <c r="G52" i="8" s="1"/>
  <c r="D43" i="8"/>
  <c r="D63" i="8" s="1"/>
  <c r="Q51" i="8"/>
  <c r="R51" i="8" s="1"/>
  <c r="H51" i="8"/>
  <c r="I51" i="8" s="1"/>
  <c r="F51" i="8"/>
  <c r="G51" i="8" s="1"/>
  <c r="Q50" i="8"/>
  <c r="R50" i="8" s="1"/>
  <c r="H50" i="8"/>
  <c r="I50" i="8" s="1"/>
  <c r="F50" i="8"/>
  <c r="G50" i="8" s="1"/>
  <c r="Q49" i="8"/>
  <c r="R49" i="8" s="1"/>
  <c r="H49" i="8"/>
  <c r="I49" i="8" s="1"/>
  <c r="F49" i="8"/>
  <c r="G49" i="8" s="1"/>
  <c r="Q48" i="8"/>
  <c r="R48" i="8" s="1"/>
  <c r="H48" i="8"/>
  <c r="I48" i="8" s="1"/>
  <c r="F48" i="8"/>
  <c r="G48" i="8" s="1"/>
  <c r="Q47" i="8"/>
  <c r="R47" i="8" s="1"/>
  <c r="H47" i="8"/>
  <c r="I47" i="8" s="1"/>
  <c r="F47" i="8"/>
  <c r="G47" i="8" s="1"/>
  <c r="Q46" i="8"/>
  <c r="R46" i="8" s="1"/>
  <c r="H46" i="8"/>
  <c r="I46" i="8" s="1"/>
  <c r="F46" i="8"/>
  <c r="G46" i="8" s="1"/>
  <c r="Q45" i="8"/>
  <c r="R45" i="8" s="1"/>
  <c r="H45" i="8"/>
  <c r="I45" i="8" s="1"/>
  <c r="F45" i="8"/>
  <c r="G45" i="8" s="1"/>
  <c r="Q44" i="8"/>
  <c r="R44" i="8" s="1"/>
  <c r="H44" i="8"/>
  <c r="I44" i="8" s="1"/>
  <c r="F44" i="8"/>
  <c r="G44" i="8" s="1"/>
  <c r="N43" i="8"/>
  <c r="L43" i="8"/>
  <c r="E43" i="8"/>
  <c r="E63" i="8" s="1"/>
  <c r="C43" i="8"/>
  <c r="C63" i="8" s="1"/>
  <c r="O18" i="8"/>
  <c r="D51" i="5" s="1"/>
  <c r="O17" i="8"/>
  <c r="D50" i="5" s="1"/>
  <c r="O16" i="8"/>
  <c r="Q18" i="8"/>
  <c r="R18" i="8" s="1"/>
  <c r="Q17" i="8"/>
  <c r="R17" i="8" s="1"/>
  <c r="Q16" i="8"/>
  <c r="R16" i="8" s="1"/>
  <c r="F63" i="8" l="1"/>
  <c r="G63" i="8" s="1"/>
  <c r="H63" i="8"/>
  <c r="I63" i="8" s="1"/>
  <c r="E6" i="5" s="1"/>
  <c r="P16" i="8"/>
  <c r="P17" i="8"/>
  <c r="P18" i="8"/>
  <c r="C61" i="8"/>
  <c r="E61" i="8"/>
  <c r="L61" i="8"/>
  <c r="L63" i="8"/>
  <c r="N61" i="8"/>
  <c r="N63" i="8"/>
  <c r="D61" i="8"/>
  <c r="I53" i="8"/>
  <c r="M43" i="8"/>
  <c r="M63" i="8" s="1"/>
  <c r="H43" i="8"/>
  <c r="H52" i="8"/>
  <c r="I52" i="8" s="1"/>
  <c r="F43" i="8"/>
  <c r="I57" i="8"/>
  <c r="E7" i="5" s="1"/>
  <c r="Q43" i="8"/>
  <c r="Q61" i="8" l="1"/>
  <c r="R61" i="8" s="1"/>
  <c r="E38" i="5" s="1"/>
  <c r="Q63" i="8"/>
  <c r="M61" i="8"/>
  <c r="F77" i="8" s="1"/>
  <c r="F61" i="8"/>
  <c r="G61" i="8" s="1"/>
  <c r="H61" i="8"/>
  <c r="I61" i="8" s="1"/>
  <c r="O43" i="8"/>
  <c r="I43" i="8"/>
  <c r="R43" i="8"/>
  <c r="G43" i="8"/>
  <c r="E10" i="5" l="1"/>
  <c r="P43" i="8"/>
  <c r="O63" i="8"/>
  <c r="P63" i="8" s="1"/>
  <c r="E30" i="5" s="1"/>
  <c r="R63" i="8"/>
  <c r="E31" i="5" s="1"/>
  <c r="O61" i="8"/>
  <c r="P61" i="8" s="1"/>
  <c r="E37" i="5" s="1"/>
  <c r="M12" i="8" l="1"/>
  <c r="M27" i="8" s="1"/>
  <c r="L12" i="8"/>
  <c r="L27" i="8" s="1"/>
  <c r="H21" i="8"/>
  <c r="I21" i="8" s="1"/>
  <c r="F21" i="8"/>
  <c r="G21" i="8" s="1"/>
  <c r="H20" i="8"/>
  <c r="I20" i="8" s="1"/>
  <c r="F20" i="8"/>
  <c r="G20" i="8" s="1"/>
  <c r="H19" i="8"/>
  <c r="F19" i="8"/>
  <c r="G19" i="8" s="1"/>
  <c r="H18" i="8"/>
  <c r="D15" i="5" s="1"/>
  <c r="F18" i="8"/>
  <c r="G18" i="8" s="1"/>
  <c r="H17" i="8"/>
  <c r="F17" i="8"/>
  <c r="G17" i="8" s="1"/>
  <c r="H16" i="8"/>
  <c r="F16" i="8"/>
  <c r="G16" i="8" s="1"/>
  <c r="H15" i="8"/>
  <c r="F15" i="8"/>
  <c r="G15" i="8" s="1"/>
  <c r="H14" i="8"/>
  <c r="I14" i="8" s="1"/>
  <c r="F14" i="8"/>
  <c r="G14" i="8" s="1"/>
  <c r="H13" i="8"/>
  <c r="F13" i="8"/>
  <c r="G13" i="8" s="1"/>
  <c r="E12" i="8"/>
  <c r="E27" i="8" s="1"/>
  <c r="D12" i="8"/>
  <c r="D27" i="8" s="1"/>
  <c r="C12" i="8"/>
  <c r="C27" i="8" s="1"/>
  <c r="O31" i="8"/>
  <c r="P31" i="8" s="1"/>
  <c r="H31" i="8"/>
  <c r="I31" i="8" s="1"/>
  <c r="F31" i="8"/>
  <c r="G31" i="8" s="1"/>
  <c r="E29" i="8"/>
  <c r="D29" i="8"/>
  <c r="C29" i="8"/>
  <c r="M29" i="8"/>
  <c r="H28" i="8"/>
  <c r="F28" i="8"/>
  <c r="G28" i="8" s="1"/>
  <c r="H26" i="8"/>
  <c r="I26" i="8" s="1"/>
  <c r="F26" i="8"/>
  <c r="G26" i="8" s="1"/>
  <c r="Q25" i="8"/>
  <c r="R25" i="8" s="1"/>
  <c r="H25" i="8"/>
  <c r="I25" i="8" s="1"/>
  <c r="F25" i="8"/>
  <c r="G25" i="8" s="1"/>
  <c r="H24" i="8"/>
  <c r="F24" i="8"/>
  <c r="G24" i="8" s="1"/>
  <c r="H23" i="8"/>
  <c r="I23" i="8" s="1"/>
  <c r="F23" i="8"/>
  <c r="G23" i="8" s="1"/>
  <c r="H22" i="8"/>
  <c r="D22" i="5" s="1"/>
  <c r="F22" i="8"/>
  <c r="G22" i="8" s="1"/>
  <c r="H29" i="8" l="1"/>
  <c r="I29" i="8" s="1"/>
  <c r="I24" i="8"/>
  <c r="I16" i="8"/>
  <c r="I17" i="8"/>
  <c r="I18" i="8"/>
  <c r="I15" i="8"/>
  <c r="I22" i="8"/>
  <c r="I13" i="8"/>
  <c r="I19" i="8"/>
  <c r="H12" i="8"/>
  <c r="H27" i="8" s="1"/>
  <c r="N29" i="8"/>
  <c r="Q22" i="8"/>
  <c r="R22" i="8" s="1"/>
  <c r="Q26" i="8"/>
  <c r="R26" i="8" s="1"/>
  <c r="Q28" i="8"/>
  <c r="Q23" i="8"/>
  <c r="R23" i="8" s="1"/>
  <c r="O28" i="8"/>
  <c r="F12" i="8"/>
  <c r="F27" i="8" s="1"/>
  <c r="O26" i="8"/>
  <c r="P26" i="8" s="1"/>
  <c r="O24" i="8"/>
  <c r="D44" i="5" s="1"/>
  <c r="Q24" i="8"/>
  <c r="R24" i="8" s="1"/>
  <c r="Q31" i="8"/>
  <c r="R31" i="8" s="1"/>
  <c r="O25" i="8"/>
  <c r="P25" i="8" s="1"/>
  <c r="I28" i="8"/>
  <c r="D7" i="5" s="1"/>
  <c r="F29" i="8"/>
  <c r="G29" i="8" s="1"/>
  <c r="O22" i="8"/>
  <c r="D42" i="5" s="1"/>
  <c r="O23" i="8"/>
  <c r="P24" i="8" l="1"/>
  <c r="P23" i="8"/>
  <c r="P22" i="8"/>
  <c r="Q29" i="8"/>
  <c r="R29" i="8" s="1"/>
  <c r="R28" i="8"/>
  <c r="D34" i="5" s="1"/>
  <c r="O29" i="8"/>
  <c r="P29" i="8" s="1"/>
  <c r="P28" i="8"/>
  <c r="D33" i="5" s="1"/>
  <c r="G12" i="8"/>
  <c r="G27" i="8"/>
  <c r="I12" i="8"/>
  <c r="I27" i="8"/>
  <c r="D6" i="5" s="1"/>
  <c r="E11" i="5" l="1"/>
  <c r="AO20" i="8"/>
  <c r="AO19" i="8"/>
  <c r="AP19" i="8" l="1"/>
  <c r="AQ19" i="8" s="1"/>
  <c r="N19" i="8"/>
  <c r="Q19" i="8" s="1"/>
  <c r="R19" i="8" s="1"/>
  <c r="AS20" i="8"/>
  <c r="N20" i="8"/>
  <c r="Q20" i="8" s="1"/>
  <c r="R20" i="8" s="1"/>
  <c r="AP20" i="8"/>
  <c r="AQ20" i="8" s="1"/>
  <c r="AR20" i="8"/>
  <c r="AS19" i="8"/>
  <c r="O20" i="8"/>
  <c r="P20" i="8" s="1"/>
  <c r="AR19" i="8"/>
  <c r="O19" i="8"/>
  <c r="D47" i="5" l="1"/>
  <c r="P19" i="8"/>
  <c r="AO14" i="8"/>
  <c r="AS14" i="8" l="1"/>
  <c r="N14" i="8"/>
  <c r="AP14" i="8"/>
  <c r="AQ14" i="8" s="1"/>
  <c r="AR14" i="8"/>
  <c r="AO15" i="8"/>
  <c r="AS15" i="8" l="1"/>
  <c r="N15" i="8"/>
  <c r="Q15" i="8" s="1"/>
  <c r="R15" i="8" s="1"/>
  <c r="Q14" i="8"/>
  <c r="R14" i="8" s="1"/>
  <c r="O14" i="8"/>
  <c r="AP15" i="8"/>
  <c r="AR15" i="8"/>
  <c r="O15" i="8" l="1"/>
  <c r="D45" i="5"/>
  <c r="P14" i="8"/>
  <c r="P15" i="8"/>
  <c r="D46" i="5"/>
  <c r="AQ15" i="8"/>
  <c r="AK12" i="8" l="1"/>
  <c r="AK27" i="8" s="1"/>
  <c r="AO27" i="8" s="1"/>
  <c r="AS27" i="8" s="1"/>
  <c r="AO13" i="8"/>
  <c r="AR13" i="8" l="1"/>
  <c r="AR12" i="8" s="1"/>
  <c r="AR27" i="8" s="1"/>
  <c r="N13" i="8"/>
  <c r="AS13" i="8"/>
  <c r="AP13" i="8"/>
  <c r="AO12" i="8"/>
  <c r="AS12" i="8" s="1"/>
  <c r="O13" i="8"/>
  <c r="N21" i="8" l="1"/>
  <c r="N12" i="8" s="1"/>
  <c r="Q13" i="8"/>
  <c r="R13" i="8" s="1"/>
  <c r="AP12" i="8"/>
  <c r="AQ13" i="8"/>
  <c r="D43" i="5"/>
  <c r="P13" i="8"/>
  <c r="O12" i="8" l="1"/>
  <c r="N27" i="8"/>
  <c r="Q12" i="8"/>
  <c r="O21" i="8"/>
  <c r="P21" i="8" s="1"/>
  <c r="Q21" i="8"/>
  <c r="R21" i="8" s="1"/>
  <c r="AP27" i="8"/>
  <c r="AQ27" i="8" s="1"/>
  <c r="AQ12" i="8"/>
  <c r="F101" i="8"/>
  <c r="F104" i="8" s="1"/>
  <c r="O27" i="8" l="1"/>
  <c r="P27" i="8" s="1"/>
  <c r="D30" i="5" s="1"/>
  <c r="P12" i="8"/>
  <c r="R12" i="8"/>
  <c r="Q27" i="8"/>
  <c r="R27" i="8" s="1"/>
  <c r="D31" i="5" s="1"/>
</calcChain>
</file>

<file path=xl/comments1.xml><?xml version="1.0" encoding="utf-8"?>
<comments xmlns="http://schemas.openxmlformats.org/spreadsheetml/2006/main">
  <authors>
    <author>Author</author>
  </authors>
  <commentList>
    <comment ref="F1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Difference on account of Other Sales &amp; Discount</t>
        </r>
      </text>
    </comment>
  </commentList>
</comments>
</file>

<file path=xl/comments2.xml><?xml version="1.0" encoding="utf-8"?>
<comments xmlns="http://schemas.openxmlformats.org/spreadsheetml/2006/main">
  <authors>
    <author>Jyoti Thorat</author>
    <author>Dipti Malvankar</author>
  </authors>
  <commentList>
    <comment ref="BA25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JB Powder 200 g Pre - B- TBP &amp; JBP 200gm + JBS 100gm COMBO OFFER PACK added.Combo pack realizaton is high.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ITC take over the J&amp;J from March onward.</t>
        </r>
      </text>
    </comment>
    <comment ref="AY80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DERMADEW 50g PS SOAP &amp; Dermadew Lite 50g PS added llite realization is high.
</t>
        </r>
      </text>
    </comment>
    <comment ref="AZ80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DERMADEW 50g PS SOAP &amp; Dermadew Baby Soap 50g PS included.</t>
        </r>
      </text>
    </comment>
    <comment ref="AV86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GALDERMA CETAPHIL SOAP &amp; GALDERMA SOAPEX SOAP included. Cetaphil realiszation is high.
</t>
        </r>
      </text>
    </comment>
    <comment ref="AW86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GALDERMA CETAPHIL SOAP &amp; GALDERMA SOAPEX SOAP included. Cetaphil realiszation is high.
</t>
        </r>
      </text>
    </comment>
    <comment ref="AX86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GALDERMA CETAPHIL SOAP &amp; GALDERMA SOAPEX SOAP included. Cetaphil realiszation is high.
</t>
        </r>
      </text>
    </comment>
    <comment ref="BB86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GALDERMA CETAPHIL SOAP &amp; GALDERMA SOAPEX SOAP included. Cetaphil realiszation is high.
</t>
        </r>
      </text>
    </comment>
    <comment ref="BD86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GALDERMA CETAPHIL SOAP sales only.
</t>
        </r>
      </text>
    </comment>
    <comment ref="BE86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 GALDERMA SOAPEX SOAP sales only.
</t>
        </r>
      </text>
    </comment>
    <comment ref="H106" authorId="1">
      <text>
        <r>
          <rPr>
            <b/>
            <sz val="9"/>
            <color indexed="81"/>
            <rFont val="Tahoma"/>
            <family val="2"/>
          </rPr>
          <t>Dipti Malvankar:</t>
        </r>
        <r>
          <rPr>
            <sz val="9"/>
            <color indexed="81"/>
            <rFont val="Tahoma"/>
            <family val="2"/>
          </rPr>
          <t xml:space="preserve">
Translucent noodles-one time sale to ITC</t>
        </r>
      </text>
    </comment>
    <comment ref="CH106" authorId="1">
      <text>
        <r>
          <rPr>
            <b/>
            <sz val="9"/>
            <color indexed="81"/>
            <rFont val="Tahoma"/>
            <family val="2"/>
          </rPr>
          <t>Dipti Malvankar:</t>
        </r>
        <r>
          <rPr>
            <sz val="9"/>
            <color indexed="81"/>
            <rFont val="Tahoma"/>
            <family val="2"/>
          </rPr>
          <t xml:space="preserve">
Translucent noodles-one time sale to ITC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Vitavon -M and SDM noodles added.
</t>
        </r>
      </text>
    </comment>
    <comment ref="I107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Vitavon -M Noodles.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DFA for PERSONA Noodle.
</t>
        </r>
      </text>
    </comment>
    <comment ref="Q107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DFA for PERSONA Noodle 139mt and vitavon M 1MT. 
</t>
        </r>
      </text>
    </comment>
    <comment ref="R107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DFA for PERSONA Noodle 
. 
</t>
        </r>
      </text>
    </comment>
    <comment ref="P120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GLYCERIN CP.</t>
        </r>
      </text>
    </comment>
    <comment ref="CR128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CMB Others include Amway RM of Rs.0.16cr.
</t>
        </r>
      </text>
    </comment>
    <comment ref="CM129" authorId="0">
      <text>
        <r>
          <rPr>
            <b/>
            <sz val="9"/>
            <color indexed="81"/>
            <rFont val="Tahoma"/>
            <family val="2"/>
          </rPr>
          <t>Jyoti Thorat:</t>
        </r>
        <r>
          <rPr>
            <sz val="9"/>
            <color indexed="81"/>
            <rFont val="Tahoma"/>
            <family val="2"/>
          </rPr>
          <t xml:space="preserve">
1.20cr J&amp;J provision Reversal in Sept15.</t>
        </r>
      </text>
    </comment>
  </commentList>
</comments>
</file>

<file path=xl/comments3.xml><?xml version="1.0" encoding="utf-8"?>
<comments xmlns="http://schemas.openxmlformats.org/spreadsheetml/2006/main">
  <authors>
    <author>Rakhee Kate</author>
  </authors>
  <commentList>
    <comment ref="N175" authorId="0">
      <text>
        <r>
          <rPr>
            <b/>
            <sz val="9"/>
            <color indexed="81"/>
            <rFont val="Tahoma"/>
            <family val="2"/>
          </rPr>
          <t>Rakhee Kate:</t>
        </r>
        <r>
          <rPr>
            <sz val="9"/>
            <color indexed="81"/>
            <rFont val="Tahoma"/>
            <family val="2"/>
          </rPr>
          <t xml:space="preserve">
Syndet noodle
</t>
        </r>
      </text>
    </comment>
  </commentList>
</comments>
</file>

<file path=xl/comments4.xml><?xml version="1.0" encoding="utf-8"?>
<comments xmlns="http://schemas.openxmlformats.org/spreadsheetml/2006/main">
  <authors>
    <author>Sunny Salvi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Sunny Salvi:</t>
        </r>
        <r>
          <rPr>
            <sz val="9"/>
            <color indexed="81"/>
            <rFont val="Tahoma"/>
            <family val="2"/>
          </rPr>
          <t xml:space="preserve">
LL Soaps</t>
        </r>
      </text>
    </comment>
  </commentList>
</comments>
</file>

<file path=xl/sharedStrings.xml><?xml version="1.0" encoding="utf-8"?>
<sst xmlns="http://schemas.openxmlformats.org/spreadsheetml/2006/main" count="2124" uniqueCount="606">
  <si>
    <t>Actual</t>
  </si>
  <si>
    <t>VVF (India) Limited</t>
  </si>
  <si>
    <t>CMB</t>
  </si>
  <si>
    <t xml:space="preserve">Sales Performance </t>
  </si>
  <si>
    <t>Sales Volume</t>
  </si>
  <si>
    <t>Qty. in MT</t>
  </si>
  <si>
    <t>Particulars</t>
  </si>
  <si>
    <t>ABP</t>
  </si>
  <si>
    <t>S&amp;OP</t>
  </si>
  <si>
    <t>Variance             ( ABP  Vs ACT)</t>
  </si>
  <si>
    <t>%</t>
  </si>
  <si>
    <t>Variance           ( SNOP Vs ACT)</t>
  </si>
  <si>
    <t>P.Y</t>
  </si>
  <si>
    <t>Variance           ( PY Vs ACT)</t>
  </si>
  <si>
    <t>% of Change over P.Y</t>
  </si>
  <si>
    <t>SOAPS</t>
  </si>
  <si>
    <t>NOODLES</t>
  </si>
  <si>
    <t>POWDER</t>
  </si>
  <si>
    <t>TOOTH PASTE</t>
  </si>
  <si>
    <t xml:space="preserve">Oleo sales </t>
  </si>
  <si>
    <t>Oleo sales</t>
  </si>
  <si>
    <t>Total</t>
  </si>
  <si>
    <t>Liquid ( No in Lacs )</t>
  </si>
  <si>
    <t>OLEO Sales</t>
  </si>
  <si>
    <t>Sales Value</t>
  </si>
  <si>
    <t>Discount</t>
  </si>
  <si>
    <t>J&amp;J</t>
  </si>
  <si>
    <t>Amway</t>
  </si>
  <si>
    <t>Others</t>
  </si>
  <si>
    <t>Oleo</t>
  </si>
  <si>
    <t>Month Performance :</t>
  </si>
  <si>
    <t>Volume</t>
  </si>
  <si>
    <t>Value</t>
  </si>
  <si>
    <t>SNOP Achievement</t>
  </si>
  <si>
    <t>(Solid)</t>
  </si>
  <si>
    <t>(Liquid)</t>
  </si>
  <si>
    <t>Overall Achievement:                                      </t>
  </si>
  <si>
    <t>SNOP</t>
  </si>
  <si>
    <t>Major SNOP Shortfall</t>
  </si>
  <si>
    <t>-----------------------------------------------------------------</t>
  </si>
  <si>
    <t>YTD Performance :</t>
  </si>
  <si>
    <t>ABP Achievement</t>
  </si>
  <si>
    <t>Growth</t>
  </si>
  <si>
    <t>Overall Achievement</t>
  </si>
  <si>
    <t>Overall Growth</t>
  </si>
  <si>
    <t>Major  ABP Shortfall</t>
  </si>
  <si>
    <t>Volume (MT)</t>
  </si>
  <si>
    <t>Achievement Over ABP</t>
  </si>
  <si>
    <t>Achievement Over SNOP</t>
  </si>
  <si>
    <t>ITC</t>
  </si>
  <si>
    <t>Liquid (No in Lacs)</t>
  </si>
  <si>
    <t>SYNDET</t>
  </si>
  <si>
    <t>H&amp;H</t>
  </si>
  <si>
    <t>Nivea</t>
  </si>
  <si>
    <t>Piramal</t>
  </si>
  <si>
    <t>SOAPS:-</t>
  </si>
  <si>
    <t>D-Mart</t>
  </si>
  <si>
    <t>USA Soap( Keefe&amp; Dial)</t>
  </si>
  <si>
    <t>Rs in Cr</t>
  </si>
  <si>
    <t>Sales Others</t>
  </si>
  <si>
    <t>Soild</t>
  </si>
  <si>
    <t>Q1</t>
  </si>
  <si>
    <t>Q2</t>
  </si>
  <si>
    <t>Q3</t>
  </si>
  <si>
    <t>Q4</t>
  </si>
  <si>
    <t>Variance             ( ABP  Vs SNOP)</t>
  </si>
  <si>
    <t>Variance           ( PY Vs SNOP)</t>
  </si>
  <si>
    <t>Rs in Crores</t>
  </si>
  <si>
    <t>Liquid</t>
  </si>
  <si>
    <t>Rs in Cr.</t>
  </si>
  <si>
    <t>Variance due to Volume</t>
  </si>
  <si>
    <t>Jyothy Lab</t>
  </si>
  <si>
    <t>Henkel</t>
  </si>
  <si>
    <t>RBI</t>
  </si>
  <si>
    <t xml:space="preserve">Variance due to Price </t>
  </si>
  <si>
    <t>Sales Value Variance  analysis -ABP VS Actual</t>
  </si>
  <si>
    <t xml:space="preserve">Actual </t>
  </si>
  <si>
    <t>Liquid ( others)</t>
  </si>
  <si>
    <t xml:space="preserve">*nivea Talc </t>
  </si>
  <si>
    <t xml:space="preserve">*ITC Talc </t>
  </si>
  <si>
    <t xml:space="preserve">*Nivea Talc </t>
  </si>
  <si>
    <t>Estimates ( April 16 to March 17)</t>
  </si>
  <si>
    <t>ACT 16-17</t>
  </si>
  <si>
    <t>ABP ( 16-17)</t>
  </si>
  <si>
    <t>P.Y ( 15-16)</t>
  </si>
  <si>
    <t>VVF Limited</t>
  </si>
  <si>
    <t>CMB Sales Variance</t>
  </si>
  <si>
    <t>Realisation</t>
  </si>
  <si>
    <t>Sales Value (INR Cr.)</t>
  </si>
  <si>
    <t>Variance (ABP Vs ACT)</t>
  </si>
  <si>
    <t>Variance (S&amp;OP Vs ACT)</t>
  </si>
  <si>
    <t>YTD Mar 16  Sales Variance</t>
  </si>
  <si>
    <t>Mar '16 Sales Variance</t>
  </si>
  <si>
    <t>Check for S&amp;OP</t>
  </si>
  <si>
    <t>YTD</t>
  </si>
  <si>
    <t>Month</t>
  </si>
  <si>
    <t>Actual Volume (MT)</t>
  </si>
  <si>
    <t>ABP Volume (MT)</t>
  </si>
  <si>
    <t>S&amp;OP Volume (MT)</t>
  </si>
  <si>
    <t>Actual Realization (INR)</t>
  </si>
  <si>
    <t>ABP Realization (INR)</t>
  </si>
  <si>
    <t>S&amp;OP Realization (INR)</t>
  </si>
  <si>
    <t>Actual Sales (INR Cr)</t>
  </si>
  <si>
    <t>ABP Sales (INR Cr)</t>
  </si>
  <si>
    <t>S&amp;OP Sales (INR Cr)</t>
  </si>
  <si>
    <t>Variation due to Realization (INR Cr) (ABP Vs ACT)</t>
  </si>
  <si>
    <t>Variation due to Volume ABP V/s ACT (INR Cr)</t>
  </si>
  <si>
    <t>Variation due to Realization (INR Cr) (S&amp;OP Vs ACT)</t>
  </si>
  <si>
    <t>Variation due to Volume S&amp;OP V/s ACT (INR Cr)</t>
  </si>
  <si>
    <t>Actual (MT)</t>
  </si>
  <si>
    <t>ABP (MT)</t>
  </si>
  <si>
    <t>S&amp;OP (MT)</t>
  </si>
  <si>
    <t>Difference</t>
  </si>
  <si>
    <t>%age</t>
  </si>
  <si>
    <t>Actual (INR Crs.)</t>
  </si>
  <si>
    <t>ABP (INR Crs.)</t>
  </si>
  <si>
    <t>S&amp;OP (INR Crs.)</t>
  </si>
  <si>
    <t>Actual vs ABP Sales</t>
  </si>
  <si>
    <t>Vari due to Sales Volume (ABP Vs ACT)</t>
  </si>
  <si>
    <t>Variation due to Realization (ABP Vs ACT)</t>
  </si>
  <si>
    <t>Vari due to Sales Volume (S&amp;OP Vs ACT)</t>
  </si>
  <si>
    <t>Variation due to Realization (S&amp;OP Vs ACT)</t>
  </si>
  <si>
    <t>Variation due to Sales Volume (ABP Vs ACT)</t>
  </si>
  <si>
    <t>Variation due to Realization(ABP Vs ACT)</t>
  </si>
  <si>
    <t>Variation due to Mix (S&amp;OP Vs ACT)</t>
  </si>
  <si>
    <t>Product Name</t>
  </si>
  <si>
    <t>Group</t>
  </si>
  <si>
    <t>Customer</t>
  </si>
  <si>
    <t>Product</t>
  </si>
  <si>
    <t>Sku</t>
  </si>
  <si>
    <t>Revised Actual Qty</t>
  </si>
  <si>
    <t>Mix %</t>
  </si>
  <si>
    <t>qty * s&amp;op rate</t>
  </si>
  <si>
    <t>qty * Actual rate</t>
  </si>
  <si>
    <t>JBMS 30g</t>
  </si>
  <si>
    <t>Soaps</t>
  </si>
  <si>
    <t>J &amp; J</t>
  </si>
  <si>
    <t>JBMS</t>
  </si>
  <si>
    <t>30g</t>
  </si>
  <si>
    <t>JBMS 50g</t>
  </si>
  <si>
    <t>50g</t>
  </si>
  <si>
    <t>JBMS 75g</t>
  </si>
  <si>
    <t>75g</t>
  </si>
  <si>
    <t>JBMS 100g</t>
  </si>
  <si>
    <t>100g</t>
  </si>
  <si>
    <t>JBMS 150g</t>
  </si>
  <si>
    <t>150g</t>
  </si>
  <si>
    <t>Blossom 75g</t>
  </si>
  <si>
    <t>Blossom</t>
  </si>
  <si>
    <t>Blossom 50g</t>
  </si>
  <si>
    <t>Blossom 100g</t>
  </si>
  <si>
    <t>Milk-75G</t>
  </si>
  <si>
    <t>Milk</t>
  </si>
  <si>
    <t>Milk-50G</t>
  </si>
  <si>
    <t>Milk-100G</t>
  </si>
  <si>
    <t>SYNDET SAOP- Tiljala</t>
  </si>
  <si>
    <t>Frolix Syndet Bar 75G</t>
  </si>
  <si>
    <t>Frolix Syndet Bar</t>
  </si>
  <si>
    <t>JB Powder 40g</t>
  </si>
  <si>
    <t>Powder</t>
  </si>
  <si>
    <t>J&amp;J Prickly heat Powder</t>
  </si>
  <si>
    <t>40g</t>
  </si>
  <si>
    <t>JB Powder 100g</t>
  </si>
  <si>
    <t>Talcum Powder 30g</t>
  </si>
  <si>
    <t>Talcum Powder</t>
  </si>
  <si>
    <t>Talcum Powder 50g</t>
  </si>
  <si>
    <t>Talcum Powder 100g</t>
  </si>
  <si>
    <t>Talcum Powder 200g</t>
  </si>
  <si>
    <t>200g</t>
  </si>
  <si>
    <t>Talcum Powder 400g</t>
  </si>
  <si>
    <t>400g</t>
  </si>
  <si>
    <t>Talcum Powder 700g</t>
  </si>
  <si>
    <t>700g</t>
  </si>
  <si>
    <t>JBP Blossom 50 gm</t>
  </si>
  <si>
    <t>JBP Blossom 100 gm</t>
  </si>
  <si>
    <t>JBP Blossom 200 gm</t>
  </si>
  <si>
    <t>J&amp;J Total</t>
  </si>
  <si>
    <t>Savlon 50g</t>
  </si>
  <si>
    <t>Savlon</t>
  </si>
  <si>
    <t>50 g</t>
  </si>
  <si>
    <t>Savlon 75g</t>
  </si>
  <si>
    <t>Savlon 125g</t>
  </si>
  <si>
    <t>125g</t>
  </si>
  <si>
    <t>Shower to Shower 75g</t>
  </si>
  <si>
    <t>Shower to Shower</t>
  </si>
  <si>
    <t>Shower to Shower 150g</t>
  </si>
  <si>
    <t>Shower to Shower 300g</t>
  </si>
  <si>
    <t>300g</t>
  </si>
  <si>
    <t>ITC  Total</t>
  </si>
  <si>
    <t>Ranbaxy 100G</t>
  </si>
  <si>
    <t>Ranbaxy</t>
  </si>
  <si>
    <t>MED Soaps</t>
  </si>
  <si>
    <t>Medicated Soap 100g</t>
  </si>
  <si>
    <t>Glenmark</t>
  </si>
  <si>
    <t>Medicated Soap 50g</t>
  </si>
  <si>
    <t>Amway 75 g</t>
  </si>
  <si>
    <t>Persona Soap</t>
  </si>
  <si>
    <t xml:space="preserve">Amway  75GX3 </t>
  </si>
  <si>
    <t>Soaps (L&amp;L)</t>
  </si>
  <si>
    <t>Pfizer 75 g</t>
  </si>
  <si>
    <t>Pfizer</t>
  </si>
  <si>
    <t>Neko Soap</t>
  </si>
  <si>
    <t xml:space="preserve">NIVEA 50G </t>
  </si>
  <si>
    <t>Nivea Soaps</t>
  </si>
  <si>
    <t xml:space="preserve">NIVEA 75G </t>
  </si>
  <si>
    <t xml:space="preserve">NIVEA 125G </t>
  </si>
  <si>
    <t xml:space="preserve">Nivea Powder 100G </t>
  </si>
  <si>
    <t>Nivea Powder</t>
  </si>
  <si>
    <t xml:space="preserve">Nivea Powder 400G </t>
  </si>
  <si>
    <t>NPIL 68 g</t>
  </si>
  <si>
    <t>NPIL</t>
  </si>
  <si>
    <t>Tetmosol</t>
  </si>
  <si>
    <t>68g</t>
  </si>
  <si>
    <t>NPIL 75 g</t>
  </si>
  <si>
    <t>NPIL 100 g</t>
  </si>
  <si>
    <t>Neem 35g</t>
  </si>
  <si>
    <t>Jyothi</t>
  </si>
  <si>
    <t>Neem</t>
  </si>
  <si>
    <t>35g</t>
  </si>
  <si>
    <t>Neem 90g</t>
  </si>
  <si>
    <t>90g</t>
  </si>
  <si>
    <t>Neem 70g</t>
  </si>
  <si>
    <t>70g</t>
  </si>
  <si>
    <t>Neem 100g</t>
  </si>
  <si>
    <t>Neem Tooth Paste 100G</t>
  </si>
  <si>
    <t>Toothpaste</t>
  </si>
  <si>
    <t xml:space="preserve">Neem Tooth Paste </t>
  </si>
  <si>
    <t>Neem Tooth Paste 125G</t>
  </si>
  <si>
    <t>Neem Tooth Paste 200G</t>
  </si>
  <si>
    <t>Colgate</t>
  </si>
  <si>
    <t>Toothpowder</t>
  </si>
  <si>
    <t>Oriflame100g</t>
  </si>
  <si>
    <t>Oriflame M&amp;H Soaps</t>
  </si>
  <si>
    <t>Oriflame75g</t>
  </si>
  <si>
    <t>Oriflame 400g Powder</t>
  </si>
  <si>
    <t>Weave 75G</t>
  </si>
  <si>
    <t>Bal Gopal</t>
  </si>
  <si>
    <t>75G</t>
  </si>
  <si>
    <t>Mary Kay 100G</t>
  </si>
  <si>
    <t>Mary Kay Cosmetics</t>
  </si>
  <si>
    <t>Lotus &amp; Bamboo soaps</t>
  </si>
  <si>
    <t>Shalina Laboratories 125G</t>
  </si>
  <si>
    <t>Shalina Laboratories</t>
  </si>
  <si>
    <t>Germol Soaps</t>
  </si>
  <si>
    <t>Shalina Laboratories 75G</t>
  </si>
  <si>
    <t>White O Shape 100G</t>
  </si>
  <si>
    <t>Sahara</t>
  </si>
  <si>
    <t>White O Shape</t>
  </si>
  <si>
    <t>Pink O Shape 100G</t>
  </si>
  <si>
    <t>Pink O Shape</t>
  </si>
  <si>
    <t>Red D Shape 75G</t>
  </si>
  <si>
    <t xml:space="preserve">Red D Shape </t>
  </si>
  <si>
    <t>Yellow D Shape 75G</t>
  </si>
  <si>
    <t xml:space="preserve">Yellow D Shape </t>
  </si>
  <si>
    <t>PZ Cussions 75G</t>
  </si>
  <si>
    <t>PZ Cussions</t>
  </si>
  <si>
    <t>Inperial Leather</t>
  </si>
  <si>
    <t>PZ Cussions 125G</t>
  </si>
  <si>
    <t>Aramusk 75g</t>
  </si>
  <si>
    <t>Wipro</t>
  </si>
  <si>
    <t xml:space="preserve">Aramusk </t>
  </si>
  <si>
    <t xml:space="preserve"> 75 gm</t>
  </si>
  <si>
    <t>Dmart Tranaparent</t>
  </si>
  <si>
    <t>DMART</t>
  </si>
  <si>
    <t>Tranaparent</t>
  </si>
  <si>
    <t>125 g</t>
  </si>
  <si>
    <t>Dmart Sandal</t>
  </si>
  <si>
    <t>Sandal</t>
  </si>
  <si>
    <t>100x4</t>
  </si>
  <si>
    <t>Dmart White Dove type soap</t>
  </si>
  <si>
    <t>White Dove type soap</t>
  </si>
  <si>
    <t>75 g</t>
  </si>
  <si>
    <t>Keefe</t>
  </si>
  <si>
    <t>Heritage 5 oz Translucent and antibacterial</t>
  </si>
  <si>
    <t>142g</t>
  </si>
  <si>
    <t>Dermadew 75g</t>
  </si>
  <si>
    <t>Dermadew</t>
  </si>
  <si>
    <t xml:space="preserve"> 75 g</t>
  </si>
  <si>
    <t>Dermadew 50g</t>
  </si>
  <si>
    <t xml:space="preserve"> 50 g</t>
  </si>
  <si>
    <t>Dermadew Acne 75G</t>
  </si>
  <si>
    <t>Kz Soap 75 G</t>
  </si>
  <si>
    <t>H&amp;H Mite 75g</t>
  </si>
  <si>
    <t>HH Mite</t>
  </si>
  <si>
    <t>H&amp;H Lite 75g</t>
  </si>
  <si>
    <t>HH Lite</t>
  </si>
  <si>
    <t>H&amp;H LS Dew 75g</t>
  </si>
  <si>
    <t>LS DEW Soap 75 G</t>
  </si>
  <si>
    <t>Galdrema 75g</t>
  </si>
  <si>
    <t xml:space="preserve">Galderma </t>
  </si>
  <si>
    <t>Others Total</t>
  </si>
  <si>
    <t>Domestic total</t>
  </si>
  <si>
    <t>Hawai 100 g</t>
  </si>
  <si>
    <t>Hawai Soaps</t>
  </si>
  <si>
    <t>J&amp;J-75g</t>
  </si>
  <si>
    <t>J&amp;J VIP/Savlon</t>
  </si>
  <si>
    <t>J&amp;J-100g</t>
  </si>
  <si>
    <t>Dial Fresh Cut Blossom</t>
  </si>
  <si>
    <t>Henkel USA</t>
  </si>
  <si>
    <t>DI Bar FrshCt Blossom 24/1 8 oz</t>
  </si>
  <si>
    <t>240 g</t>
  </si>
  <si>
    <t>Dial Fresh Cut Citrus</t>
  </si>
  <si>
    <t>DI Bar FrshCt Citrus 24/1 8 oz</t>
  </si>
  <si>
    <t>Dial Fresh Cut Grass</t>
  </si>
  <si>
    <t>DI Bar FrshCt Grass 24/1 8 oz</t>
  </si>
  <si>
    <t>Next 1 Moisturising bar</t>
  </si>
  <si>
    <t xml:space="preserve">Next 1 Anti Bacterial Menthol &amp; Taurine </t>
  </si>
  <si>
    <t>Next 1 Anti-Bacterial Sport Bar Blue</t>
  </si>
  <si>
    <t>Next 1 Anti Bacterial Sport Bar White</t>
  </si>
  <si>
    <t>Softsens Bath Soap</t>
  </si>
  <si>
    <t>Exports Total</t>
  </si>
  <si>
    <t>Noodles-Reg</t>
  </si>
  <si>
    <t>Noodles</t>
  </si>
  <si>
    <t>Reckitt</t>
  </si>
  <si>
    <t>Vitavon AL</t>
  </si>
  <si>
    <t>Noodles-Skc</t>
  </si>
  <si>
    <t>Vitavon FFA</t>
  </si>
  <si>
    <t>HUL</t>
  </si>
  <si>
    <t>Premium Noodle</t>
  </si>
  <si>
    <t>ITC-Noodles</t>
  </si>
  <si>
    <t>Noodles - ITC</t>
  </si>
  <si>
    <t>Le chat/SDM/Vitavon M/Vitavon</t>
  </si>
  <si>
    <t>others</t>
  </si>
  <si>
    <t>Noodles DomesticTotal</t>
  </si>
  <si>
    <t>Noodles-Reg-Exp</t>
  </si>
  <si>
    <t>Noodles - Reg</t>
  </si>
  <si>
    <t>Noodles-Skc-Exp</t>
  </si>
  <si>
    <t>Noodles - Skc</t>
  </si>
  <si>
    <t>FA Saudi</t>
  </si>
  <si>
    <t>Green Planet(Dubai)</t>
  </si>
  <si>
    <t>Noodles-Hawai</t>
  </si>
  <si>
    <t>Syndet</t>
  </si>
  <si>
    <t>Syndet Noodles</t>
  </si>
  <si>
    <t>Le chat/SDM/Vitavon M</t>
  </si>
  <si>
    <t>Pharma</t>
  </si>
  <si>
    <t>Noodles Export Total</t>
  </si>
  <si>
    <t xml:space="preserve"> Total( A)</t>
  </si>
  <si>
    <t>Pitch</t>
  </si>
  <si>
    <t>Chemicals</t>
  </si>
  <si>
    <t>DFA</t>
  </si>
  <si>
    <t>Bleached Glycerine</t>
  </si>
  <si>
    <t>Crude Glycerine</t>
  </si>
  <si>
    <t>Oleo Chemicals Total (B)</t>
  </si>
  <si>
    <t>Vita (Liquid &amp; Noodle) (No. in Lacs)</t>
  </si>
  <si>
    <t>Sales Others (C)</t>
  </si>
  <si>
    <t>Discount( D)</t>
  </si>
  <si>
    <t>Grand Total(E=A+B+C+D)</t>
  </si>
  <si>
    <t>Discount &amp; Others</t>
  </si>
  <si>
    <t>TOTAL</t>
  </si>
  <si>
    <t>Check</t>
  </si>
  <si>
    <t>Domestic</t>
  </si>
  <si>
    <t xml:space="preserve">Soaps </t>
  </si>
  <si>
    <t>Liquid Chemicals</t>
  </si>
  <si>
    <t>Vita (Liquid &amp; Noodle)</t>
  </si>
  <si>
    <t>Export</t>
  </si>
  <si>
    <t>Total Domestic &amp; Export) :-</t>
  </si>
  <si>
    <t>AMWAY</t>
  </si>
  <si>
    <t>PIRAMAL</t>
  </si>
  <si>
    <t>OTHERS</t>
  </si>
  <si>
    <t>SOAP LL</t>
  </si>
  <si>
    <t>J&amp;J POWDER</t>
  </si>
  <si>
    <t xml:space="preserve"> ITC POWDER</t>
  </si>
  <si>
    <t>SOAP NOODLES</t>
  </si>
  <si>
    <t>HENKEL SOAD</t>
  </si>
  <si>
    <t>Tooth Paste</t>
  </si>
  <si>
    <t>Jyothi INDIA</t>
  </si>
  <si>
    <t>Oleo Chemicals</t>
  </si>
  <si>
    <t xml:space="preserve">   </t>
  </si>
  <si>
    <t xml:space="preserve">  </t>
  </si>
  <si>
    <t xml:space="preserve"> </t>
  </si>
  <si>
    <t xml:space="preserve">      </t>
  </si>
  <si>
    <t xml:space="preserve">     </t>
  </si>
  <si>
    <t>*Amway DFA Noodle</t>
  </si>
  <si>
    <t>Input Cells (To Be Filled)</t>
  </si>
  <si>
    <t xml:space="preserve">CMB FY 2016-17 Sales Volume Forecasts - Customer Product Wise Breakup </t>
  </si>
  <si>
    <t>(All figures in MT)</t>
  </si>
  <si>
    <t>Costing codes</t>
  </si>
  <si>
    <t>FY 13 (Actual)</t>
  </si>
  <si>
    <t>FY 14 (Actual)</t>
  </si>
  <si>
    <t>FY 15 (Actual)</t>
  </si>
  <si>
    <t>Growth FY 14 (%)</t>
  </si>
  <si>
    <t>April-Dec 15 (Actual)</t>
  </si>
  <si>
    <t>March 16 (Estimated)</t>
  </si>
  <si>
    <t>FY 16 (Estimated)</t>
  </si>
  <si>
    <t>Estimated Growth (%)</t>
  </si>
  <si>
    <t>FY 17 (Projected)</t>
  </si>
  <si>
    <t>Projected  Growth (%)</t>
  </si>
  <si>
    <t>Realisation/MT</t>
  </si>
  <si>
    <t>QI</t>
  </si>
  <si>
    <t>QII</t>
  </si>
  <si>
    <t>QIII</t>
  </si>
  <si>
    <t>QIV</t>
  </si>
  <si>
    <t>SYNDET SAOP 75g</t>
  </si>
  <si>
    <t>Clean &amp; Clear</t>
  </si>
  <si>
    <t>White  100G</t>
  </si>
  <si>
    <t>White Soap</t>
  </si>
  <si>
    <t>95g</t>
  </si>
  <si>
    <t>Nutricare 70G</t>
  </si>
  <si>
    <t>Nutricare</t>
  </si>
  <si>
    <t>Nutricare 95G</t>
  </si>
  <si>
    <t>Margo Gly 70g</t>
  </si>
  <si>
    <t xml:space="preserve">Margo Gly </t>
  </si>
  <si>
    <t>Transluscent</t>
  </si>
  <si>
    <t>FA 75 g</t>
  </si>
  <si>
    <t>FA</t>
  </si>
  <si>
    <t>LS DEW Soap</t>
  </si>
  <si>
    <t>Medicated Soap</t>
  </si>
  <si>
    <t>Personna</t>
  </si>
  <si>
    <t>NPIL 75 g-TRI Active</t>
  </si>
  <si>
    <t>Tetmo Active</t>
  </si>
  <si>
    <t>Med Soap</t>
  </si>
  <si>
    <t>Neko</t>
  </si>
  <si>
    <t>Karnataka Soaps</t>
  </si>
  <si>
    <t>Mysore Rose</t>
  </si>
  <si>
    <t>Imperial</t>
  </si>
  <si>
    <t>Germol</t>
  </si>
  <si>
    <t xml:space="preserve">Silver Oak Laboratories </t>
  </si>
  <si>
    <t>Oriflame</t>
  </si>
  <si>
    <t>Oriflame75g rose</t>
  </si>
  <si>
    <t>Soapex 75 g</t>
  </si>
  <si>
    <t>Cetaphil 75 g</t>
  </si>
  <si>
    <t xml:space="preserve">Weave </t>
  </si>
  <si>
    <t>Aramusk</t>
  </si>
  <si>
    <t>Dmart Tranaparent 125 g</t>
  </si>
  <si>
    <t>Dmart Sandal 100x4</t>
  </si>
  <si>
    <t>Dmart White Dove type soap 75 g</t>
  </si>
  <si>
    <t>Grace Soap</t>
  </si>
  <si>
    <t>Lux Type 75 g</t>
  </si>
  <si>
    <t>Lux Type</t>
  </si>
  <si>
    <t>Medimix Type 75 g</t>
  </si>
  <si>
    <t>Medimix Type</t>
  </si>
  <si>
    <t>L&amp;C-Petals (Rose) 75G</t>
  </si>
  <si>
    <t>Trent</t>
  </si>
  <si>
    <t>L&amp;C-Petals (Rose)</t>
  </si>
  <si>
    <t>L&amp;C-Milk &amp; Honey 75G</t>
  </si>
  <si>
    <t>L&amp;C-Milk &amp; Honey</t>
  </si>
  <si>
    <t>Pears Equivalent (Toor) 75g</t>
  </si>
  <si>
    <t>Marya Day( Alza Chemicals)</t>
  </si>
  <si>
    <t>Pears Equivalent (Toor)</t>
  </si>
  <si>
    <t>75gm</t>
  </si>
  <si>
    <t>Pears Equivalent (Toor)125 g</t>
  </si>
  <si>
    <t>125gm</t>
  </si>
  <si>
    <t>Lux Strawberry Equivalent (Laray) 75g</t>
  </si>
  <si>
    <t>Lux Strawberry Equivalent (Laray)</t>
  </si>
  <si>
    <t>Lux Strawberry Equivalent (Laray) 125 g</t>
  </si>
  <si>
    <t>Health Soap - Uhad 60g</t>
  </si>
  <si>
    <t>Health Soap - Uhad</t>
  </si>
  <si>
    <t>60gm</t>
  </si>
  <si>
    <t>Pears Equivalent (Avelia) 75g</t>
  </si>
  <si>
    <t>Medplus</t>
  </si>
  <si>
    <t>Pears Equivalent (Avelia)</t>
  </si>
  <si>
    <t>Cream with shea butter 75g</t>
  </si>
  <si>
    <t>Transparent Soap 125</t>
  </si>
  <si>
    <t>Transparent Soap</t>
  </si>
  <si>
    <t>White wrapped Soap 65g</t>
  </si>
  <si>
    <t>White wrapped Soap</t>
  </si>
  <si>
    <t>65gm</t>
  </si>
  <si>
    <t>Opaque wrapped Soap 75g</t>
  </si>
  <si>
    <t>Godrej</t>
  </si>
  <si>
    <t>Opaque wrapped Soap</t>
  </si>
  <si>
    <t>Syndet Bar</t>
  </si>
  <si>
    <t>Curatio</t>
  </si>
  <si>
    <t>Syndet Soap</t>
  </si>
  <si>
    <t>100gm</t>
  </si>
  <si>
    <t>Soaps Total</t>
  </si>
  <si>
    <t>JB PH Powder</t>
  </si>
  <si>
    <t>Talcum Powder 30g new</t>
  </si>
  <si>
    <t>Nivea Talc - Musk</t>
  </si>
  <si>
    <t xml:space="preserve">Nivea </t>
  </si>
  <si>
    <t>Nivea Talc - Pure</t>
  </si>
  <si>
    <t>400gm</t>
  </si>
  <si>
    <t>Oriflame 400g</t>
  </si>
  <si>
    <t>Powder Total</t>
  </si>
  <si>
    <t>NPIL 75 g-LL</t>
  </si>
  <si>
    <t>LL-Soaps</t>
  </si>
  <si>
    <t>ITC 50 g</t>
  </si>
  <si>
    <t>Superia</t>
  </si>
  <si>
    <t>ITC 100 g</t>
  </si>
  <si>
    <t>ITC 120 g</t>
  </si>
  <si>
    <t>120g</t>
  </si>
  <si>
    <t>ITC 125 g</t>
  </si>
  <si>
    <t>LL-Soaps Total</t>
  </si>
  <si>
    <t>Neem Toothpaste</t>
  </si>
  <si>
    <t>Toothpaste Total</t>
  </si>
  <si>
    <t>Hawaii</t>
  </si>
  <si>
    <t>Transmacro</t>
  </si>
  <si>
    <t>Beach Mist Soaps</t>
  </si>
  <si>
    <t xml:space="preserve">SYMBA-80g </t>
  </si>
  <si>
    <t>DMA Miami, USA</t>
  </si>
  <si>
    <t>Symba</t>
  </si>
  <si>
    <t>80g</t>
  </si>
  <si>
    <t>DI Bar  Blossom</t>
  </si>
  <si>
    <t xml:space="preserve">DI Bar Citrus </t>
  </si>
  <si>
    <t xml:space="preserve">DI Bar  Grass </t>
  </si>
  <si>
    <t>Liquids</t>
  </si>
  <si>
    <t>Lotions</t>
  </si>
  <si>
    <t>Shampoo</t>
  </si>
  <si>
    <t>Liquids Total</t>
  </si>
  <si>
    <t>Noodles - AL</t>
  </si>
  <si>
    <t>Reg</t>
  </si>
  <si>
    <t>Noodles - FFA</t>
  </si>
  <si>
    <t>Skc</t>
  </si>
  <si>
    <t>Neem Noodle</t>
  </si>
  <si>
    <t>Noodles - Neem</t>
  </si>
  <si>
    <t>Noodles-TL</t>
  </si>
  <si>
    <t>Fa Saudi</t>
  </si>
  <si>
    <t>Hawaii-Noodles</t>
  </si>
  <si>
    <t>Noodles Total</t>
  </si>
  <si>
    <t>Oleo Chemicals Total</t>
  </si>
  <si>
    <t>Liquid (No. in Lacs)</t>
  </si>
  <si>
    <t>Dettol Antiseptic Liq 60 ML</t>
  </si>
  <si>
    <t>Dettol Antiseptic Liq 110 ML</t>
  </si>
  <si>
    <t>Dettol Antiseptic Liq 200 ML</t>
  </si>
  <si>
    <t>DETTOL ANTISEPTIC LIQUID 5 LTR</t>
  </si>
  <si>
    <t>Dettol Handsanitzer Liq 50 ML</t>
  </si>
  <si>
    <t>Dettol Handsanitizer Liq 200 ML</t>
  </si>
  <si>
    <t>C&amp;C FruitEss FaceWash(Apple)20 ml-Chain</t>
  </si>
  <si>
    <t>C&amp;C FruitEss FaceWash(Lemon)20 ml-Chain</t>
  </si>
  <si>
    <t>C&amp;C FruitEss FaceWash(Berry)20 ml-Chain</t>
  </si>
  <si>
    <t xml:space="preserve">C&amp;C Facial Wash 150ml </t>
  </si>
  <si>
    <t xml:space="preserve">C&amp;C Facial Wash 100ml </t>
  </si>
  <si>
    <t xml:space="preserve">C&amp;C Facial Wash 50ml </t>
  </si>
  <si>
    <t xml:space="preserve">C&amp;C Facial Wash 20ml </t>
  </si>
  <si>
    <t>C&amp;C FacialWash 20 ml Rethink(Chain Pack)10+2 Offer</t>
  </si>
  <si>
    <t>JB OIL 50 ML STANDI POUCH WITH VITAMIN E</t>
  </si>
  <si>
    <t>JB Natural Oil  50 ml</t>
  </si>
  <si>
    <t>JB Natural Oil 100 ml</t>
  </si>
  <si>
    <t>JB NMT Shampoo 20 ml  LCO</t>
  </si>
  <si>
    <t>J&amp;J - Bottle FW - Liquid-50 ML ( Export)</t>
  </si>
  <si>
    <t>J&amp;J - Bottle FW - Liquid -100 ML ( Export)</t>
  </si>
  <si>
    <t>J&amp;J - Bottle Sampoo - Liquid -100 ML ( Export)</t>
  </si>
  <si>
    <t>J&amp;J - Bottle Oil - Liquid -50 ML ( Export)</t>
  </si>
  <si>
    <t>Instaclenz HS</t>
  </si>
  <si>
    <t>Virchow</t>
  </si>
  <si>
    <t>Frigerm HS</t>
  </si>
  <si>
    <t>Kepler</t>
  </si>
  <si>
    <t>Nycil Liquid 100 ml</t>
  </si>
  <si>
    <t>Heinz</t>
  </si>
  <si>
    <t>Mouthwash -500</t>
  </si>
  <si>
    <t>Ari Healthcare</t>
  </si>
  <si>
    <t>Hand RUB</t>
  </si>
  <si>
    <t>Liquid-Hand RUB</t>
  </si>
  <si>
    <t>Bactorub 100ml</t>
  </si>
  <si>
    <t>Raman&amp;Weils</t>
  </si>
  <si>
    <t>Bactorub 500ml</t>
  </si>
  <si>
    <t>Bactorub 5L</t>
  </si>
  <si>
    <t>Mibelle Body lotion 300ml</t>
  </si>
  <si>
    <t>Mibelle</t>
  </si>
  <si>
    <t>Mibelle Body wash 300ml</t>
  </si>
  <si>
    <t>Mibelle Shampoo 125ml</t>
  </si>
  <si>
    <t>Mibelle Face wash 125ml</t>
  </si>
  <si>
    <t>Hand cleanser ( Sanitiser )50ml</t>
  </si>
  <si>
    <t>Hand Wash - Pump 50ml</t>
  </si>
  <si>
    <t>Hand Wash - Foamer 250ml</t>
  </si>
  <si>
    <t>Hand Wash - re-fill pouche 900ml</t>
  </si>
  <si>
    <t>Hand Wash - re-fill pouche 200ml</t>
  </si>
  <si>
    <t>Apollo 50 ml</t>
  </si>
  <si>
    <t>Apollo 100 ml</t>
  </si>
  <si>
    <t>Grand Total</t>
  </si>
  <si>
    <t>Summary - Group</t>
  </si>
  <si>
    <t>Soaps (P2P)</t>
  </si>
  <si>
    <t>Business Developemnt</t>
  </si>
  <si>
    <t>MT</t>
  </si>
  <si>
    <t>Rs Cr</t>
  </si>
  <si>
    <t>D-mart</t>
  </si>
  <si>
    <t>ALZA</t>
  </si>
  <si>
    <t>Med Plus</t>
  </si>
  <si>
    <t xml:space="preserve">J&amp;J </t>
  </si>
  <si>
    <t>Raman &amp; Weils</t>
  </si>
  <si>
    <t xml:space="preserve">RB </t>
  </si>
  <si>
    <t>Remark</t>
  </si>
  <si>
    <t>JNJ</t>
  </si>
  <si>
    <t>ITC White Soap</t>
  </si>
  <si>
    <t>Noodle</t>
  </si>
  <si>
    <t>DQ                   ( EST)</t>
  </si>
  <si>
    <t>*JNJ Talc</t>
  </si>
  <si>
    <t>*Oriflame Talc</t>
  </si>
  <si>
    <t>ABP Vs Actual Shortfall</t>
  </si>
  <si>
    <t>Soap Others</t>
  </si>
  <si>
    <t>Marya day</t>
  </si>
  <si>
    <t>MHS Pharma</t>
  </si>
  <si>
    <t>Liquids In Lakhs</t>
  </si>
  <si>
    <t>Pfizer Soap</t>
  </si>
  <si>
    <t>D'Mart</t>
  </si>
  <si>
    <t>Estimates ( Jan'17 to Mar'17)</t>
  </si>
  <si>
    <t>JAN (ACT)</t>
  </si>
  <si>
    <t>RBI Liquid (nos. in lakhs)</t>
  </si>
  <si>
    <t>Piramal soap</t>
  </si>
  <si>
    <t>H&amp;H Soap</t>
  </si>
  <si>
    <t>Estimates ABP Vs Actual 17-18</t>
  </si>
  <si>
    <t>ABP 17-18</t>
  </si>
  <si>
    <t>FEB (ACT)</t>
  </si>
  <si>
    <t>FTM  March'17</t>
  </si>
  <si>
    <t>YTD March '17</t>
  </si>
  <si>
    <t>MAR (Actual)</t>
  </si>
  <si>
    <t>ABP Sales YTD  Mar'17</t>
  </si>
  <si>
    <t xml:space="preserve">YTD Mar'17 </t>
  </si>
  <si>
    <t>Oriflame Talc</t>
  </si>
  <si>
    <t>ITC Talc</t>
  </si>
  <si>
    <t>Jyothi Noodle</t>
  </si>
  <si>
    <t>JNJ Talc</t>
  </si>
  <si>
    <t>JNJ Soap</t>
  </si>
  <si>
    <t>Estimates ( Apr'17 to Jun'17)</t>
  </si>
  <si>
    <t>Apr (SNOP)</t>
  </si>
  <si>
    <t>May (SNOP)</t>
  </si>
  <si>
    <t>June (SNOP)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</si>
</sst>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??_ ;_ @_ "/>
    <numFmt numFmtId="167" formatCode="_(* #,##0_);_(* \(#,##0\);_(* &quot;-&quot;??_);_(@_)"/>
    <numFmt numFmtId="168" formatCode="_ * #,##0.0_ ;_ * \-#,##0.0_ ;_ * &quot;-&quot;??_ ;_ @_ "/>
    <numFmt numFmtId="169" formatCode="0.000%"/>
    <numFmt numFmtId="170" formatCode="&quot;Rs.&quot;\ #,##0.00_);\(&quot;Rs.&quot;\ #,##0.00\)"/>
    <numFmt numFmtId="171" formatCode="_(&quot;Rs.&quot;\ * #,##0_);_(&quot;Rs.&quot;\ * \(#,##0\);_(&quot;Rs.&quot;\ * &quot;-&quot;_);_(@_)"/>
    <numFmt numFmtId="172" formatCode="&quot;$&quot;#,\);\(&quot;$&quot;#,##0\)"/>
    <numFmt numFmtId="173" formatCode="_(* #,##0.000_);_(* \(#,##0.000\);_(* &quot;-&quot;??_);_(@_)"/>
    <numFmt numFmtId="174" formatCode="_(* #,##0.0_);_(* \(#,##0.0\);_(* &quot;-&quot;??_);_(@_)"/>
    <numFmt numFmtId="175" formatCode="_(* #,##0.0000_);_(* \(#,##0.0000\);_(* &quot;-&quot;??_);_(@_)"/>
    <numFmt numFmtId="176" formatCode="0.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Tms Rmn"/>
    </font>
    <font>
      <b/>
      <sz val="8"/>
      <color indexed="24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0"/>
      <name val="MS Sans Serif"/>
      <family val="2"/>
    </font>
    <font>
      <sz val="12"/>
      <name val="Helv"/>
    </font>
    <font>
      <sz val="10"/>
      <name val="Courier"/>
      <family val="3"/>
    </font>
    <font>
      <b/>
      <sz val="11"/>
      <color indexed="8"/>
      <name val="Calibri"/>
      <family val="2"/>
    </font>
    <font>
      <sz val="24"/>
      <color indexed="9"/>
      <name val="SWISS"/>
    </font>
    <font>
      <b/>
      <sz val="14"/>
      <name val="SWISS"/>
    </font>
    <font>
      <b/>
      <sz val="12"/>
      <name val="Arial"/>
      <family val="2"/>
    </font>
    <font>
      <b/>
      <sz val="14"/>
      <name val="Helv"/>
    </font>
    <font>
      <sz val="7"/>
      <name val="Small Fonts"/>
      <family val="2"/>
    </font>
    <font>
      <sz val="10"/>
      <name val="Century Gothic"/>
      <family val="2"/>
    </font>
    <font>
      <sz val="8"/>
      <name val="Arial Narrow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24"/>
      <color indexed="13"/>
      <name val="Helv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b/>
      <sz val="8"/>
      <color indexed="9"/>
      <name val="Arial"/>
      <family val="2"/>
    </font>
    <font>
      <b/>
      <sz val="8"/>
      <color theme="1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9"/>
      <name val="Arial"/>
      <family val="2"/>
    </font>
    <font>
      <b/>
      <u/>
      <sz val="10"/>
      <name val="Arial"/>
      <family val="2"/>
    </font>
    <font>
      <sz val="11"/>
      <color theme="0"/>
      <name val="Arial"/>
      <family val="2"/>
    </font>
    <font>
      <b/>
      <sz val="11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40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1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4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8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10" fillId="17" borderId="0" applyNumberFormat="0" applyBorder="0" applyAlignment="0" applyProtection="0"/>
    <xf numFmtId="0" fontId="3" fillId="0" borderId="6" applyBorder="0">
      <alignment horizontal="centerContinuous"/>
    </xf>
    <xf numFmtId="0" fontId="11" fillId="0" borderId="0" applyNumberFormat="0" applyFill="0" applyBorder="0" applyAlignment="0" applyProtection="0"/>
    <xf numFmtId="49" fontId="12" fillId="0" borderId="0" applyFont="0" applyFill="0" applyBorder="0" applyAlignment="0" applyProtection="0">
      <alignment horizontal="left"/>
    </xf>
    <xf numFmtId="0" fontId="13" fillId="0" borderId="0" applyAlignment="0" applyProtection="0"/>
    <xf numFmtId="0" fontId="13" fillId="0" borderId="0" applyAlignment="0" applyProtection="0"/>
    <xf numFmtId="0" fontId="13" fillId="0" borderId="0" applyAlignment="0" applyProtection="0"/>
    <xf numFmtId="0" fontId="13" fillId="0" borderId="0" applyAlignment="0" applyProtection="0"/>
    <xf numFmtId="169" fontId="13" fillId="0" borderId="0" applyAlignment="0" applyProtection="0"/>
    <xf numFmtId="170" fontId="14" fillId="0" borderId="0" applyFill="0" applyBorder="0" applyAlignment="0" applyProtection="0"/>
    <xf numFmtId="49" fontId="14" fillId="0" borderId="0" applyNumberFormat="0" applyAlignment="0" applyProtection="0">
      <alignment horizontal="left"/>
    </xf>
    <xf numFmtId="49" fontId="15" fillId="0" borderId="7" applyNumberFormat="0" applyAlignment="0" applyProtection="0">
      <alignment horizontal="left" wrapText="1"/>
    </xf>
    <xf numFmtId="49" fontId="15" fillId="0" borderId="0" applyNumberFormat="0" applyAlignment="0" applyProtection="0">
      <alignment horizontal="left" wrapText="1"/>
    </xf>
    <xf numFmtId="49" fontId="16" fillId="0" borderId="0" applyAlignment="0" applyProtection="0">
      <alignment horizontal="left"/>
    </xf>
    <xf numFmtId="0" fontId="17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8" fillId="0" borderId="0"/>
    <xf numFmtId="0" fontId="18" fillId="0" borderId="8"/>
    <xf numFmtId="0" fontId="19" fillId="0" borderId="0"/>
    <xf numFmtId="0" fontId="19" fillId="0" borderId="8"/>
    <xf numFmtId="0" fontId="19" fillId="0" borderId="8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1" fillId="21" borderId="0"/>
    <xf numFmtId="0" fontId="22" fillId="0" borderId="9"/>
    <xf numFmtId="0" fontId="22" fillId="0" borderId="8"/>
    <xf numFmtId="0" fontId="22" fillId="22" borderId="8"/>
    <xf numFmtId="0" fontId="23" fillId="0" borderId="2" applyNumberFormat="0" applyAlignment="0" applyProtection="0">
      <alignment horizontal="left" vertical="center"/>
    </xf>
    <xf numFmtId="0" fontId="23" fillId="0" borderId="10">
      <alignment horizontal="left" vertical="center"/>
    </xf>
    <xf numFmtId="0" fontId="24" fillId="23" borderId="8"/>
    <xf numFmtId="37" fontId="25" fillId="0" borderId="0"/>
    <xf numFmtId="172" fontId="26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/>
    <xf numFmtId="0" fontId="19" fillId="0" borderId="0"/>
    <xf numFmtId="4" fontId="28" fillId="24" borderId="11" applyNumberFormat="0" applyProtection="0">
      <alignment vertical="center"/>
    </xf>
    <xf numFmtId="4" fontId="29" fillId="24" borderId="11" applyNumberFormat="0" applyProtection="0">
      <alignment vertical="center"/>
    </xf>
    <xf numFmtId="4" fontId="28" fillId="24" borderId="11" applyNumberFormat="0" applyProtection="0">
      <alignment horizontal="left" vertical="center" indent="1"/>
    </xf>
    <xf numFmtId="0" fontId="28" fillId="24" borderId="11" applyNumberFormat="0" applyProtection="0">
      <alignment horizontal="left" vertical="top" indent="1"/>
    </xf>
    <xf numFmtId="4" fontId="28" fillId="25" borderId="0" applyNumberFormat="0" applyProtection="0">
      <alignment horizontal="left" vertical="center" indent="1"/>
    </xf>
    <xf numFmtId="4" fontId="30" fillId="26" borderId="11" applyNumberFormat="0" applyProtection="0">
      <alignment horizontal="right" vertical="center"/>
    </xf>
    <xf numFmtId="4" fontId="30" fillId="27" borderId="11" applyNumberFormat="0" applyProtection="0">
      <alignment horizontal="right" vertical="center"/>
    </xf>
    <xf numFmtId="4" fontId="30" fillId="28" borderId="11" applyNumberFormat="0" applyProtection="0">
      <alignment horizontal="right" vertical="center"/>
    </xf>
    <xf numFmtId="4" fontId="30" fillId="29" borderId="11" applyNumberFormat="0" applyProtection="0">
      <alignment horizontal="right" vertical="center"/>
    </xf>
    <xf numFmtId="4" fontId="30" fillId="30" borderId="11" applyNumberFormat="0" applyProtection="0">
      <alignment horizontal="right" vertical="center"/>
    </xf>
    <xf numFmtId="4" fontId="30" fillId="31" borderId="11" applyNumberFormat="0" applyProtection="0">
      <alignment horizontal="right" vertical="center"/>
    </xf>
    <xf numFmtId="4" fontId="30" fillId="32" borderId="11" applyNumberFormat="0" applyProtection="0">
      <alignment horizontal="right" vertical="center"/>
    </xf>
    <xf numFmtId="4" fontId="30" fillId="33" borderId="11" applyNumberFormat="0" applyProtection="0">
      <alignment horizontal="right" vertical="center"/>
    </xf>
    <xf numFmtId="4" fontId="30" fillId="34" borderId="11" applyNumberFormat="0" applyProtection="0">
      <alignment horizontal="right" vertical="center"/>
    </xf>
    <xf numFmtId="4" fontId="28" fillId="35" borderId="12" applyNumberFormat="0" applyProtection="0">
      <alignment horizontal="left" vertical="center" indent="1"/>
    </xf>
    <xf numFmtId="4" fontId="30" fillId="36" borderId="0" applyNumberFormat="0" applyProtection="0">
      <alignment horizontal="left" vertical="center" indent="1"/>
    </xf>
    <xf numFmtId="4" fontId="31" fillId="37" borderId="0" applyNumberFormat="0" applyProtection="0">
      <alignment horizontal="left" vertical="center" indent="1"/>
    </xf>
    <xf numFmtId="4" fontId="30" fillId="25" borderId="11" applyNumberFormat="0" applyProtection="0">
      <alignment horizontal="right" vertical="center"/>
    </xf>
    <xf numFmtId="4" fontId="30" fillId="36" borderId="0" applyNumberFormat="0" applyProtection="0">
      <alignment horizontal="left" vertical="center" indent="1"/>
    </xf>
    <xf numFmtId="4" fontId="30" fillId="25" borderId="0" applyNumberFormat="0" applyProtection="0">
      <alignment horizontal="left" vertical="center" indent="1"/>
    </xf>
    <xf numFmtId="0" fontId="2" fillId="37" borderId="11" applyNumberFormat="0" applyProtection="0">
      <alignment horizontal="left" vertical="center" indent="1"/>
    </xf>
    <xf numFmtId="0" fontId="2" fillId="37" borderId="11" applyNumberFormat="0" applyProtection="0">
      <alignment horizontal="left" vertical="top" indent="1"/>
    </xf>
    <xf numFmtId="0" fontId="2" fillId="25" borderId="11" applyNumberFormat="0" applyProtection="0">
      <alignment horizontal="left" vertical="center" indent="1"/>
    </xf>
    <xf numFmtId="0" fontId="2" fillId="25" borderId="11" applyNumberFormat="0" applyProtection="0">
      <alignment horizontal="left" vertical="top" indent="1"/>
    </xf>
    <xf numFmtId="0" fontId="2" fillId="38" borderId="11" applyNumberFormat="0" applyProtection="0">
      <alignment horizontal="left" vertical="center" indent="1"/>
    </xf>
    <xf numFmtId="0" fontId="2" fillId="38" borderId="11" applyNumberFormat="0" applyProtection="0">
      <alignment horizontal="left" vertical="top" indent="1"/>
    </xf>
    <xf numFmtId="0" fontId="2" fillId="36" borderId="11" applyNumberFormat="0" applyProtection="0">
      <alignment horizontal="left" vertical="center" indent="1"/>
    </xf>
    <xf numFmtId="0" fontId="2" fillId="36" borderId="11" applyNumberFormat="0" applyProtection="0">
      <alignment horizontal="left" vertical="top" indent="1"/>
    </xf>
    <xf numFmtId="0" fontId="2" fillId="39" borderId="4" applyNumberFormat="0">
      <protection locked="0"/>
    </xf>
    <xf numFmtId="4" fontId="30" fillId="40" borderId="11" applyNumberFormat="0" applyProtection="0">
      <alignment vertical="center"/>
    </xf>
    <xf numFmtId="4" fontId="32" fillId="40" borderId="11" applyNumberFormat="0" applyProtection="0">
      <alignment vertical="center"/>
    </xf>
    <xf numFmtId="4" fontId="30" fillId="40" borderId="11" applyNumberFormat="0" applyProtection="0">
      <alignment horizontal="left" vertical="center" indent="1"/>
    </xf>
    <xf numFmtId="0" fontId="30" fillId="40" borderId="11" applyNumberFormat="0" applyProtection="0">
      <alignment horizontal="left" vertical="top" indent="1"/>
    </xf>
    <xf numFmtId="4" fontId="30" fillId="36" borderId="11" applyNumberFormat="0" applyProtection="0">
      <alignment horizontal="right" vertical="center"/>
    </xf>
    <xf numFmtId="4" fontId="32" fillId="36" borderId="11" applyNumberFormat="0" applyProtection="0">
      <alignment horizontal="right" vertical="center"/>
    </xf>
    <xf numFmtId="4" fontId="30" fillId="25" borderId="11" applyNumberFormat="0" applyProtection="0">
      <alignment horizontal="left" vertical="center" indent="1"/>
    </xf>
    <xf numFmtId="0" fontId="30" fillId="25" borderId="11" applyNumberFormat="0" applyProtection="0">
      <alignment horizontal="left" vertical="top" indent="1"/>
    </xf>
    <xf numFmtId="4" fontId="33" fillId="41" borderId="0" applyNumberFormat="0" applyProtection="0">
      <alignment horizontal="left" vertical="center" indent="1"/>
    </xf>
    <xf numFmtId="4" fontId="34" fillId="36" borderId="11" applyNumberFormat="0" applyProtection="0">
      <alignment horizontal="right" vertical="center"/>
    </xf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4">
      <alignment horizontal="centerContinuous"/>
    </xf>
    <xf numFmtId="0" fontId="18" fillId="0" borderId="8"/>
    <xf numFmtId="0" fontId="36" fillId="42" borderId="0"/>
    <xf numFmtId="0" fontId="24" fillId="0" borderId="9"/>
    <xf numFmtId="0" fontId="24" fillId="0" borderId="8"/>
    <xf numFmtId="0" fontId="38" fillId="0" borderId="0"/>
    <xf numFmtId="0" fontId="2" fillId="0" borderId="0"/>
    <xf numFmtId="0" fontId="49" fillId="0" borderId="0"/>
    <xf numFmtId="0" fontId="2" fillId="0" borderId="0"/>
    <xf numFmtId="0" fontId="2" fillId="0" borderId="0"/>
  </cellStyleXfs>
  <cellXfs count="1103">
    <xf numFmtId="0" fontId="0" fillId="0" borderId="0" xfId="0"/>
    <xf numFmtId="0" fontId="3" fillId="0" borderId="0" xfId="3" applyFont="1"/>
    <xf numFmtId="0" fontId="4" fillId="0" borderId="0" xfId="0" applyFont="1"/>
    <xf numFmtId="0" fontId="4" fillId="0" borderId="0" xfId="0" applyFont="1" applyAlignment="1">
      <alignment horizontal="center"/>
    </xf>
    <xf numFmtId="166" fontId="4" fillId="0" borderId="0" xfId="1" applyNumberFormat="1" applyFont="1" applyAlignment="1"/>
    <xf numFmtId="0" fontId="4" fillId="0" borderId="0" xfId="0" applyFont="1" applyAlignment="1"/>
    <xf numFmtId="0" fontId="5" fillId="0" borderId="0" xfId="0" applyFont="1"/>
    <xf numFmtId="167" fontId="4" fillId="0" borderId="0" xfId="0" applyNumberFormat="1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66" fontId="4" fillId="3" borderId="0" xfId="1" applyNumberFormat="1" applyFont="1" applyFill="1" applyAlignment="1"/>
    <xf numFmtId="0" fontId="4" fillId="3" borderId="0" xfId="0" applyFont="1" applyFill="1" applyAlignment="1"/>
    <xf numFmtId="0" fontId="6" fillId="3" borderId="0" xfId="0" applyFont="1" applyFill="1"/>
    <xf numFmtId="0" fontId="7" fillId="3" borderId="0" xfId="4" applyFont="1" applyFill="1" applyAlignment="1">
      <alignment horizontal="center"/>
    </xf>
    <xf numFmtId="0" fontId="3" fillId="3" borderId="0" xfId="4" applyFont="1" applyFill="1" applyAlignment="1"/>
    <xf numFmtId="166" fontId="2" fillId="0" borderId="4" xfId="1" applyNumberFormat="1" applyFont="1" applyBorder="1" applyAlignment="1">
      <alignment horizontal="center"/>
    </xf>
    <xf numFmtId="9" fontId="2" fillId="0" borderId="4" xfId="2" applyFont="1" applyBorder="1" applyAlignment="1">
      <alignment horizontal="right"/>
    </xf>
    <xf numFmtId="166" fontId="2" fillId="0" borderId="4" xfId="1" applyNumberFormat="1" applyFont="1" applyBorder="1" applyAlignment="1"/>
    <xf numFmtId="0" fontId="6" fillId="0" borderId="0" xfId="0" applyFont="1"/>
    <xf numFmtId="166" fontId="2" fillId="0" borderId="4" xfId="1" applyNumberFormat="1" applyFont="1" applyFill="1" applyBorder="1" applyAlignment="1">
      <alignment horizontal="right"/>
    </xf>
    <xf numFmtId="168" fontId="4" fillId="0" borderId="0" xfId="1" applyNumberFormat="1" applyFont="1"/>
    <xf numFmtId="168" fontId="4" fillId="0" borderId="0" xfId="1" applyNumberFormat="1" applyFont="1" applyAlignment="1"/>
    <xf numFmtId="168" fontId="4" fillId="0" borderId="0" xfId="1" applyNumberFormat="1" applyFont="1" applyAlignment="1">
      <alignment horizontal="center"/>
    </xf>
    <xf numFmtId="168" fontId="6" fillId="0" borderId="0" xfId="1" applyNumberFormat="1" applyFont="1"/>
    <xf numFmtId="166" fontId="4" fillId="0" borderId="0" xfId="1" applyNumberFormat="1" applyFont="1"/>
    <xf numFmtId="9" fontId="0" fillId="0" borderId="0" xfId="2" applyFont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9" fontId="0" fillId="0" borderId="0" xfId="2" applyFont="1" applyBorder="1"/>
    <xf numFmtId="9" fontId="0" fillId="0" borderId="16" xfId="2" applyFont="1" applyBorder="1"/>
    <xf numFmtId="166" fontId="0" fillId="0" borderId="0" xfId="1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0" applyNumberFormat="1" applyBorder="1"/>
    <xf numFmtId="9" fontId="0" fillId="0" borderId="16" xfId="0" applyNumberFormat="1" applyBorder="1"/>
    <xf numFmtId="168" fontId="4" fillId="6" borderId="0" xfId="1" applyNumberFormat="1" applyFont="1" applyFill="1"/>
    <xf numFmtId="166" fontId="2" fillId="0" borderId="5" xfId="1" applyNumberFormat="1" applyFont="1" applyBorder="1" applyAlignment="1">
      <alignment horizontal="right"/>
    </xf>
    <xf numFmtId="0" fontId="0" fillId="43" borderId="15" xfId="0" applyFill="1" applyBorder="1"/>
    <xf numFmtId="0" fontId="0" fillId="43" borderId="0" xfId="0" applyFill="1" applyBorder="1"/>
    <xf numFmtId="0" fontId="0" fillId="43" borderId="16" xfId="0" applyFill="1" applyBorder="1"/>
    <xf numFmtId="0" fontId="0" fillId="4" borderId="13" xfId="0" applyFill="1" applyBorder="1"/>
    <xf numFmtId="9" fontId="4" fillId="0" borderId="0" xfId="2" applyFont="1" applyAlignment="1">
      <alignment horizontal="center"/>
    </xf>
    <xf numFmtId="43" fontId="2" fillId="0" borderId="4" xfId="1" applyFont="1" applyFill="1" applyBorder="1" applyAlignment="1">
      <alignment horizontal="right"/>
    </xf>
    <xf numFmtId="43" fontId="2" fillId="0" borderId="4" xfId="1" applyFont="1" applyBorder="1" applyAlignment="1">
      <alignment horizontal="center"/>
    </xf>
    <xf numFmtId="43" fontId="2" fillId="0" borderId="5" xfId="1" applyFont="1" applyBorder="1" applyAlignment="1">
      <alignment horizontal="right"/>
    </xf>
    <xf numFmtId="43" fontId="4" fillId="0" borderId="0" xfId="1" applyFont="1"/>
    <xf numFmtId="43" fontId="2" fillId="0" borderId="4" xfId="1" applyFont="1" applyBorder="1" applyAlignment="1"/>
    <xf numFmtId="43" fontId="4" fillId="0" borderId="0" xfId="1" applyFont="1" applyAlignment="1"/>
    <xf numFmtId="43" fontId="4" fillId="0" borderId="0" xfId="1" applyFont="1" applyAlignment="1">
      <alignment horizontal="center"/>
    </xf>
    <xf numFmtId="166" fontId="4" fillId="6" borderId="0" xfId="1" applyNumberFormat="1" applyFont="1" applyFill="1"/>
    <xf numFmtId="43" fontId="4" fillId="0" borderId="0" xfId="0" applyNumberFormat="1" applyFont="1"/>
    <xf numFmtId="166" fontId="0" fillId="0" borderId="18" xfId="1" applyNumberFormat="1" applyFon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  <xf numFmtId="166" fontId="2" fillId="6" borderId="4" xfId="1" applyNumberFormat="1" applyFont="1" applyFill="1" applyBorder="1" applyAlignment="1">
      <alignment horizontal="right"/>
    </xf>
    <xf numFmtId="166" fontId="2" fillId="0" borderId="5" xfId="1" applyNumberFormat="1" applyFont="1" applyFill="1" applyBorder="1" applyAlignment="1">
      <alignment horizontal="right"/>
    </xf>
    <xf numFmtId="166" fontId="2" fillId="0" borderId="20" xfId="1" applyNumberFormat="1" applyFont="1" applyFill="1" applyBorder="1" applyAlignment="1">
      <alignment horizontal="right"/>
    </xf>
    <xf numFmtId="166" fontId="2" fillId="0" borderId="20" xfId="1" applyNumberFormat="1" applyFont="1" applyBorder="1" applyAlignment="1">
      <alignment horizontal="center"/>
    </xf>
    <xf numFmtId="9" fontId="2" fillId="0" borderId="20" xfId="2" applyFont="1" applyBorder="1" applyAlignment="1">
      <alignment horizontal="right"/>
    </xf>
    <xf numFmtId="166" fontId="2" fillId="0" borderId="5" xfId="1" applyNumberFormat="1" applyFont="1" applyBorder="1" applyAlignment="1">
      <alignment horizontal="center"/>
    </xf>
    <xf numFmtId="9" fontId="2" fillId="0" borderId="5" xfId="2" applyFont="1" applyBorder="1" applyAlignment="1">
      <alignment horizontal="right"/>
    </xf>
    <xf numFmtId="168" fontId="2" fillId="0" borderId="21" xfId="1" applyNumberFormat="1" applyFont="1" applyFill="1" applyBorder="1" applyAlignment="1">
      <alignment vertical="center"/>
    </xf>
    <xf numFmtId="166" fontId="2" fillId="0" borderId="22" xfId="1" applyNumberFormat="1" applyFont="1" applyFill="1" applyBorder="1" applyAlignment="1">
      <alignment horizontal="right"/>
    </xf>
    <xf numFmtId="166" fontId="2" fillId="0" borderId="22" xfId="1" applyNumberFormat="1" applyFont="1" applyBorder="1" applyAlignment="1">
      <alignment horizontal="center"/>
    </xf>
    <xf numFmtId="9" fontId="2" fillId="0" borderId="22" xfId="2" applyFont="1" applyBorder="1" applyAlignment="1">
      <alignment horizontal="right"/>
    </xf>
    <xf numFmtId="9" fontId="2" fillId="0" borderId="23" xfId="2" applyFont="1" applyBorder="1" applyAlignment="1">
      <alignment horizontal="center"/>
    </xf>
    <xf numFmtId="168" fontId="3" fillId="4" borderId="21" xfId="1" applyNumberFormat="1" applyFont="1" applyFill="1" applyBorder="1" applyAlignment="1">
      <alignment vertical="center"/>
    </xf>
    <xf numFmtId="166" fontId="2" fillId="0" borderId="22" xfId="1" applyNumberFormat="1" applyFont="1" applyBorder="1" applyAlignment="1">
      <alignment horizontal="right"/>
    </xf>
    <xf numFmtId="166" fontId="3" fillId="2" borderId="24" xfId="1" applyNumberFormat="1" applyFont="1" applyFill="1" applyBorder="1" applyAlignment="1">
      <alignment horizontal="right"/>
    </xf>
    <xf numFmtId="9" fontId="3" fillId="2" borderId="24" xfId="2" applyFont="1" applyFill="1" applyBorder="1" applyAlignment="1">
      <alignment horizontal="right"/>
    </xf>
    <xf numFmtId="168" fontId="8" fillId="0" borderId="21" xfId="1" applyNumberFormat="1" applyFont="1" applyFill="1" applyBorder="1"/>
    <xf numFmtId="0" fontId="3" fillId="0" borderId="25" xfId="3" applyFont="1" applyBorder="1"/>
    <xf numFmtId="0" fontId="3" fillId="5" borderId="26" xfId="4" applyFont="1" applyFill="1" applyBorder="1" applyAlignment="1">
      <alignment horizontal="center" vertical="top" wrapText="1"/>
    </xf>
    <xf numFmtId="0" fontId="3" fillId="5" borderId="27" xfId="4" applyFont="1" applyFill="1" applyBorder="1" applyAlignment="1">
      <alignment horizontal="center" vertical="top" wrapText="1"/>
    </xf>
    <xf numFmtId="168" fontId="2" fillId="0" borderId="28" xfId="1" applyNumberFormat="1" applyFont="1" applyFill="1" applyBorder="1" applyAlignment="1">
      <alignment vertical="center"/>
    </xf>
    <xf numFmtId="9" fontId="2" fillId="0" borderId="29" xfId="2" applyFont="1" applyBorder="1" applyAlignment="1">
      <alignment horizontal="center"/>
    </xf>
    <xf numFmtId="168" fontId="2" fillId="0" borderId="30" xfId="1" applyNumberFormat="1" applyFont="1" applyFill="1" applyBorder="1" applyAlignment="1">
      <alignment vertical="center"/>
    </xf>
    <xf numFmtId="9" fontId="2" fillId="0" borderId="31" xfId="2" applyFont="1" applyBorder="1" applyAlignment="1">
      <alignment horizontal="center"/>
    </xf>
    <xf numFmtId="168" fontId="2" fillId="0" borderId="32" xfId="1" applyNumberFormat="1" applyFont="1" applyFill="1" applyBorder="1" applyAlignment="1">
      <alignment vertical="center"/>
    </xf>
    <xf numFmtId="9" fontId="2" fillId="0" borderId="33" xfId="2" applyFont="1" applyBorder="1" applyAlignment="1">
      <alignment horizontal="center"/>
    </xf>
    <xf numFmtId="9" fontId="3" fillId="2" borderId="35" xfId="2" applyFont="1" applyFill="1" applyBorder="1" applyAlignment="1">
      <alignment horizontal="center"/>
    </xf>
    <xf numFmtId="168" fontId="3" fillId="2" borderId="36" xfId="1" applyNumberFormat="1" applyFont="1" applyFill="1" applyBorder="1" applyAlignment="1">
      <alignment horizontal="left"/>
    </xf>
    <xf numFmtId="166" fontId="3" fillId="2" borderId="37" xfId="1" applyNumberFormat="1" applyFont="1" applyFill="1" applyBorder="1" applyAlignment="1">
      <alignment horizontal="right"/>
    </xf>
    <xf numFmtId="168" fontId="3" fillId="2" borderId="37" xfId="1" applyNumberFormat="1" applyFont="1" applyFill="1" applyBorder="1" applyAlignment="1">
      <alignment horizontal="right"/>
    </xf>
    <xf numFmtId="9" fontId="3" fillId="2" borderId="38" xfId="2" applyFont="1" applyFill="1" applyBorder="1" applyAlignment="1">
      <alignment horizontal="center"/>
    </xf>
    <xf numFmtId="168" fontId="2" fillId="0" borderId="34" xfId="1" applyNumberFormat="1" applyFont="1" applyFill="1" applyBorder="1" applyAlignment="1">
      <alignment vertical="center"/>
    </xf>
    <xf numFmtId="9" fontId="2" fillId="0" borderId="24" xfId="2" applyFont="1" applyBorder="1" applyAlignment="1">
      <alignment horizontal="right"/>
    </xf>
    <xf numFmtId="166" fontId="2" fillId="0" borderId="24" xfId="1" applyNumberFormat="1" applyFont="1" applyBorder="1" applyAlignment="1">
      <alignment horizontal="right"/>
    </xf>
    <xf numFmtId="166" fontId="2" fillId="0" borderId="20" xfId="1" applyNumberFormat="1" applyFont="1" applyBorder="1" applyAlignment="1"/>
    <xf numFmtId="166" fontId="2" fillId="0" borderId="5" xfId="1" applyNumberFormat="1" applyFont="1" applyBorder="1" applyAlignment="1"/>
    <xf numFmtId="166" fontId="2" fillId="0" borderId="22" xfId="1" applyNumberFormat="1" applyFont="1" applyBorder="1" applyAlignment="1"/>
    <xf numFmtId="9" fontId="2" fillId="0" borderId="23" xfId="2" applyFont="1" applyBorder="1" applyAlignment="1"/>
    <xf numFmtId="166" fontId="2" fillId="0" borderId="24" xfId="1" applyNumberFormat="1" applyFont="1" applyBorder="1" applyAlignment="1"/>
    <xf numFmtId="168" fontId="3" fillId="4" borderId="21" xfId="1" applyNumberFormat="1" applyFont="1" applyFill="1" applyBorder="1" applyAlignment="1">
      <alignment horizontal="left"/>
    </xf>
    <xf numFmtId="166" fontId="3" fillId="4" borderId="22" xfId="1" applyNumberFormat="1" applyFont="1" applyFill="1" applyBorder="1" applyAlignment="1">
      <alignment horizontal="right"/>
    </xf>
    <xf numFmtId="166" fontId="3" fillId="4" borderId="22" xfId="1" applyNumberFormat="1" applyFont="1" applyFill="1" applyBorder="1" applyAlignment="1"/>
    <xf numFmtId="9" fontId="3" fillId="4" borderId="22" xfId="2" applyFont="1" applyFill="1" applyBorder="1" applyAlignment="1">
      <alignment horizontal="center"/>
    </xf>
    <xf numFmtId="9" fontId="3" fillId="4" borderId="23" xfId="2" applyFont="1" applyFill="1" applyBorder="1" applyAlignment="1"/>
    <xf numFmtId="0" fontId="3" fillId="4" borderId="26" xfId="4" applyFont="1" applyFill="1" applyBorder="1" applyAlignment="1">
      <alignment horizontal="center" vertical="top" wrapText="1"/>
    </xf>
    <xf numFmtId="166" fontId="3" fillId="4" borderId="26" xfId="1" applyNumberFormat="1" applyFont="1" applyFill="1" applyBorder="1" applyAlignment="1">
      <alignment horizontal="center" vertical="top" wrapText="1"/>
    </xf>
    <xf numFmtId="0" fontId="3" fillId="4" borderId="27" xfId="4" applyFont="1" applyFill="1" applyBorder="1" applyAlignment="1">
      <alignment horizontal="center" vertical="top" wrapText="1"/>
    </xf>
    <xf numFmtId="9" fontId="2" fillId="0" borderId="29" xfId="2" applyFont="1" applyBorder="1" applyAlignment="1"/>
    <xf numFmtId="9" fontId="2" fillId="0" borderId="31" xfId="2" applyFont="1" applyBorder="1" applyAlignment="1"/>
    <xf numFmtId="9" fontId="2" fillId="0" borderId="33" xfId="2" applyFont="1" applyBorder="1" applyAlignment="1"/>
    <xf numFmtId="9" fontId="2" fillId="0" borderId="35" xfId="2" applyFont="1" applyBorder="1" applyAlignment="1"/>
    <xf numFmtId="168" fontId="8" fillId="0" borderId="28" xfId="1" applyNumberFormat="1" applyFont="1" applyFill="1" applyBorder="1"/>
    <xf numFmtId="168" fontId="3" fillId="4" borderId="36" xfId="1" applyNumberFormat="1" applyFont="1" applyFill="1" applyBorder="1" applyAlignment="1">
      <alignment horizontal="left"/>
    </xf>
    <xf numFmtId="166" fontId="3" fillId="4" borderId="37" xfId="1" applyNumberFormat="1" applyFont="1" applyFill="1" applyBorder="1" applyAlignment="1">
      <alignment horizontal="right"/>
    </xf>
    <xf numFmtId="9" fontId="3" fillId="4" borderId="37" xfId="2" applyFont="1" applyFill="1" applyBorder="1" applyAlignment="1">
      <alignment horizontal="center"/>
    </xf>
    <xf numFmtId="9" fontId="2" fillId="4" borderId="38" xfId="2" applyFont="1" applyFill="1" applyBorder="1" applyAlignment="1"/>
    <xf numFmtId="168" fontId="2" fillId="44" borderId="21" xfId="1" applyNumberFormat="1" applyFont="1" applyFill="1" applyBorder="1" applyAlignment="1">
      <alignment vertical="center"/>
    </xf>
    <xf numFmtId="166" fontId="2" fillId="44" borderId="22" xfId="1" applyNumberFormat="1" applyFont="1" applyFill="1" applyBorder="1" applyAlignment="1">
      <alignment horizontal="right"/>
    </xf>
    <xf numFmtId="166" fontId="2" fillId="44" borderId="22" xfId="1" applyNumberFormat="1" applyFont="1" applyFill="1" applyBorder="1" applyAlignment="1">
      <alignment horizontal="center"/>
    </xf>
    <xf numFmtId="9" fontId="2" fillId="44" borderId="22" xfId="2" applyFont="1" applyFill="1" applyBorder="1" applyAlignment="1">
      <alignment horizontal="right"/>
    </xf>
    <xf numFmtId="9" fontId="2" fillId="44" borderId="23" xfId="2" applyFont="1" applyFill="1" applyBorder="1" applyAlignment="1">
      <alignment horizontal="center"/>
    </xf>
    <xf numFmtId="166" fontId="2" fillId="44" borderId="22" xfId="1" applyNumberFormat="1" applyFont="1" applyFill="1" applyBorder="1" applyAlignment="1"/>
    <xf numFmtId="9" fontId="2" fillId="44" borderId="23" xfId="2" applyFont="1" applyFill="1" applyBorder="1" applyAlignment="1"/>
    <xf numFmtId="167" fontId="2" fillId="0" borderId="20" xfId="1" applyNumberFormat="1" applyFont="1" applyFill="1" applyBorder="1" applyAlignment="1">
      <alignment horizontal="right"/>
    </xf>
    <xf numFmtId="166" fontId="3" fillId="4" borderId="22" xfId="1" applyNumberFormat="1" applyFont="1" applyFill="1" applyBorder="1" applyAlignment="1">
      <alignment horizontal="center"/>
    </xf>
    <xf numFmtId="9" fontId="3" fillId="4" borderId="22" xfId="2" applyFont="1" applyFill="1" applyBorder="1" applyAlignment="1">
      <alignment horizontal="right"/>
    </xf>
    <xf numFmtId="9" fontId="3" fillId="4" borderId="23" xfId="2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68" fontId="8" fillId="0" borderId="39" xfId="1" applyNumberFormat="1" applyFont="1" applyFill="1" applyBorder="1"/>
    <xf numFmtId="43" fontId="3" fillId="4" borderId="22" xfId="1" applyFont="1" applyFill="1" applyBorder="1" applyAlignment="1">
      <alignment horizontal="right"/>
    </xf>
    <xf numFmtId="43" fontId="3" fillId="4" borderId="22" xfId="1" applyFont="1" applyFill="1" applyBorder="1" applyAlignment="1">
      <alignment horizontal="center"/>
    </xf>
    <xf numFmtId="43" fontId="2" fillId="0" borderId="5" xfId="1" applyFont="1" applyFill="1" applyBorder="1" applyAlignment="1">
      <alignment horizontal="right"/>
    </xf>
    <xf numFmtId="43" fontId="2" fillId="0" borderId="5" xfId="1" applyFont="1" applyBorder="1" applyAlignment="1">
      <alignment horizontal="center"/>
    </xf>
    <xf numFmtId="43" fontId="2" fillId="0" borderId="20" xfId="1" applyFont="1" applyFill="1" applyBorder="1" applyAlignment="1">
      <alignment horizontal="right"/>
    </xf>
    <xf numFmtId="43" fontId="2" fillId="0" borderId="20" xfId="1" applyFont="1" applyBorder="1" applyAlignment="1">
      <alignment horizontal="center"/>
    </xf>
    <xf numFmtId="43" fontId="2" fillId="44" borderId="22" xfId="1" applyFont="1" applyFill="1" applyBorder="1" applyAlignment="1">
      <alignment horizontal="right"/>
    </xf>
    <xf numFmtId="43" fontId="2" fillId="44" borderId="22" xfId="1" applyFont="1" applyFill="1" applyBorder="1" applyAlignment="1">
      <alignment horizontal="center"/>
    </xf>
    <xf numFmtId="43" fontId="2" fillId="0" borderId="22" xfId="1" applyFont="1" applyFill="1" applyBorder="1" applyAlignment="1">
      <alignment horizontal="right"/>
    </xf>
    <xf numFmtId="43" fontId="2" fillId="0" borderId="22" xfId="1" applyFont="1" applyBorder="1" applyAlignment="1">
      <alignment horizontal="center"/>
    </xf>
    <xf numFmtId="43" fontId="2" fillId="0" borderId="40" xfId="1" applyFont="1" applyFill="1" applyBorder="1" applyAlignment="1">
      <alignment horizontal="right"/>
    </xf>
    <xf numFmtId="43" fontId="3" fillId="2" borderId="37" xfId="1" applyFont="1" applyFill="1" applyBorder="1" applyAlignment="1">
      <alignment horizontal="right"/>
    </xf>
    <xf numFmtId="43" fontId="3" fillId="4" borderId="22" xfId="1" applyFont="1" applyFill="1" applyBorder="1" applyAlignment="1"/>
    <xf numFmtId="43" fontId="2" fillId="0" borderId="5" xfId="1" applyFont="1" applyBorder="1" applyAlignment="1"/>
    <xf numFmtId="43" fontId="2" fillId="0" borderId="24" xfId="1" applyFont="1" applyBorder="1" applyAlignment="1">
      <alignment horizontal="right"/>
    </xf>
    <xf numFmtId="43" fontId="2" fillId="44" borderId="22" xfId="1" applyFont="1" applyFill="1" applyBorder="1" applyAlignment="1"/>
    <xf numFmtId="43" fontId="2" fillId="0" borderId="22" xfId="1" applyFont="1" applyBorder="1" applyAlignment="1">
      <alignment horizontal="right"/>
    </xf>
    <xf numFmtId="43" fontId="2" fillId="0" borderId="22" xfId="1" applyFont="1" applyBorder="1" applyAlignment="1"/>
    <xf numFmtId="43" fontId="3" fillId="4" borderId="37" xfId="1" applyFont="1" applyFill="1" applyBorder="1" applyAlignment="1">
      <alignment horizontal="right"/>
    </xf>
    <xf numFmtId="43" fontId="2" fillId="0" borderId="20" xfId="1" applyFont="1" applyBorder="1" applyAlignment="1"/>
    <xf numFmtId="9" fontId="3" fillId="2" borderId="37" xfId="2" applyFont="1" applyFill="1" applyBorder="1" applyAlignment="1">
      <alignment horizontal="right"/>
    </xf>
    <xf numFmtId="0" fontId="3" fillId="0" borderId="25" xfId="3" applyFont="1" applyFill="1" applyBorder="1"/>
    <xf numFmtId="0" fontId="3" fillId="0" borderId="26" xfId="4" applyFont="1" applyFill="1" applyBorder="1" applyAlignment="1">
      <alignment horizontal="center" vertical="top" wrapText="1"/>
    </xf>
    <xf numFmtId="166" fontId="3" fillId="0" borderId="26" xfId="1" applyNumberFormat="1" applyFont="1" applyFill="1" applyBorder="1" applyAlignment="1">
      <alignment horizontal="center" vertical="top" wrapText="1"/>
    </xf>
    <xf numFmtId="0" fontId="3" fillId="0" borderId="27" xfId="4" applyFont="1" applyFill="1" applyBorder="1" applyAlignment="1">
      <alignment horizontal="center" vertical="top" wrapText="1"/>
    </xf>
    <xf numFmtId="168" fontId="3" fillId="0" borderId="21" xfId="1" applyNumberFormat="1" applyFont="1" applyFill="1" applyBorder="1" applyAlignment="1">
      <alignment vertical="center"/>
    </xf>
    <xf numFmtId="166" fontId="3" fillId="0" borderId="22" xfId="1" applyNumberFormat="1" applyFont="1" applyFill="1" applyBorder="1" applyAlignment="1">
      <alignment horizontal="right"/>
    </xf>
    <xf numFmtId="9" fontId="3" fillId="0" borderId="22" xfId="2" applyFont="1" applyFill="1" applyBorder="1" applyAlignment="1">
      <alignment horizontal="right"/>
    </xf>
    <xf numFmtId="9" fontId="3" fillId="0" borderId="23" xfId="2" applyFont="1" applyFill="1" applyBorder="1" applyAlignment="1"/>
    <xf numFmtId="9" fontId="3" fillId="0" borderId="22" xfId="2" applyFont="1" applyFill="1" applyBorder="1" applyAlignment="1">
      <alignment horizontal="center"/>
    </xf>
    <xf numFmtId="9" fontId="2" fillId="0" borderId="5" xfId="2" applyFont="1" applyBorder="1" applyAlignment="1">
      <alignment horizontal="center"/>
    </xf>
    <xf numFmtId="9" fontId="2" fillId="44" borderId="22" xfId="2" applyFont="1" applyFill="1" applyBorder="1" applyAlignment="1">
      <alignment horizontal="center"/>
    </xf>
    <xf numFmtId="9" fontId="2" fillId="0" borderId="22" xfId="2" applyFont="1" applyBorder="1" applyAlignment="1">
      <alignment horizontal="center"/>
    </xf>
    <xf numFmtId="9" fontId="2" fillId="0" borderId="24" xfId="2" applyFont="1" applyBorder="1" applyAlignment="1">
      <alignment horizontal="center"/>
    </xf>
    <xf numFmtId="9" fontId="3" fillId="0" borderId="23" xfId="2" applyFont="1" applyFill="1" applyBorder="1" applyAlignment="1">
      <alignment horizontal="center"/>
    </xf>
    <xf numFmtId="9" fontId="2" fillId="0" borderId="35" xfId="2" applyFont="1" applyBorder="1" applyAlignment="1">
      <alignment horizontal="center"/>
    </xf>
    <xf numFmtId="9" fontId="2" fillId="4" borderId="38" xfId="2" applyFont="1" applyFill="1" applyBorder="1" applyAlignment="1">
      <alignment horizontal="center"/>
    </xf>
    <xf numFmtId="0" fontId="3" fillId="3" borderId="0" xfId="4" applyFont="1" applyFill="1" applyAlignment="1">
      <alignment horizontal="center"/>
    </xf>
    <xf numFmtId="165" fontId="2" fillId="0" borderId="5" xfId="1" applyNumberFormat="1" applyFont="1" applyFill="1" applyBorder="1" applyAlignment="1">
      <alignment horizontal="right"/>
    </xf>
    <xf numFmtId="168" fontId="2" fillId="0" borderId="39" xfId="1" applyNumberFormat="1" applyFont="1" applyFill="1" applyBorder="1" applyAlignment="1">
      <alignment vertical="center"/>
    </xf>
    <xf numFmtId="9" fontId="2" fillId="0" borderId="43" xfId="2" applyFont="1" applyBorder="1" applyAlignment="1">
      <alignment horizontal="center"/>
    </xf>
    <xf numFmtId="168" fontId="2" fillId="0" borderId="15" xfId="1" applyNumberFormat="1" applyFont="1" applyFill="1" applyBorder="1" applyAlignment="1">
      <alignment vertical="center"/>
    </xf>
    <xf numFmtId="43" fontId="3" fillId="0" borderId="22" xfId="1" applyFont="1" applyFill="1" applyBorder="1" applyAlignment="1">
      <alignment horizontal="right"/>
    </xf>
    <xf numFmtId="43" fontId="2" fillId="44" borderId="21" xfId="1" applyFont="1" applyFill="1" applyBorder="1" applyAlignment="1">
      <alignment horizontal="right"/>
    </xf>
    <xf numFmtId="43" fontId="2" fillId="44" borderId="23" xfId="1" applyFont="1" applyFill="1" applyBorder="1" applyAlignment="1">
      <alignment horizontal="right"/>
    </xf>
    <xf numFmtId="43" fontId="2" fillId="44" borderId="42" xfId="1" applyFont="1" applyFill="1" applyBorder="1" applyAlignment="1">
      <alignment horizontal="right"/>
    </xf>
    <xf numFmtId="43" fontId="2" fillId="0" borderId="26" xfId="1" applyFont="1" applyFill="1" applyBorder="1" applyAlignment="1">
      <alignment horizontal="right"/>
    </xf>
    <xf numFmtId="43" fontId="2" fillId="0" borderId="40" xfId="1" applyFont="1" applyBorder="1" applyAlignment="1"/>
    <xf numFmtId="43" fontId="2" fillId="0" borderId="24" xfId="1" applyFont="1" applyBorder="1" applyAlignment="1"/>
    <xf numFmtId="166" fontId="2" fillId="0" borderId="24" xfId="1" applyNumberFormat="1" applyFont="1" applyFill="1" applyBorder="1" applyAlignment="1">
      <alignment horizontal="right"/>
    </xf>
    <xf numFmtId="168" fontId="8" fillId="0" borderId="34" xfId="1" applyNumberFormat="1" applyFont="1" applyFill="1" applyBorder="1"/>
    <xf numFmtId="9" fontId="2" fillId="4" borderId="23" xfId="2" applyFont="1" applyFill="1" applyBorder="1" applyAlignment="1"/>
    <xf numFmtId="43" fontId="2" fillId="0" borderId="24" xfId="1" applyFont="1" applyFill="1" applyBorder="1" applyAlignment="1">
      <alignment horizontal="right"/>
    </xf>
    <xf numFmtId="166" fontId="4" fillId="3" borderId="0" xfId="1" applyNumberFormat="1" applyFont="1" applyFill="1"/>
    <xf numFmtId="0" fontId="6" fillId="0" borderId="44" xfId="0" applyFont="1" applyBorder="1"/>
    <xf numFmtId="0" fontId="4" fillId="0" borderId="45" xfId="0" applyFont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/>
    <xf numFmtId="0" fontId="4" fillId="0" borderId="47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48" xfId="0" applyFont="1" applyBorder="1"/>
    <xf numFmtId="0" fontId="6" fillId="0" borderId="0" xfId="0" applyFont="1" applyBorder="1" applyAlignment="1">
      <alignment horizontal="center"/>
    </xf>
    <xf numFmtId="0" fontId="6" fillId="0" borderId="47" xfId="0" applyFont="1" applyBorder="1"/>
    <xf numFmtId="43" fontId="6" fillId="0" borderId="0" xfId="1" applyNumberFormat="1" applyFont="1" applyBorder="1" applyAlignment="1">
      <alignment horizontal="center"/>
    </xf>
    <xf numFmtId="43" fontId="4" fillId="0" borderId="0" xfId="1" applyFont="1" applyBorder="1"/>
    <xf numFmtId="0" fontId="40" fillId="0" borderId="47" xfId="0" applyFont="1" applyBorder="1"/>
    <xf numFmtId="0" fontId="2" fillId="0" borderId="47" xfId="3" applyFont="1" applyFill="1" applyBorder="1" applyAlignment="1">
      <alignment vertical="center"/>
    </xf>
    <xf numFmtId="0" fontId="4" fillId="0" borderId="49" xfId="0" applyFont="1" applyBorder="1"/>
    <xf numFmtId="0" fontId="4" fillId="0" borderId="50" xfId="0" applyFont="1" applyBorder="1"/>
    <xf numFmtId="0" fontId="4" fillId="0" borderId="50" xfId="0" applyFont="1" applyBorder="1" applyAlignment="1">
      <alignment horizontal="center"/>
    </xf>
    <xf numFmtId="0" fontId="4" fillId="0" borderId="51" xfId="0" applyFont="1" applyBorder="1"/>
    <xf numFmtId="168" fontId="6" fillId="0" borderId="0" xfId="1" applyNumberFormat="1" applyFont="1" applyBorder="1" applyAlignment="1">
      <alignment horizontal="center"/>
    </xf>
    <xf numFmtId="168" fontId="4" fillId="0" borderId="0" xfId="1" applyNumberFormat="1" applyFont="1" applyBorder="1" applyAlignment="1">
      <alignment horizontal="center"/>
    </xf>
    <xf numFmtId="168" fontId="4" fillId="0" borderId="0" xfId="0" applyNumberFormat="1" applyFont="1" applyBorder="1"/>
    <xf numFmtId="165" fontId="4" fillId="0" borderId="0" xfId="0" applyNumberFormat="1" applyFont="1" applyAlignment="1">
      <alignment horizontal="center"/>
    </xf>
    <xf numFmtId="0" fontId="42" fillId="0" borderId="0" xfId="0" applyFont="1"/>
    <xf numFmtId="0" fontId="2" fillId="0" borderId="0" xfId="80" applyFont="1" applyAlignment="1">
      <alignment vertical="center"/>
    </xf>
    <xf numFmtId="0" fontId="2" fillId="0" borderId="0" xfId="80" applyFont="1" applyAlignment="1">
      <alignment horizontal="left"/>
    </xf>
    <xf numFmtId="0" fontId="2" fillId="0" borderId="0" xfId="80" applyFont="1" applyAlignment="1"/>
    <xf numFmtId="0" fontId="2" fillId="0" borderId="0" xfId="80" applyFont="1"/>
    <xf numFmtId="167" fontId="2" fillId="0" borderId="0" xfId="53" applyNumberFormat="1" applyFont="1"/>
    <xf numFmtId="0" fontId="2" fillId="45" borderId="0" xfId="80" applyFont="1" applyFill="1" applyBorder="1"/>
    <xf numFmtId="9" fontId="2" fillId="0" borderId="0" xfId="88" applyFont="1" applyFill="1" applyBorder="1"/>
    <xf numFmtId="2" fontId="2" fillId="0" borderId="0" xfId="80" applyNumberFormat="1" applyFont="1"/>
    <xf numFmtId="0" fontId="2" fillId="0" borderId="0" xfId="80" applyFont="1" applyFill="1" applyBorder="1"/>
    <xf numFmtId="0" fontId="2" fillId="0" borderId="0" xfId="80" applyFont="1" applyFill="1"/>
    <xf numFmtId="165" fontId="2" fillId="0" borderId="0" xfId="53" applyFont="1" applyFill="1"/>
    <xf numFmtId="0" fontId="23" fillId="46" borderId="0" xfId="80" applyFont="1" applyFill="1" applyAlignment="1">
      <alignment vertical="center"/>
    </xf>
    <xf numFmtId="0" fontId="23" fillId="46" borderId="0" xfId="80" applyFont="1" applyFill="1"/>
    <xf numFmtId="0" fontId="2" fillId="46" borderId="0" xfId="80" applyFont="1" applyFill="1" applyAlignment="1"/>
    <xf numFmtId="0" fontId="2" fillId="46" borderId="0" xfId="80" applyFont="1" applyFill="1"/>
    <xf numFmtId="167" fontId="2" fillId="46" borderId="0" xfId="53" applyNumberFormat="1" applyFont="1" applyFill="1"/>
    <xf numFmtId="0" fontId="2" fillId="46" borderId="0" xfId="80" applyFont="1" applyFill="1" applyBorder="1"/>
    <xf numFmtId="165" fontId="2" fillId="46" borderId="0" xfId="53" applyFont="1" applyFill="1"/>
    <xf numFmtId="2" fontId="2" fillId="46" borderId="0" xfId="80" applyNumberFormat="1" applyFont="1" applyFill="1"/>
    <xf numFmtId="0" fontId="43" fillId="0" borderId="0" xfId="80" applyFont="1"/>
    <xf numFmtId="9" fontId="2" fillId="0" borderId="47" xfId="88" applyFont="1" applyFill="1" applyBorder="1"/>
    <xf numFmtId="0" fontId="2" fillId="45" borderId="52" xfId="80" applyFont="1" applyFill="1" applyBorder="1"/>
    <xf numFmtId="0" fontId="2" fillId="0" borderId="52" xfId="80" applyFont="1" applyFill="1" applyBorder="1"/>
    <xf numFmtId="0" fontId="23" fillId="47" borderId="0" xfId="80" applyFont="1" applyFill="1" applyBorder="1" applyAlignment="1">
      <alignment horizontal="center"/>
    </xf>
    <xf numFmtId="0" fontId="44" fillId="48" borderId="25" xfId="142" applyFont="1" applyFill="1" applyBorder="1" applyAlignment="1">
      <alignment vertical="center"/>
    </xf>
    <xf numFmtId="0" fontId="44" fillId="48" borderId="25" xfId="142" applyFont="1" applyFill="1" applyBorder="1" applyAlignment="1">
      <alignment horizontal="left" vertical="center" wrapText="1"/>
    </xf>
    <xf numFmtId="0" fontId="2" fillId="48" borderId="1" xfId="80" applyFont="1" applyFill="1" applyBorder="1" applyAlignment="1"/>
    <xf numFmtId="0" fontId="2" fillId="48" borderId="2" xfId="80" applyFont="1" applyFill="1" applyBorder="1" applyAlignment="1"/>
    <xf numFmtId="0" fontId="2" fillId="48" borderId="2" xfId="80" applyFont="1" applyFill="1" applyBorder="1"/>
    <xf numFmtId="9" fontId="44" fillId="0" borderId="0" xfId="88" applyFont="1" applyFill="1" applyBorder="1" applyAlignment="1">
      <alignment horizontal="center"/>
    </xf>
    <xf numFmtId="11" fontId="2" fillId="45" borderId="0" xfId="80" applyNumberFormat="1" applyFont="1" applyFill="1" applyBorder="1"/>
    <xf numFmtId="0" fontId="44" fillId="48" borderId="53" xfId="80" applyFont="1" applyFill="1" applyBorder="1"/>
    <xf numFmtId="0" fontId="44" fillId="48" borderId="54" xfId="80" applyFont="1" applyFill="1" applyBorder="1"/>
    <xf numFmtId="0" fontId="44" fillId="48" borderId="56" xfId="80" applyFont="1" applyFill="1" applyBorder="1"/>
    <xf numFmtId="0" fontId="44" fillId="48" borderId="57" xfId="80" applyFont="1" applyFill="1" applyBorder="1" applyAlignment="1">
      <alignment horizontal="center"/>
    </xf>
    <xf numFmtId="0" fontId="44" fillId="48" borderId="60" xfId="142" applyFont="1" applyFill="1" applyBorder="1" applyAlignment="1">
      <alignment horizontal="left" vertical="center" wrapText="1"/>
    </xf>
    <xf numFmtId="0" fontId="44" fillId="48" borderId="25" xfId="142" applyFont="1" applyFill="1" applyBorder="1" applyAlignment="1">
      <alignment vertical="center" wrapText="1"/>
    </xf>
    <xf numFmtId="0" fontId="44" fillId="48" borderId="26" xfId="142" applyFont="1" applyFill="1" applyBorder="1" applyAlignment="1">
      <alignment vertical="center" wrapText="1"/>
    </xf>
    <xf numFmtId="0" fontId="44" fillId="48" borderId="60" xfId="142" applyFont="1" applyFill="1" applyBorder="1" applyAlignment="1">
      <alignment horizontal="center" vertical="center" wrapText="1"/>
    </xf>
    <xf numFmtId="17" fontId="46" fillId="48" borderId="61" xfId="80" applyNumberFormat="1" applyFont="1" applyFill="1" applyBorder="1" applyAlignment="1">
      <alignment horizontal="center"/>
    </xf>
    <xf numFmtId="17" fontId="46" fillId="48" borderId="61" xfId="80" applyNumberFormat="1" applyFont="1" applyFill="1" applyBorder="1"/>
    <xf numFmtId="17" fontId="47" fillId="49" borderId="61" xfId="80" applyNumberFormat="1" applyFont="1" applyFill="1" applyBorder="1" applyAlignment="1">
      <alignment horizontal="center" wrapText="1"/>
    </xf>
    <xf numFmtId="9" fontId="6" fillId="49" borderId="61" xfId="88" applyFont="1" applyFill="1" applyBorder="1" applyAlignment="1">
      <alignment horizontal="center"/>
    </xf>
    <xf numFmtId="0" fontId="44" fillId="48" borderId="62" xfId="80" applyFont="1" applyFill="1" applyBorder="1"/>
    <xf numFmtId="0" fontId="44" fillId="48" borderId="63" xfId="80" applyFont="1" applyFill="1" applyBorder="1"/>
    <xf numFmtId="0" fontId="44" fillId="48" borderId="64" xfId="80" applyFont="1" applyFill="1" applyBorder="1"/>
    <xf numFmtId="0" fontId="48" fillId="48" borderId="66" xfId="80" applyFont="1" applyFill="1" applyBorder="1"/>
    <xf numFmtId="0" fontId="44" fillId="48" borderId="64" xfId="80" applyFont="1" applyFill="1" applyBorder="1" applyAlignment="1">
      <alignment horizontal="center"/>
    </xf>
    <xf numFmtId="0" fontId="2" fillId="46" borderId="71" xfId="142" applyFont="1" applyFill="1" applyBorder="1" applyAlignment="1">
      <alignment vertical="center"/>
    </xf>
    <xf numFmtId="0" fontId="2" fillId="46" borderId="72" xfId="142" applyFont="1" applyFill="1" applyBorder="1" applyAlignment="1">
      <alignment horizontal="left" vertical="center" wrapText="1"/>
    </xf>
    <xf numFmtId="0" fontId="41" fillId="46" borderId="72" xfId="142" applyFont="1" applyFill="1" applyBorder="1" applyAlignment="1">
      <alignment vertical="center" wrapText="1"/>
    </xf>
    <xf numFmtId="0" fontId="2" fillId="46" borderId="72" xfId="142" applyFont="1" applyFill="1" applyBorder="1" applyAlignment="1">
      <alignment vertical="center" wrapText="1"/>
    </xf>
    <xf numFmtId="0" fontId="2" fillId="46" borderId="73" xfId="142" applyFont="1" applyFill="1" applyBorder="1" applyAlignment="1">
      <alignment horizontal="center" vertical="center" wrapText="1"/>
    </xf>
    <xf numFmtId="167" fontId="2" fillId="0" borderId="74" xfId="53" applyNumberFormat="1" applyFont="1" applyFill="1" applyBorder="1" applyAlignment="1"/>
    <xf numFmtId="167" fontId="2" fillId="0" borderId="75" xfId="53" applyNumberFormat="1" applyFont="1" applyFill="1" applyBorder="1" applyAlignment="1"/>
    <xf numFmtId="167" fontId="2" fillId="0" borderId="76" xfId="53" applyNumberFormat="1" applyFont="1" applyFill="1" applyBorder="1" applyAlignment="1"/>
    <xf numFmtId="167" fontId="2" fillId="0" borderId="54" xfId="53" applyNumberFormat="1" applyFont="1" applyFill="1" applyBorder="1"/>
    <xf numFmtId="167" fontId="2" fillId="0" borderId="75" xfId="53" applyNumberFormat="1" applyFont="1" applyFill="1" applyBorder="1"/>
    <xf numFmtId="167" fontId="2" fillId="0" borderId="56" xfId="53" applyNumberFormat="1" applyFont="1" applyFill="1" applyBorder="1"/>
    <xf numFmtId="167" fontId="2" fillId="0" borderId="28" xfId="53" applyNumberFormat="1" applyFont="1" applyFill="1" applyBorder="1" applyAlignment="1"/>
    <xf numFmtId="167" fontId="2" fillId="0" borderId="77" xfId="53" applyNumberFormat="1" applyFont="1" applyFill="1" applyBorder="1" applyAlignment="1"/>
    <xf numFmtId="167" fontId="2" fillId="0" borderId="78" xfId="53" applyNumberFormat="1" applyFont="1" applyFill="1" applyBorder="1" applyAlignment="1"/>
    <xf numFmtId="167" fontId="2" fillId="0" borderId="79" xfId="53" applyNumberFormat="1" applyFont="1" applyFill="1" applyBorder="1" applyAlignment="1"/>
    <xf numFmtId="167" fontId="2" fillId="0" borderId="54" xfId="53" applyNumberFormat="1" applyFont="1" applyFill="1" applyBorder="1" applyAlignment="1"/>
    <xf numFmtId="167" fontId="2" fillId="0" borderId="80" xfId="53" applyNumberFormat="1" applyFont="1" applyFill="1" applyBorder="1" applyAlignment="1"/>
    <xf numFmtId="9" fontId="2" fillId="0" borderId="76" xfId="88" applyFont="1" applyFill="1" applyBorder="1" applyAlignment="1"/>
    <xf numFmtId="167" fontId="2" fillId="0" borderId="53" xfId="53" applyNumberFormat="1" applyFont="1" applyFill="1" applyBorder="1" applyAlignment="1"/>
    <xf numFmtId="167" fontId="2" fillId="0" borderId="81" xfId="53" applyNumberFormat="1" applyFont="1" applyFill="1" applyBorder="1" applyAlignment="1"/>
    <xf numFmtId="167" fontId="2" fillId="0" borderId="82" xfId="53" applyNumberFormat="1" applyFont="1" applyFill="1" applyBorder="1" applyAlignment="1"/>
    <xf numFmtId="165" fontId="2" fillId="0" borderId="53" xfId="53" applyFont="1" applyFill="1" applyBorder="1" applyAlignment="1"/>
    <xf numFmtId="165" fontId="2" fillId="0" borderId="83" xfId="53" applyFont="1" applyFill="1" applyBorder="1" applyAlignment="1"/>
    <xf numFmtId="165" fontId="2" fillId="0" borderId="54" xfId="53" applyFont="1" applyFill="1" applyBorder="1"/>
    <xf numFmtId="165" fontId="2" fillId="0" borderId="75" xfId="53" applyFont="1" applyFill="1" applyBorder="1"/>
    <xf numFmtId="165" fontId="2" fillId="0" borderId="56" xfId="53" applyFont="1" applyFill="1" applyBorder="1"/>
    <xf numFmtId="165" fontId="2" fillId="0" borderId="76" xfId="53" applyFont="1" applyFill="1" applyBorder="1" applyAlignment="1"/>
    <xf numFmtId="165" fontId="2" fillId="0" borderId="79" xfId="53" applyFont="1" applyFill="1" applyBorder="1" applyAlignment="1"/>
    <xf numFmtId="165" fontId="2" fillId="0" borderId="74" xfId="53" applyFont="1" applyFill="1" applyBorder="1" applyAlignment="1"/>
    <xf numFmtId="165" fontId="2" fillId="0" borderId="54" xfId="53" applyFont="1" applyFill="1" applyBorder="1" applyAlignment="1"/>
    <xf numFmtId="165" fontId="2" fillId="0" borderId="80" xfId="53" applyFont="1" applyFill="1" applyBorder="1" applyAlignment="1"/>
    <xf numFmtId="165" fontId="2" fillId="0" borderId="52" xfId="53" applyFont="1" applyFill="1" applyBorder="1"/>
    <xf numFmtId="165" fontId="2" fillId="0" borderId="84" xfId="53" applyFont="1" applyFill="1" applyBorder="1"/>
    <xf numFmtId="165" fontId="2" fillId="0" borderId="80" xfId="53" applyFont="1" applyFill="1" applyBorder="1"/>
    <xf numFmtId="167" fontId="2" fillId="0" borderId="53" xfId="53" applyNumberFormat="1" applyFont="1" applyFill="1" applyBorder="1"/>
    <xf numFmtId="9" fontId="2" fillId="0" borderId="84" xfId="88" applyFont="1" applyFill="1" applyBorder="1"/>
    <xf numFmtId="165" fontId="3" fillId="0" borderId="85" xfId="53" applyFont="1" applyFill="1" applyBorder="1"/>
    <xf numFmtId="165" fontId="2" fillId="0" borderId="86" xfId="53" applyFont="1" applyFill="1" applyBorder="1"/>
    <xf numFmtId="165" fontId="2" fillId="0" borderId="87" xfId="53" applyFont="1" applyFill="1" applyBorder="1"/>
    <xf numFmtId="9" fontId="2" fillId="0" borderId="56" xfId="88" applyFont="1" applyFill="1" applyBorder="1"/>
    <xf numFmtId="165" fontId="2" fillId="0" borderId="88" xfId="53" applyFont="1" applyFill="1" applyBorder="1"/>
    <xf numFmtId="165" fontId="2" fillId="0" borderId="0" xfId="80" applyNumberFormat="1" applyFont="1" applyFill="1"/>
    <xf numFmtId="167" fontId="2" fillId="0" borderId="0" xfId="80" applyNumberFormat="1" applyFont="1" applyFill="1"/>
    <xf numFmtId="2" fontId="2" fillId="0" borderId="0" xfId="80" applyNumberFormat="1" applyFont="1" applyFill="1"/>
    <xf numFmtId="0" fontId="2" fillId="46" borderId="30" xfId="142" applyFont="1" applyFill="1" applyBorder="1" applyAlignment="1">
      <alignment vertical="center"/>
    </xf>
    <xf numFmtId="0" fontId="2" fillId="46" borderId="4" xfId="142" applyFont="1" applyFill="1" applyBorder="1" applyAlignment="1">
      <alignment horizontal="left" vertical="center" wrapText="1"/>
    </xf>
    <xf numFmtId="0" fontId="41" fillId="46" borderId="4" xfId="142" applyFont="1" applyFill="1" applyBorder="1" applyAlignment="1">
      <alignment vertical="center" wrapText="1"/>
    </xf>
    <xf numFmtId="0" fontId="2" fillId="46" borderId="4" xfId="142" applyFont="1" applyFill="1" applyBorder="1" applyAlignment="1">
      <alignment vertical="center" wrapText="1"/>
    </xf>
    <xf numFmtId="0" fontId="2" fillId="46" borderId="31" xfId="142" applyFont="1" applyFill="1" applyBorder="1" applyAlignment="1">
      <alignment horizontal="center" vertical="center" wrapText="1"/>
    </xf>
    <xf numFmtId="167" fontId="2" fillId="0" borderId="89" xfId="53" applyNumberFormat="1" applyFont="1" applyFill="1" applyBorder="1" applyAlignment="1"/>
    <xf numFmtId="167" fontId="2" fillId="0" borderId="83" xfId="53" applyNumberFormat="1" applyFont="1" applyFill="1" applyBorder="1" applyAlignment="1"/>
    <xf numFmtId="167" fontId="2" fillId="0" borderId="90" xfId="53" applyNumberFormat="1" applyFont="1" applyFill="1" applyBorder="1"/>
    <xf numFmtId="167" fontId="2" fillId="0" borderId="91" xfId="53" applyNumberFormat="1" applyFont="1" applyFill="1" applyBorder="1" applyAlignment="1"/>
    <xf numFmtId="167" fontId="2" fillId="0" borderId="92" xfId="53" applyNumberFormat="1" applyFont="1" applyFill="1" applyBorder="1" applyAlignment="1"/>
    <xf numFmtId="167" fontId="2" fillId="0" borderId="93" xfId="53" applyNumberFormat="1" applyFont="1" applyFill="1" applyBorder="1" applyAlignment="1"/>
    <xf numFmtId="167" fontId="2" fillId="0" borderId="0" xfId="53" applyNumberFormat="1" applyFont="1" applyFill="1" applyBorder="1" applyAlignment="1"/>
    <xf numFmtId="167" fontId="2" fillId="0" borderId="48" xfId="53" applyNumberFormat="1" applyFont="1" applyFill="1" applyBorder="1" applyAlignment="1"/>
    <xf numFmtId="165" fontId="2" fillId="0" borderId="75" xfId="53" applyFont="1" applyFill="1" applyBorder="1" applyAlignment="1"/>
    <xf numFmtId="11" fontId="2" fillId="0" borderId="0" xfId="80" applyNumberFormat="1" applyFont="1" applyFill="1" applyBorder="1"/>
    <xf numFmtId="165" fontId="2" fillId="0" borderId="91" xfId="53" applyFont="1" applyFill="1" applyBorder="1" applyAlignment="1"/>
    <xf numFmtId="165" fontId="2" fillId="0" borderId="92" xfId="53" applyFont="1" applyFill="1" applyBorder="1" applyAlignment="1"/>
    <xf numFmtId="165" fontId="2" fillId="0" borderId="90" xfId="53" applyFont="1" applyFill="1" applyBorder="1"/>
    <xf numFmtId="165" fontId="3" fillId="0" borderId="94" xfId="53" applyFont="1" applyFill="1" applyBorder="1"/>
    <xf numFmtId="165" fontId="2" fillId="0" borderId="95" xfId="53" applyFont="1" applyFill="1" applyBorder="1" applyAlignment="1"/>
    <xf numFmtId="167" fontId="2" fillId="0" borderId="75" xfId="53" applyNumberFormat="1" applyFont="1" applyFill="1" applyBorder="1" applyAlignment="1">
      <alignment wrapText="1"/>
    </xf>
    <xf numFmtId="165" fontId="2" fillId="0" borderId="75" xfId="53" applyFont="1" applyFill="1" applyBorder="1" applyAlignment="1">
      <alignment wrapText="1"/>
    </xf>
    <xf numFmtId="167" fontId="2" fillId="0" borderId="89" xfId="53" applyNumberFormat="1" applyFont="1" applyFill="1" applyBorder="1" applyAlignment="1">
      <alignment vertical="center" wrapText="1"/>
    </xf>
    <xf numFmtId="167" fontId="2" fillId="0" borderId="75" xfId="53" applyNumberFormat="1" applyFont="1" applyFill="1" applyBorder="1" applyAlignment="1">
      <alignment vertical="center" wrapText="1"/>
    </xf>
    <xf numFmtId="167" fontId="2" fillId="0" borderId="83" xfId="53" applyNumberFormat="1" applyFont="1" applyFill="1" applyBorder="1" applyAlignment="1">
      <alignment vertical="center" wrapText="1"/>
    </xf>
    <xf numFmtId="167" fontId="2" fillId="0" borderId="92" xfId="53" applyNumberFormat="1" applyFont="1" applyFill="1" applyBorder="1" applyAlignment="1">
      <alignment vertical="center" wrapText="1"/>
    </xf>
    <xf numFmtId="167" fontId="2" fillId="0" borderId="93" xfId="53" applyNumberFormat="1" applyFont="1" applyFill="1" applyBorder="1" applyAlignment="1">
      <alignment vertical="center" wrapText="1"/>
    </xf>
    <xf numFmtId="167" fontId="2" fillId="0" borderId="0" xfId="53" applyNumberFormat="1" applyFont="1" applyFill="1" applyBorder="1" applyAlignment="1">
      <alignment vertical="center" wrapText="1"/>
    </xf>
    <xf numFmtId="167" fontId="2" fillId="0" borderId="48" xfId="53" applyNumberFormat="1" applyFont="1" applyFill="1" applyBorder="1" applyAlignment="1">
      <alignment vertical="center" wrapText="1"/>
    </xf>
    <xf numFmtId="165" fontId="2" fillId="0" borderId="83" xfId="53" applyFont="1" applyFill="1" applyBorder="1" applyAlignment="1">
      <alignment vertical="center" wrapText="1"/>
    </xf>
    <xf numFmtId="165" fontId="2" fillId="0" borderId="96" xfId="53" applyFont="1" applyFill="1" applyBorder="1" applyAlignment="1"/>
    <xf numFmtId="165" fontId="2" fillId="0" borderId="94" xfId="53" applyFont="1" applyFill="1" applyBorder="1"/>
    <xf numFmtId="0" fontId="2" fillId="46" borderId="4" xfId="142" applyFont="1" applyFill="1" applyBorder="1" applyAlignment="1">
      <alignment vertical="center"/>
    </xf>
    <xf numFmtId="165" fontId="2" fillId="0" borderId="97" xfId="53" applyFont="1" applyFill="1" applyBorder="1" applyAlignment="1"/>
    <xf numFmtId="167" fontId="2" fillId="0" borderId="98" xfId="53" applyNumberFormat="1" applyFont="1" applyFill="1" applyBorder="1"/>
    <xf numFmtId="165" fontId="2" fillId="0" borderId="98" xfId="53" applyFont="1" applyFill="1" applyBorder="1"/>
    <xf numFmtId="167" fontId="2" fillId="0" borderId="99" xfId="53" applyNumberFormat="1" applyFont="1" applyFill="1" applyBorder="1"/>
    <xf numFmtId="167" fontId="2" fillId="0" borderId="96" xfId="53" applyNumberFormat="1" applyFont="1" applyFill="1" applyBorder="1" applyAlignment="1"/>
    <xf numFmtId="167" fontId="2" fillId="0" borderId="99" xfId="53" applyNumberFormat="1" applyFont="1" applyFill="1" applyBorder="1" applyAlignment="1"/>
    <xf numFmtId="167" fontId="2" fillId="0" borderId="100" xfId="53" applyNumberFormat="1" applyFont="1" applyFill="1" applyBorder="1" applyAlignment="1"/>
    <xf numFmtId="167" fontId="2" fillId="0" borderId="97" xfId="53" applyNumberFormat="1" applyFont="1" applyFill="1" applyBorder="1" applyAlignment="1"/>
    <xf numFmtId="167" fontId="2" fillId="0" borderId="101" xfId="53" applyNumberFormat="1" applyFont="1" applyFill="1" applyBorder="1" applyAlignment="1"/>
    <xf numFmtId="165" fontId="2" fillId="0" borderId="99" xfId="53" applyFont="1" applyFill="1" applyBorder="1"/>
    <xf numFmtId="165" fontId="2" fillId="0" borderId="102" xfId="53" applyFont="1" applyFill="1" applyBorder="1"/>
    <xf numFmtId="165" fontId="2" fillId="0" borderId="0" xfId="53" applyFont="1" applyFill="1" applyBorder="1" applyAlignment="1"/>
    <xf numFmtId="165" fontId="2" fillId="0" borderId="99" xfId="53" applyFont="1" applyFill="1" applyBorder="1" applyAlignment="1"/>
    <xf numFmtId="165" fontId="2" fillId="0" borderId="100" xfId="53" applyFont="1" applyFill="1" applyBorder="1" applyAlignment="1"/>
    <xf numFmtId="165" fontId="2" fillId="0" borderId="100" xfId="53" applyFont="1" applyFill="1" applyBorder="1"/>
    <xf numFmtId="165" fontId="2" fillId="0" borderId="48" xfId="53" applyFont="1" applyFill="1" applyBorder="1"/>
    <xf numFmtId="165" fontId="2" fillId="0" borderId="0" xfId="53" applyFont="1" applyFill="1" applyBorder="1"/>
    <xf numFmtId="0" fontId="2" fillId="46" borderId="36" xfId="142" applyFont="1" applyFill="1" applyBorder="1" applyAlignment="1">
      <alignment vertical="center"/>
    </xf>
    <xf numFmtId="0" fontId="2" fillId="46" borderId="37" xfId="142" applyFont="1" applyFill="1" applyBorder="1" applyAlignment="1">
      <alignment horizontal="left" vertical="center" wrapText="1"/>
    </xf>
    <xf numFmtId="0" fontId="41" fillId="46" borderId="37" xfId="142" applyFont="1" applyFill="1" applyBorder="1" applyAlignment="1">
      <alignment vertical="center" wrapText="1"/>
    </xf>
    <xf numFmtId="0" fontId="2" fillId="46" borderId="37" xfId="142" applyFont="1" applyFill="1" applyBorder="1" applyAlignment="1">
      <alignment vertical="center" wrapText="1"/>
    </xf>
    <xf numFmtId="0" fontId="2" fillId="46" borderId="38" xfId="142" applyFont="1" applyFill="1" applyBorder="1" applyAlignment="1">
      <alignment horizontal="center" vertical="center" wrapText="1"/>
    </xf>
    <xf numFmtId="167" fontId="2" fillId="0" borderId="95" xfId="53" applyNumberFormat="1" applyFont="1" applyFill="1" applyBorder="1" applyAlignment="1"/>
    <xf numFmtId="0" fontId="3" fillId="0" borderId="0" xfId="80" applyFont="1"/>
    <xf numFmtId="0" fontId="3" fillId="50" borderId="67" xfId="142" applyFont="1" applyFill="1" applyBorder="1" applyAlignment="1">
      <alignment vertical="center"/>
    </xf>
    <xf numFmtId="0" fontId="3" fillId="50" borderId="68" xfId="142" applyFont="1" applyFill="1" applyBorder="1" applyAlignment="1">
      <alignment horizontal="center" vertical="center" wrapText="1"/>
    </xf>
    <xf numFmtId="167" fontId="3" fillId="50" borderId="3" xfId="53" applyNumberFormat="1" applyFont="1" applyFill="1" applyBorder="1" applyAlignment="1"/>
    <xf numFmtId="167" fontId="3" fillId="50" borderId="103" xfId="53" applyNumberFormat="1" applyFont="1" applyFill="1" applyBorder="1" applyAlignment="1"/>
    <xf numFmtId="167" fontId="3" fillId="50" borderId="104" xfId="53" applyNumberFormat="1" applyFont="1" applyFill="1" applyBorder="1" applyAlignment="1"/>
    <xf numFmtId="167" fontId="3" fillId="45" borderId="0" xfId="80" applyNumberFormat="1" applyFont="1" applyFill="1" applyBorder="1"/>
    <xf numFmtId="9" fontId="3" fillId="50" borderId="105" xfId="88" applyFont="1" applyFill="1" applyBorder="1" applyAlignment="1"/>
    <xf numFmtId="0" fontId="3" fillId="45" borderId="0" xfId="80" applyFont="1" applyFill="1" applyBorder="1"/>
    <xf numFmtId="0" fontId="3" fillId="0" borderId="0" xfId="80" applyFont="1" applyFill="1" applyBorder="1"/>
    <xf numFmtId="165" fontId="3" fillId="50" borderId="103" xfId="53" applyFont="1" applyFill="1" applyBorder="1" applyAlignment="1"/>
    <xf numFmtId="165" fontId="3" fillId="50" borderId="106" xfId="53" applyFont="1" applyFill="1" applyBorder="1" applyAlignment="1"/>
    <xf numFmtId="165" fontId="3" fillId="50" borderId="107" xfId="53" applyFont="1" applyFill="1" applyBorder="1" applyAlignment="1"/>
    <xf numFmtId="173" fontId="3" fillId="50" borderId="107" xfId="53" applyNumberFormat="1" applyFont="1" applyFill="1" applyBorder="1" applyAlignment="1"/>
    <xf numFmtId="165" fontId="3" fillId="50" borderId="108" xfId="53" applyFont="1" applyFill="1" applyBorder="1" applyAlignment="1"/>
    <xf numFmtId="165" fontId="3" fillId="50" borderId="3" xfId="53" applyFont="1" applyFill="1" applyBorder="1" applyAlignment="1"/>
    <xf numFmtId="165" fontId="3" fillId="50" borderId="104" xfId="53" applyFont="1" applyFill="1" applyBorder="1" applyAlignment="1"/>
    <xf numFmtId="165" fontId="3" fillId="50" borderId="105" xfId="53" applyFont="1" applyFill="1" applyBorder="1" applyAlignment="1"/>
    <xf numFmtId="165" fontId="3" fillId="50" borderId="109" xfId="53" applyFont="1" applyFill="1" applyBorder="1" applyAlignment="1"/>
    <xf numFmtId="165" fontId="3" fillId="0" borderId="52" xfId="80" applyNumberFormat="1" applyFont="1" applyFill="1" applyBorder="1"/>
    <xf numFmtId="165" fontId="3" fillId="0" borderId="100" xfId="53" applyFont="1" applyFill="1" applyBorder="1" applyAlignment="1"/>
    <xf numFmtId="167" fontId="3" fillId="50" borderId="107" xfId="53" applyNumberFormat="1" applyFont="1" applyFill="1" applyBorder="1"/>
    <xf numFmtId="165" fontId="3" fillId="50" borderId="107" xfId="53" applyNumberFormat="1" applyFont="1" applyFill="1" applyBorder="1"/>
    <xf numFmtId="165" fontId="3" fillId="50" borderId="108" xfId="53" applyNumberFormat="1" applyFont="1" applyFill="1" applyBorder="1"/>
    <xf numFmtId="165" fontId="3" fillId="0" borderId="0" xfId="53" applyFont="1" applyFill="1"/>
    <xf numFmtId="9" fontId="3" fillId="50" borderId="56" xfId="88" applyFont="1" applyFill="1" applyBorder="1"/>
    <xf numFmtId="165" fontId="3" fillId="50" borderId="110" xfId="53" applyFont="1" applyFill="1" applyBorder="1"/>
    <xf numFmtId="165" fontId="3" fillId="50" borderId="111" xfId="53" applyFont="1" applyFill="1" applyBorder="1"/>
    <xf numFmtId="165" fontId="3" fillId="50" borderId="108" xfId="53" applyFont="1" applyFill="1" applyBorder="1"/>
    <xf numFmtId="0" fontId="3" fillId="0" borderId="0" xfId="80" applyFont="1" applyFill="1"/>
    <xf numFmtId="0" fontId="2" fillId="46" borderId="4" xfId="142" applyFont="1" applyFill="1" applyBorder="1" applyAlignment="1">
      <alignment horizontal="center" vertical="center" wrapText="1"/>
    </xf>
    <xf numFmtId="0" fontId="3" fillId="50" borderId="112" xfId="142" applyFont="1" applyFill="1" applyBorder="1" applyAlignment="1">
      <alignment vertical="center"/>
    </xf>
    <xf numFmtId="0" fontId="3" fillId="50" borderId="109" xfId="142" applyFont="1" applyFill="1" applyBorder="1" applyAlignment="1">
      <alignment horizontal="center" vertical="center" wrapText="1"/>
    </xf>
    <xf numFmtId="167" fontId="3" fillId="50" borderId="113" xfId="53" applyNumberFormat="1" applyFont="1" applyFill="1" applyBorder="1"/>
    <xf numFmtId="167" fontId="2" fillId="0" borderId="114" xfId="53" applyNumberFormat="1" applyFont="1" applyFill="1" applyBorder="1" applyAlignment="1"/>
    <xf numFmtId="167" fontId="2" fillId="0" borderId="102" xfId="53" applyNumberFormat="1" applyFont="1" applyFill="1" applyBorder="1"/>
    <xf numFmtId="167" fontId="2" fillId="0" borderId="115" xfId="53" applyNumberFormat="1" applyFont="1" applyFill="1" applyBorder="1" applyAlignment="1"/>
    <xf numFmtId="167" fontId="2" fillId="0" borderId="47" xfId="53" applyNumberFormat="1" applyFont="1" applyFill="1" applyBorder="1" applyAlignment="1"/>
    <xf numFmtId="165" fontId="2" fillId="0" borderId="0" xfId="80" applyNumberFormat="1" applyFont="1" applyFill="1" applyBorder="1"/>
    <xf numFmtId="165" fontId="2" fillId="0" borderId="115" xfId="53" applyFont="1" applyFill="1" applyBorder="1" applyAlignment="1"/>
    <xf numFmtId="0" fontId="3" fillId="51" borderId="0" xfId="80" applyFont="1" applyFill="1"/>
    <xf numFmtId="167" fontId="34" fillId="0" borderId="75" xfId="53" applyNumberFormat="1" applyFont="1" applyFill="1" applyBorder="1"/>
    <xf numFmtId="165" fontId="3" fillId="0" borderId="54" xfId="53" applyFont="1" applyFill="1" applyBorder="1"/>
    <xf numFmtId="167" fontId="2" fillId="0" borderId="56" xfId="53" applyNumberFormat="1" applyFont="1" applyFill="1" applyBorder="1" applyAlignment="1"/>
    <xf numFmtId="165" fontId="2" fillId="4" borderId="53" xfId="53" applyFont="1" applyFill="1" applyBorder="1" applyAlignment="1"/>
    <xf numFmtId="0" fontId="2" fillId="46" borderId="16" xfId="142" applyFont="1" applyFill="1" applyBorder="1" applyAlignment="1">
      <alignment horizontal="left" vertical="center" wrapText="1"/>
    </xf>
    <xf numFmtId="0" fontId="2" fillId="46" borderId="34" xfId="142" applyFont="1" applyFill="1" applyBorder="1" applyAlignment="1">
      <alignment vertical="center"/>
    </xf>
    <xf numFmtId="0" fontId="2" fillId="46" borderId="116" xfId="142" applyFont="1" applyFill="1" applyBorder="1" applyAlignment="1">
      <alignment horizontal="center" vertical="center" wrapText="1"/>
    </xf>
    <xf numFmtId="0" fontId="2" fillId="46" borderId="4" xfId="80" applyFill="1" applyBorder="1"/>
    <xf numFmtId="0" fontId="2" fillId="46" borderId="4" xfId="80" applyFont="1" applyFill="1" applyBorder="1" applyAlignment="1">
      <alignment wrapText="1"/>
    </xf>
    <xf numFmtId="165" fontId="2" fillId="4" borderId="92" xfId="53" applyFont="1" applyFill="1" applyBorder="1" applyAlignment="1"/>
    <xf numFmtId="0" fontId="2" fillId="46" borderId="20" xfId="142" applyFont="1" applyFill="1" applyBorder="1" applyAlignment="1">
      <alignment vertical="center" wrapText="1"/>
    </xf>
    <xf numFmtId="165" fontId="2" fillId="0" borderId="83" xfId="53" applyNumberFormat="1" applyFont="1" applyFill="1" applyBorder="1" applyAlignment="1"/>
    <xf numFmtId="165" fontId="2" fillId="0" borderId="75" xfId="53" applyNumberFormat="1" applyFont="1" applyFill="1" applyBorder="1"/>
    <xf numFmtId="0" fontId="2" fillId="0" borderId="0" xfId="80" applyFont="1" applyBorder="1"/>
    <xf numFmtId="165" fontId="2" fillId="4" borderId="95" xfId="53" applyFont="1" applyFill="1" applyBorder="1" applyAlignment="1"/>
    <xf numFmtId="167" fontId="2" fillId="0" borderId="96" xfId="53" applyNumberFormat="1" applyFont="1" applyFill="1" applyBorder="1"/>
    <xf numFmtId="167" fontId="2" fillId="0" borderId="117" xfId="53" applyNumberFormat="1" applyFont="1" applyFill="1" applyBorder="1"/>
    <xf numFmtId="9" fontId="2" fillId="0" borderId="118" xfId="88" applyFont="1" applyFill="1" applyBorder="1"/>
    <xf numFmtId="165" fontId="2" fillId="0" borderId="119" xfId="53" applyFont="1" applyFill="1" applyBorder="1"/>
    <xf numFmtId="165" fontId="2" fillId="0" borderId="117" xfId="53" applyFont="1" applyFill="1" applyBorder="1"/>
    <xf numFmtId="165" fontId="2" fillId="0" borderId="120" xfId="53" applyFont="1" applyFill="1" applyBorder="1"/>
    <xf numFmtId="9" fontId="2" fillId="0" borderId="120" xfId="88" applyFont="1" applyFill="1" applyBorder="1"/>
    <xf numFmtId="165" fontId="2" fillId="0" borderId="117" xfId="53" applyFont="1" applyFill="1" applyBorder="1" applyAlignment="1"/>
    <xf numFmtId="165" fontId="3" fillId="0" borderId="119" xfId="53" applyFont="1" applyFill="1" applyBorder="1"/>
    <xf numFmtId="167" fontId="2" fillId="0" borderId="121" xfId="53" applyNumberFormat="1" applyFont="1" applyFill="1" applyBorder="1" applyAlignment="1"/>
    <xf numFmtId="167" fontId="2" fillId="0" borderId="122" xfId="53" applyNumberFormat="1" applyFont="1" applyFill="1" applyBorder="1" applyAlignment="1"/>
    <xf numFmtId="0" fontId="3" fillId="50" borderId="123" xfId="142" applyFont="1" applyFill="1" applyBorder="1" applyAlignment="1">
      <alignment vertical="center"/>
    </xf>
    <xf numFmtId="0" fontId="3" fillId="50" borderId="124" xfId="142" applyFont="1" applyFill="1" applyBorder="1" applyAlignment="1">
      <alignment horizontal="center" vertical="center" wrapText="1"/>
    </xf>
    <xf numFmtId="167" fontId="3" fillId="50" borderId="106" xfId="53" applyNumberFormat="1" applyFont="1" applyFill="1" applyBorder="1" applyAlignment="1"/>
    <xf numFmtId="167" fontId="3" fillId="50" borderId="126" xfId="53" applyNumberFormat="1" applyFont="1" applyFill="1" applyBorder="1" applyAlignment="1"/>
    <xf numFmtId="167" fontId="3" fillId="50" borderId="6" xfId="53" applyNumberFormat="1" applyFont="1" applyFill="1" applyBorder="1" applyAlignment="1"/>
    <xf numFmtId="167" fontId="3" fillId="50" borderId="127" xfId="53" applyNumberFormat="1" applyFont="1" applyFill="1" applyBorder="1" applyAlignment="1"/>
    <xf numFmtId="167" fontId="3" fillId="50" borderId="128" xfId="53" applyNumberFormat="1" applyFont="1" applyFill="1" applyBorder="1" applyAlignment="1"/>
    <xf numFmtId="9" fontId="3" fillId="50" borderId="127" xfId="88" applyFont="1" applyFill="1" applyBorder="1" applyAlignment="1"/>
    <xf numFmtId="167" fontId="3" fillId="50" borderId="129" xfId="53" applyNumberFormat="1" applyFont="1" applyFill="1" applyBorder="1" applyAlignment="1"/>
    <xf numFmtId="167" fontId="3" fillId="50" borderId="49" xfId="53" applyNumberFormat="1" applyFont="1" applyFill="1" applyBorder="1" applyAlignment="1"/>
    <xf numFmtId="167" fontId="3" fillId="50" borderId="50" xfId="53" applyNumberFormat="1" applyFont="1" applyFill="1" applyBorder="1" applyAlignment="1"/>
    <xf numFmtId="167" fontId="3" fillId="50" borderId="51" xfId="53" applyNumberFormat="1" applyFont="1" applyFill="1" applyBorder="1" applyAlignment="1"/>
    <xf numFmtId="165" fontId="3" fillId="50" borderId="126" xfId="53" applyFont="1" applyFill="1" applyBorder="1" applyAlignment="1"/>
    <xf numFmtId="165" fontId="3" fillId="50" borderId="127" xfId="53" applyFont="1" applyFill="1" applyBorder="1" applyAlignment="1"/>
    <xf numFmtId="165" fontId="3" fillId="50" borderId="128" xfId="53" applyFont="1" applyFill="1" applyBorder="1" applyAlignment="1"/>
    <xf numFmtId="167" fontId="3" fillId="50" borderId="130" xfId="53" applyNumberFormat="1" applyFont="1" applyFill="1" applyBorder="1"/>
    <xf numFmtId="9" fontId="3" fillId="50" borderId="131" xfId="88" applyFont="1" applyFill="1" applyBorder="1"/>
    <xf numFmtId="0" fontId="3" fillId="50" borderId="44" xfId="142" applyFont="1" applyFill="1" applyBorder="1" applyAlignment="1">
      <alignment vertical="center"/>
    </xf>
    <xf numFmtId="0" fontId="3" fillId="50" borderId="46" xfId="142" applyFont="1" applyFill="1" applyBorder="1" applyAlignment="1">
      <alignment horizontal="center" vertical="center" wrapText="1"/>
    </xf>
    <xf numFmtId="167" fontId="3" fillId="50" borderId="57" xfId="53" applyNumberFormat="1" applyFont="1" applyFill="1" applyBorder="1" applyAlignment="1"/>
    <xf numFmtId="9" fontId="3" fillId="50" borderId="3" xfId="88" applyFont="1" applyFill="1" applyBorder="1" applyAlignment="1"/>
    <xf numFmtId="167" fontId="3" fillId="50" borderId="103" xfId="53" applyNumberFormat="1" applyFont="1" applyFill="1" applyBorder="1"/>
    <xf numFmtId="167" fontId="3" fillId="50" borderId="104" xfId="53" applyNumberFormat="1" applyFont="1" applyFill="1" applyBorder="1"/>
    <xf numFmtId="167" fontId="3" fillId="50" borderId="132" xfId="53" applyNumberFormat="1" applyFont="1" applyFill="1" applyBorder="1"/>
    <xf numFmtId="167" fontId="3" fillId="50" borderId="133" xfId="53" applyNumberFormat="1" applyFont="1" applyFill="1" applyBorder="1"/>
    <xf numFmtId="165" fontId="3" fillId="50" borderId="132" xfId="53" applyFont="1" applyFill="1" applyBorder="1"/>
    <xf numFmtId="9" fontId="3" fillId="50" borderId="133" xfId="88" applyFont="1" applyFill="1" applyBorder="1"/>
    <xf numFmtId="165" fontId="3" fillId="50" borderId="103" xfId="53" applyFont="1" applyFill="1" applyBorder="1"/>
    <xf numFmtId="165" fontId="3" fillId="50" borderId="106" xfId="53" applyFont="1" applyFill="1" applyBorder="1"/>
    <xf numFmtId="167" fontId="2" fillId="0" borderId="86" xfId="53" applyNumberFormat="1" applyFont="1" applyFill="1" applyBorder="1" applyAlignment="1"/>
    <xf numFmtId="167" fontId="2" fillId="0" borderId="100" xfId="53" applyNumberFormat="1" applyFont="1" applyFill="1" applyBorder="1"/>
    <xf numFmtId="165" fontId="2" fillId="0" borderId="53" xfId="53" applyNumberFormat="1" applyFont="1" applyFill="1" applyBorder="1" applyAlignment="1"/>
    <xf numFmtId="165" fontId="2" fillId="0" borderId="86" xfId="53" applyFont="1" applyFill="1" applyBorder="1" applyAlignment="1"/>
    <xf numFmtId="165" fontId="2" fillId="0" borderId="85" xfId="53" applyFont="1" applyFill="1" applyBorder="1"/>
    <xf numFmtId="165" fontId="2" fillId="45" borderId="0" xfId="53" applyFont="1" applyFill="1" applyBorder="1"/>
    <xf numFmtId="9" fontId="2" fillId="0" borderId="134" xfId="88" applyFont="1" applyFill="1" applyBorder="1" applyAlignment="1"/>
    <xf numFmtId="167" fontId="2" fillId="0" borderId="117" xfId="53" applyNumberFormat="1" applyFont="1" applyFill="1" applyBorder="1" applyAlignment="1"/>
    <xf numFmtId="9" fontId="2" fillId="0" borderId="88" xfId="88" applyFont="1" applyFill="1" applyBorder="1" applyAlignment="1"/>
    <xf numFmtId="165" fontId="2" fillId="0" borderId="96" xfId="53" applyNumberFormat="1" applyFont="1" applyFill="1" applyBorder="1" applyAlignment="1"/>
    <xf numFmtId="165" fontId="2" fillId="0" borderId="135" xfId="53" applyFont="1" applyFill="1" applyBorder="1"/>
    <xf numFmtId="165" fontId="2" fillId="0" borderId="136" xfId="53" applyFont="1" applyFill="1" applyBorder="1"/>
    <xf numFmtId="0" fontId="2" fillId="46" borderId="47" xfId="142" applyFont="1" applyFill="1" applyBorder="1" applyAlignment="1">
      <alignment vertical="center"/>
    </xf>
    <xf numFmtId="0" fontId="2" fillId="46" borderId="34" xfId="142" applyFont="1" applyFill="1" applyBorder="1" applyAlignment="1">
      <alignment vertical="center" wrapText="1"/>
    </xf>
    <xf numFmtId="0" fontId="2" fillId="46" borderId="0" xfId="142" applyFont="1" applyFill="1" applyBorder="1" applyAlignment="1">
      <alignment vertical="center" wrapText="1"/>
    </xf>
    <xf numFmtId="9" fontId="2" fillId="0" borderId="137" xfId="88" applyFont="1" applyFill="1" applyBorder="1" applyAlignment="1"/>
    <xf numFmtId="165" fontId="2" fillId="0" borderId="47" xfId="53" applyFont="1" applyFill="1" applyBorder="1" applyAlignment="1"/>
    <xf numFmtId="165" fontId="2" fillId="0" borderId="48" xfId="53" applyFont="1" applyFill="1" applyBorder="1" applyAlignment="1"/>
    <xf numFmtId="0" fontId="3" fillId="50" borderId="1" xfId="142" applyFont="1" applyFill="1" applyBorder="1" applyAlignment="1">
      <alignment vertical="center"/>
    </xf>
    <xf numFmtId="0" fontId="3" fillId="50" borderId="3" xfId="142" applyFont="1" applyFill="1" applyBorder="1" applyAlignment="1">
      <alignment horizontal="center" vertical="center"/>
    </xf>
    <xf numFmtId="167" fontId="3" fillId="50" borderId="1" xfId="53" applyNumberFormat="1" applyFont="1" applyFill="1" applyBorder="1" applyAlignment="1"/>
    <xf numFmtId="167" fontId="3" fillId="50" borderId="2" xfId="53" applyNumberFormat="1" applyFont="1" applyFill="1" applyBorder="1" applyAlignment="1"/>
    <xf numFmtId="165" fontId="3" fillId="50" borderId="1" xfId="53" applyFont="1" applyFill="1" applyBorder="1" applyAlignment="1"/>
    <xf numFmtId="165" fontId="3" fillId="50" borderId="138" xfId="53" applyFont="1" applyFill="1" applyBorder="1"/>
    <xf numFmtId="165" fontId="3" fillId="50" borderId="64" xfId="53" applyFont="1" applyFill="1" applyBorder="1"/>
    <xf numFmtId="165" fontId="3" fillId="50" borderId="139" xfId="53" applyFont="1" applyFill="1" applyBorder="1"/>
    <xf numFmtId="0" fontId="3" fillId="45" borderId="47" xfId="142" applyFont="1" applyFill="1" applyBorder="1" applyAlignment="1">
      <alignment vertical="center"/>
    </xf>
    <xf numFmtId="0" fontId="3" fillId="45" borderId="0" xfId="142" applyFont="1" applyFill="1" applyBorder="1" applyAlignment="1">
      <alignment horizontal="left" vertical="center"/>
    </xf>
    <xf numFmtId="0" fontId="3" fillId="45" borderId="47" xfId="142" applyFont="1" applyFill="1" applyBorder="1" applyAlignment="1">
      <alignment horizontal="center" vertical="center"/>
    </xf>
    <xf numFmtId="0" fontId="3" fillId="45" borderId="0" xfId="142" applyFont="1" applyFill="1" applyBorder="1" applyAlignment="1">
      <alignment horizontal="center" vertical="center"/>
    </xf>
    <xf numFmtId="167" fontId="2" fillId="45" borderId="91" xfId="53" applyNumberFormat="1" applyFont="1" applyFill="1" applyBorder="1" applyAlignment="1"/>
    <xf numFmtId="167" fontId="2" fillId="45" borderId="54" xfId="53" applyNumberFormat="1" applyFont="1" applyFill="1" applyBorder="1" applyAlignment="1"/>
    <xf numFmtId="167" fontId="2" fillId="45" borderId="80" xfId="53" applyNumberFormat="1" applyFont="1" applyFill="1" applyBorder="1" applyAlignment="1"/>
    <xf numFmtId="167" fontId="2" fillId="45" borderId="115" xfId="53" applyNumberFormat="1" applyFont="1" applyFill="1" applyBorder="1" applyAlignment="1"/>
    <xf numFmtId="167" fontId="2" fillId="45" borderId="117" xfId="53" applyNumberFormat="1" applyFont="1" applyFill="1" applyBorder="1" applyAlignment="1"/>
    <xf numFmtId="9" fontId="2" fillId="45" borderId="91" xfId="88" applyFont="1" applyFill="1" applyBorder="1" applyAlignment="1"/>
    <xf numFmtId="167" fontId="2" fillId="45" borderId="47" xfId="53" applyNumberFormat="1" applyFont="1" applyFill="1" applyBorder="1" applyAlignment="1"/>
    <xf numFmtId="167" fontId="2" fillId="45" borderId="0" xfId="53" applyNumberFormat="1" applyFont="1" applyFill="1" applyBorder="1" applyAlignment="1"/>
    <xf numFmtId="167" fontId="2" fillId="45" borderId="48" xfId="53" applyNumberFormat="1" applyFont="1" applyFill="1" applyBorder="1" applyAlignment="1"/>
    <xf numFmtId="165" fontId="2" fillId="45" borderId="115" xfId="53" applyFont="1" applyFill="1" applyBorder="1" applyAlignment="1"/>
    <xf numFmtId="165" fontId="2" fillId="45" borderId="91" xfId="53" applyFont="1" applyFill="1" applyBorder="1" applyAlignment="1"/>
    <xf numFmtId="165" fontId="2" fillId="45" borderId="80" xfId="53" applyFont="1" applyFill="1" applyBorder="1" applyAlignment="1"/>
    <xf numFmtId="165" fontId="2" fillId="45" borderId="117" xfId="53" applyFont="1" applyFill="1" applyBorder="1" applyAlignment="1"/>
    <xf numFmtId="165" fontId="2" fillId="0" borderId="140" xfId="53" applyFont="1" applyFill="1" applyBorder="1" applyAlignment="1"/>
    <xf numFmtId="167" fontId="2" fillId="0" borderId="92" xfId="53" applyNumberFormat="1" applyFont="1" applyFill="1" applyBorder="1"/>
    <xf numFmtId="9" fontId="2" fillId="0" borderId="141" xfId="88" applyFont="1" applyFill="1" applyBorder="1"/>
    <xf numFmtId="167" fontId="2" fillId="0" borderId="140" xfId="53" applyNumberFormat="1" applyFont="1" applyFill="1" applyBorder="1"/>
    <xf numFmtId="167" fontId="2" fillId="0" borderId="142" xfId="53" applyNumberFormat="1" applyFont="1" applyFill="1" applyBorder="1"/>
    <xf numFmtId="167" fontId="2" fillId="0" borderId="91" xfId="53" applyNumberFormat="1" applyFont="1" applyFill="1" applyBorder="1"/>
    <xf numFmtId="165" fontId="2" fillId="0" borderId="76" xfId="53" applyNumberFormat="1" applyFont="1" applyFill="1" applyBorder="1"/>
    <xf numFmtId="9" fontId="2" fillId="0" borderId="143" xfId="88" applyFont="1" applyFill="1" applyBorder="1"/>
    <xf numFmtId="165" fontId="2" fillId="0" borderId="144" xfId="53" applyFont="1" applyFill="1" applyBorder="1" applyAlignment="1"/>
    <xf numFmtId="173" fontId="2" fillId="0" borderId="97" xfId="53" applyNumberFormat="1" applyFont="1" applyFill="1" applyBorder="1" applyAlignment="1"/>
    <xf numFmtId="167" fontId="2" fillId="0" borderId="145" xfId="53" applyNumberFormat="1" applyFont="1" applyFill="1" applyBorder="1"/>
    <xf numFmtId="167" fontId="2" fillId="0" borderId="135" xfId="53" applyNumberFormat="1" applyFont="1" applyFill="1" applyBorder="1"/>
    <xf numFmtId="9" fontId="2" fillId="0" borderId="146" xfId="88" applyFont="1" applyFill="1" applyBorder="1"/>
    <xf numFmtId="165" fontId="2" fillId="0" borderId="147" xfId="53" applyFont="1" applyFill="1" applyBorder="1"/>
    <xf numFmtId="0" fontId="3" fillId="50" borderId="148" xfId="142" applyFont="1" applyFill="1" applyBorder="1" applyAlignment="1">
      <alignment vertical="center"/>
    </xf>
    <xf numFmtId="0" fontId="3" fillId="50" borderId="129" xfId="142" applyFont="1" applyFill="1" applyBorder="1" applyAlignment="1">
      <alignment horizontal="center" vertical="center"/>
    </xf>
    <xf numFmtId="9" fontId="3" fillId="50" borderId="109" xfId="88" applyFont="1" applyFill="1" applyBorder="1" applyAlignment="1"/>
    <xf numFmtId="167" fontId="3" fillId="50" borderId="107" xfId="53" applyNumberFormat="1" applyFont="1" applyFill="1" applyBorder="1" applyAlignment="1"/>
    <xf numFmtId="167" fontId="3" fillId="50" borderId="105" xfId="53" applyNumberFormat="1" applyFont="1" applyFill="1" applyBorder="1" applyAlignment="1"/>
    <xf numFmtId="167" fontId="3" fillId="50" borderId="109" xfId="53" applyNumberFormat="1" applyFont="1" applyFill="1" applyBorder="1" applyAlignment="1"/>
    <xf numFmtId="167" fontId="3" fillId="50" borderId="105" xfId="53" applyNumberFormat="1" applyFont="1" applyFill="1" applyBorder="1"/>
    <xf numFmtId="167" fontId="3" fillId="50" borderId="110" xfId="53" applyNumberFormat="1" applyFont="1" applyFill="1" applyBorder="1"/>
    <xf numFmtId="165" fontId="3" fillId="50" borderId="107" xfId="53" applyFont="1" applyFill="1" applyBorder="1"/>
    <xf numFmtId="174" fontId="2" fillId="0" borderId="0" xfId="53" applyNumberFormat="1" applyFont="1" applyFill="1"/>
    <xf numFmtId="9" fontId="3" fillId="50" borderId="113" xfId="88" applyFont="1" applyFill="1" applyBorder="1"/>
    <xf numFmtId="167" fontId="2" fillId="0" borderId="76" xfId="53" applyNumberFormat="1" applyFont="1" applyFill="1" applyBorder="1"/>
    <xf numFmtId="165" fontId="2" fillId="0" borderId="149" xfId="53" applyFont="1" applyFill="1" applyBorder="1" applyAlignment="1"/>
    <xf numFmtId="165" fontId="2" fillId="0" borderId="150" xfId="53" applyFont="1" applyFill="1" applyBorder="1" applyAlignment="1"/>
    <xf numFmtId="167" fontId="2" fillId="0" borderId="86" xfId="53" applyNumberFormat="1" applyFont="1" applyFill="1" applyBorder="1"/>
    <xf numFmtId="165" fontId="2" fillId="0" borderId="76" xfId="53" applyFont="1" applyFill="1" applyBorder="1"/>
    <xf numFmtId="165" fontId="2" fillId="0" borderId="93" xfId="53" applyFont="1" applyFill="1" applyBorder="1"/>
    <xf numFmtId="165" fontId="2" fillId="0" borderId="151" xfId="53" applyFont="1" applyFill="1" applyBorder="1"/>
    <xf numFmtId="165" fontId="2" fillId="0" borderId="101" xfId="53" applyFont="1" applyFill="1" applyBorder="1" applyAlignment="1"/>
    <xf numFmtId="165" fontId="2" fillId="0" borderId="152" xfId="53" applyFont="1" applyFill="1" applyBorder="1" applyAlignment="1"/>
    <xf numFmtId="165" fontId="2" fillId="0" borderId="144" xfId="53" applyFont="1" applyFill="1" applyBorder="1"/>
    <xf numFmtId="0" fontId="3" fillId="50" borderId="124" xfId="142" applyFont="1" applyFill="1" applyBorder="1" applyAlignment="1">
      <alignment horizontal="center" vertical="center"/>
    </xf>
    <xf numFmtId="167" fontId="3" fillId="50" borderId="46" xfId="53" applyNumberFormat="1" applyFont="1" applyFill="1" applyBorder="1" applyAlignment="1"/>
    <xf numFmtId="165" fontId="3" fillId="50" borderId="129" xfId="53" applyFont="1" applyFill="1" applyBorder="1" applyAlignment="1"/>
    <xf numFmtId="165" fontId="3" fillId="0" borderId="96" xfId="53" applyFont="1" applyFill="1" applyBorder="1" applyAlignment="1"/>
    <xf numFmtId="167" fontId="3" fillId="50" borderId="126" xfId="53" applyNumberFormat="1" applyFont="1" applyFill="1" applyBorder="1"/>
    <xf numFmtId="167" fontId="3" fillId="50" borderId="128" xfId="53" applyNumberFormat="1" applyFont="1" applyFill="1" applyBorder="1"/>
    <xf numFmtId="167" fontId="3" fillId="50" borderId="131" xfId="53" applyNumberFormat="1" applyFont="1" applyFill="1" applyBorder="1"/>
    <xf numFmtId="9" fontId="3" fillId="50" borderId="130" xfId="88" applyFont="1" applyFill="1" applyBorder="1"/>
    <xf numFmtId="165" fontId="3" fillId="50" borderId="126" xfId="53" applyFont="1" applyFill="1" applyBorder="1"/>
    <xf numFmtId="165" fontId="3" fillId="50" borderId="127" xfId="53" applyFont="1" applyFill="1" applyBorder="1"/>
    <xf numFmtId="165" fontId="3" fillId="50" borderId="148" xfId="53" applyFont="1" applyFill="1" applyBorder="1"/>
    <xf numFmtId="0" fontId="3" fillId="50" borderId="153" xfId="142" applyFont="1" applyFill="1" applyBorder="1" applyAlignment="1">
      <alignment horizontal="center" vertical="center"/>
    </xf>
    <xf numFmtId="167" fontId="3" fillId="50" borderId="22" xfId="53" applyNumberFormat="1" applyFont="1" applyFill="1" applyBorder="1" applyAlignment="1"/>
    <xf numFmtId="167" fontId="3" fillId="50" borderId="21" xfId="53" applyNumberFormat="1" applyFont="1" applyFill="1" applyBorder="1" applyAlignment="1"/>
    <xf numFmtId="167" fontId="3" fillId="50" borderId="23" xfId="53" applyNumberFormat="1" applyFont="1" applyFill="1" applyBorder="1" applyAlignment="1"/>
    <xf numFmtId="9" fontId="3" fillId="50" borderId="23" xfId="88" applyFont="1" applyFill="1" applyBorder="1" applyAlignment="1"/>
    <xf numFmtId="167" fontId="3" fillId="50" borderId="47" xfId="53" applyNumberFormat="1" applyFont="1" applyFill="1" applyBorder="1" applyAlignment="1"/>
    <xf numFmtId="167" fontId="3" fillId="50" borderId="0" xfId="53" applyNumberFormat="1" applyFont="1" applyFill="1" applyBorder="1" applyAlignment="1"/>
    <xf numFmtId="167" fontId="3" fillId="50" borderId="48" xfId="53" applyNumberFormat="1" applyFont="1" applyFill="1" applyBorder="1" applyAlignment="1"/>
    <xf numFmtId="165" fontId="3" fillId="50" borderId="21" xfId="53" applyFont="1" applyFill="1" applyBorder="1" applyAlignment="1"/>
    <xf numFmtId="165" fontId="3" fillId="50" borderId="22" xfId="53" applyFont="1" applyFill="1" applyBorder="1" applyAlignment="1"/>
    <xf numFmtId="165" fontId="3" fillId="50" borderId="23" xfId="53" applyFont="1" applyFill="1" applyBorder="1" applyAlignment="1"/>
    <xf numFmtId="165" fontId="3" fillId="50" borderId="0" xfId="53" applyFont="1" applyFill="1" applyBorder="1" applyAlignment="1"/>
    <xf numFmtId="165" fontId="3" fillId="50" borderId="48" xfId="53" applyFont="1" applyFill="1" applyBorder="1" applyAlignment="1"/>
    <xf numFmtId="165" fontId="3" fillId="0" borderId="0" xfId="53" applyFont="1" applyFill="1" applyBorder="1" applyAlignment="1"/>
    <xf numFmtId="9" fontId="3" fillId="50" borderId="22" xfId="88" applyNumberFormat="1" applyFont="1" applyFill="1" applyBorder="1" applyAlignment="1"/>
    <xf numFmtId="165" fontId="3" fillId="50" borderId="41" xfId="53" applyFont="1" applyFill="1" applyBorder="1" applyAlignment="1"/>
    <xf numFmtId="0" fontId="2" fillId="46" borderId="116" xfId="142" applyFont="1" applyFill="1" applyBorder="1" applyAlignment="1">
      <alignment horizontal="left" vertical="center" wrapText="1"/>
    </xf>
    <xf numFmtId="165" fontId="3" fillId="50" borderId="1" xfId="53" applyFont="1" applyFill="1" applyBorder="1"/>
    <xf numFmtId="0" fontId="2" fillId="0" borderId="4" xfId="142" applyFont="1" applyFill="1" applyBorder="1" applyAlignment="1">
      <alignment vertical="center"/>
    </xf>
    <xf numFmtId="0" fontId="2" fillId="0" borderId="129" xfId="142" applyFont="1" applyFill="1" applyBorder="1" applyAlignment="1">
      <alignment horizontal="center" vertical="center"/>
    </xf>
    <xf numFmtId="165" fontId="2" fillId="0" borderId="0" xfId="53" applyNumberFormat="1" applyFont="1" applyFill="1" applyBorder="1" applyAlignment="1"/>
    <xf numFmtId="165" fontId="2" fillId="0" borderId="52" xfId="80" applyNumberFormat="1" applyFont="1" applyFill="1" applyBorder="1"/>
    <xf numFmtId="167" fontId="2" fillId="0" borderId="47" xfId="53" applyNumberFormat="1" applyFont="1" applyFill="1" applyBorder="1"/>
    <xf numFmtId="167" fontId="2" fillId="0" borderId="0" xfId="53" applyNumberFormat="1" applyFont="1" applyFill="1" applyBorder="1"/>
    <xf numFmtId="9" fontId="2" fillId="0" borderId="48" xfId="88" applyFont="1" applyFill="1" applyBorder="1"/>
    <xf numFmtId="174" fontId="2" fillId="0" borderId="0" xfId="53" applyNumberFormat="1" applyFont="1" applyFill="1" applyBorder="1" applyAlignment="1"/>
    <xf numFmtId="0" fontId="2" fillId="0" borderId="4" xfId="142" applyFont="1" applyFill="1" applyBorder="1" applyAlignment="1">
      <alignment horizontal="center" vertical="center"/>
    </xf>
    <xf numFmtId="167" fontId="3" fillId="50" borderId="61" xfId="53" applyNumberFormat="1" applyFont="1" applyFill="1" applyBorder="1" applyAlignment="1"/>
    <xf numFmtId="165" fontId="3" fillId="50" borderId="61" xfId="53" applyNumberFormat="1" applyFont="1" applyFill="1" applyBorder="1" applyAlignment="1"/>
    <xf numFmtId="165" fontId="3" fillId="50" borderId="61" xfId="53" applyFont="1" applyFill="1" applyBorder="1" applyAlignment="1"/>
    <xf numFmtId="167" fontId="3" fillId="50" borderId="59" xfId="53" applyNumberFormat="1" applyFont="1" applyFill="1" applyBorder="1" applyAlignment="1"/>
    <xf numFmtId="9" fontId="3" fillId="50" borderId="59" xfId="88" applyFont="1" applyFill="1" applyBorder="1" applyAlignment="1"/>
    <xf numFmtId="167" fontId="3" fillId="50" borderId="44" xfId="53" applyNumberFormat="1" applyFont="1" applyFill="1" applyBorder="1" applyAlignment="1"/>
    <xf numFmtId="167" fontId="3" fillId="50" borderId="45" xfId="53" applyNumberFormat="1" applyFont="1" applyFill="1" applyBorder="1" applyAlignment="1"/>
    <xf numFmtId="165" fontId="3" fillId="50" borderId="44" xfId="53" applyFont="1" applyFill="1" applyBorder="1" applyAlignment="1"/>
    <xf numFmtId="165" fontId="3" fillId="50" borderId="45" xfId="53" applyFont="1" applyFill="1" applyBorder="1" applyAlignment="1"/>
    <xf numFmtId="165" fontId="3" fillId="50" borderId="46" xfId="53" applyFont="1" applyFill="1" applyBorder="1" applyAlignment="1"/>
    <xf numFmtId="167" fontId="3" fillId="50" borderId="44" xfId="53" applyNumberFormat="1" applyFont="1" applyFill="1" applyBorder="1"/>
    <xf numFmtId="167" fontId="3" fillId="50" borderId="45" xfId="53" applyNumberFormat="1" applyFont="1" applyFill="1" applyBorder="1"/>
    <xf numFmtId="9" fontId="3" fillId="50" borderId="46" xfId="88" applyFont="1" applyFill="1" applyBorder="1"/>
    <xf numFmtId="165" fontId="3" fillId="50" borderId="45" xfId="53" applyFont="1" applyFill="1" applyBorder="1"/>
    <xf numFmtId="165" fontId="3" fillId="50" borderId="46" xfId="53" applyFont="1" applyFill="1" applyBorder="1"/>
    <xf numFmtId="165" fontId="3" fillId="50" borderId="0" xfId="53" applyFont="1" applyFill="1" applyBorder="1"/>
    <xf numFmtId="0" fontId="3" fillId="50" borderId="109" xfId="142" applyFont="1" applyFill="1" applyBorder="1" applyAlignment="1">
      <alignment horizontal="center" vertical="center"/>
    </xf>
    <xf numFmtId="0" fontId="3" fillId="45" borderId="106" xfId="80" applyFont="1" applyFill="1" applyBorder="1"/>
    <xf numFmtId="9" fontId="3" fillId="50" borderId="106" xfId="88" applyFont="1" applyFill="1" applyBorder="1" applyAlignment="1"/>
    <xf numFmtId="0" fontId="3" fillId="0" borderId="106" xfId="80" applyFont="1" applyFill="1" applyBorder="1"/>
    <xf numFmtId="165" fontId="3" fillId="0" borderId="106" xfId="80" applyNumberFormat="1" applyFont="1" applyFill="1" applyBorder="1"/>
    <xf numFmtId="165" fontId="3" fillId="0" borderId="106" xfId="53" applyFont="1" applyFill="1" applyBorder="1" applyAlignment="1"/>
    <xf numFmtId="167" fontId="3" fillId="50" borderId="106" xfId="53" applyNumberFormat="1" applyFont="1" applyFill="1" applyBorder="1"/>
    <xf numFmtId="165" fontId="2" fillId="0" borderId="106" xfId="53" applyFont="1" applyFill="1" applyBorder="1"/>
    <xf numFmtId="9" fontId="3" fillId="50" borderId="106" xfId="88" applyFont="1" applyFill="1" applyBorder="1"/>
    <xf numFmtId="0" fontId="3" fillId="0" borderId="0" xfId="80" applyFont="1" applyBorder="1"/>
    <xf numFmtId="0" fontId="3" fillId="0" borderId="47" xfId="80" applyFont="1" applyBorder="1" applyAlignment="1">
      <alignment vertical="center"/>
    </xf>
    <xf numFmtId="0" fontId="3" fillId="0" borderId="0" xfId="80" applyFont="1" applyBorder="1" applyAlignment="1">
      <alignment horizontal="left"/>
    </xf>
    <xf numFmtId="0" fontId="3" fillId="0" borderId="47" xfId="80" applyFont="1" applyBorder="1" applyAlignment="1"/>
    <xf numFmtId="0" fontId="3" fillId="0" borderId="0" xfId="80" applyFont="1" applyBorder="1" applyAlignment="1"/>
    <xf numFmtId="167" fontId="3" fillId="0" borderId="0" xfId="53" applyNumberFormat="1" applyFont="1" applyFill="1" applyBorder="1" applyAlignment="1"/>
    <xf numFmtId="167" fontId="3" fillId="0" borderId="0" xfId="53" applyNumberFormat="1" applyFont="1" applyFill="1" applyBorder="1"/>
    <xf numFmtId="165" fontId="3" fillId="0" borderId="48" xfId="53" applyNumberFormat="1" applyFont="1" applyFill="1" applyBorder="1"/>
    <xf numFmtId="167" fontId="3" fillId="0" borderId="47" xfId="53" applyNumberFormat="1" applyFont="1" applyFill="1" applyBorder="1" applyAlignment="1"/>
    <xf numFmtId="167" fontId="3" fillId="0" borderId="48" xfId="53" applyNumberFormat="1" applyFont="1" applyFill="1" applyBorder="1" applyAlignment="1"/>
    <xf numFmtId="167" fontId="3" fillId="0" borderId="48" xfId="53" applyNumberFormat="1" applyFont="1" applyFill="1" applyBorder="1"/>
    <xf numFmtId="9" fontId="3" fillId="0" borderId="0" xfId="88" applyFont="1" applyFill="1" applyBorder="1"/>
    <xf numFmtId="167" fontId="3" fillId="0" borderId="47" xfId="53" applyNumberFormat="1" applyFont="1" applyFill="1" applyBorder="1"/>
    <xf numFmtId="165" fontId="3" fillId="0" borderId="47" xfId="53" applyFont="1" applyFill="1" applyBorder="1" applyAlignment="1"/>
    <xf numFmtId="165" fontId="3" fillId="0" borderId="0" xfId="53" applyFont="1" applyFill="1" applyBorder="1"/>
    <xf numFmtId="165" fontId="3" fillId="0" borderId="48" xfId="53" applyFont="1" applyFill="1" applyBorder="1"/>
    <xf numFmtId="165" fontId="3" fillId="0" borderId="48" xfId="53" applyFont="1" applyFill="1" applyBorder="1" applyAlignment="1"/>
    <xf numFmtId="0" fontId="3" fillId="0" borderId="52" xfId="80" applyFont="1" applyFill="1" applyBorder="1"/>
    <xf numFmtId="167" fontId="3" fillId="50" borderId="57" xfId="53" applyNumberFormat="1" applyFont="1" applyFill="1" applyBorder="1"/>
    <xf numFmtId="167" fontId="3" fillId="50" borderId="55" xfId="53" applyNumberFormat="1" applyFont="1" applyFill="1" applyBorder="1"/>
    <xf numFmtId="9" fontId="3" fillId="50" borderId="132" xfId="88" applyFont="1" applyFill="1" applyBorder="1"/>
    <xf numFmtId="167" fontId="3" fillId="50" borderId="1" xfId="53" applyNumberFormat="1" applyFont="1" applyFill="1" applyBorder="1"/>
    <xf numFmtId="167" fontId="3" fillId="50" borderId="2" xfId="53" applyNumberFormat="1" applyFont="1" applyFill="1" applyBorder="1"/>
    <xf numFmtId="167" fontId="3" fillId="50" borderId="3" xfId="53" applyNumberFormat="1" applyFont="1" applyFill="1" applyBorder="1"/>
    <xf numFmtId="165" fontId="3" fillId="50" borderId="61" xfId="53" applyFont="1" applyFill="1" applyBorder="1"/>
    <xf numFmtId="165" fontId="3" fillId="50" borderId="55" xfId="53" applyFont="1" applyFill="1" applyBorder="1"/>
    <xf numFmtId="165" fontId="3" fillId="50" borderId="133" xfId="53" applyFont="1" applyFill="1" applyBorder="1"/>
    <xf numFmtId="165" fontId="3" fillId="50" borderId="104" xfId="53" applyFont="1" applyFill="1" applyBorder="1"/>
    <xf numFmtId="165" fontId="3" fillId="50" borderId="58" xfId="53" applyFont="1" applyFill="1" applyBorder="1"/>
    <xf numFmtId="165" fontId="3" fillId="0" borderId="96" xfId="53" applyFont="1" applyFill="1" applyBorder="1"/>
    <xf numFmtId="165" fontId="3" fillId="0" borderId="100" xfId="53" applyFont="1" applyFill="1" applyBorder="1"/>
    <xf numFmtId="0" fontId="2" fillId="0" borderId="45" xfId="80" applyFont="1" applyBorder="1"/>
    <xf numFmtId="0" fontId="2" fillId="0" borderId="45" xfId="80" applyFont="1" applyBorder="1" applyAlignment="1">
      <alignment vertical="center"/>
    </xf>
    <xf numFmtId="0" fontId="2" fillId="0" borderId="45" xfId="80" applyFont="1" applyBorder="1" applyAlignment="1">
      <alignment horizontal="left"/>
    </xf>
    <xf numFmtId="0" fontId="2" fillId="0" borderId="45" xfId="80" applyFont="1" applyBorder="1" applyAlignment="1"/>
    <xf numFmtId="167" fontId="2" fillId="0" borderId="45" xfId="53" applyNumberFormat="1" applyFont="1" applyBorder="1"/>
    <xf numFmtId="1" fontId="2" fillId="0" borderId="45" xfId="80" applyNumberFormat="1" applyFont="1" applyBorder="1"/>
    <xf numFmtId="0" fontId="2" fillId="45" borderId="45" xfId="80" applyFont="1" applyFill="1" applyBorder="1"/>
    <xf numFmtId="167" fontId="2" fillId="0" borderId="45" xfId="80" applyNumberFormat="1" applyFont="1" applyBorder="1"/>
    <xf numFmtId="165" fontId="2" fillId="0" borderId="45" xfId="53" applyFont="1" applyBorder="1"/>
    <xf numFmtId="165" fontId="2" fillId="0" borderId="45" xfId="80" applyNumberFormat="1" applyFont="1" applyBorder="1"/>
    <xf numFmtId="2" fontId="2" fillId="0" borderId="45" xfId="80" applyNumberFormat="1" applyFont="1" applyBorder="1"/>
    <xf numFmtId="165" fontId="2" fillId="45" borderId="45" xfId="80" applyNumberFormat="1" applyFont="1" applyFill="1" applyBorder="1"/>
    <xf numFmtId="0" fontId="2" fillId="0" borderId="45" xfId="80" applyFont="1" applyFill="1" applyBorder="1"/>
    <xf numFmtId="165" fontId="2" fillId="0" borderId="45" xfId="80" applyNumberFormat="1" applyFont="1" applyFill="1" applyBorder="1"/>
    <xf numFmtId="165" fontId="2" fillId="0" borderId="45" xfId="53" applyFont="1" applyFill="1" applyBorder="1"/>
    <xf numFmtId="165" fontId="2" fillId="0" borderId="45" xfId="53" applyNumberFormat="1" applyFont="1" applyBorder="1"/>
    <xf numFmtId="165" fontId="2" fillId="0" borderId="0" xfId="53" applyFont="1"/>
    <xf numFmtId="174" fontId="2" fillId="0" borderId="0" xfId="80" applyNumberFormat="1" applyFont="1"/>
    <xf numFmtId="174" fontId="2" fillId="0" borderId="0" xfId="53" applyNumberFormat="1" applyFont="1"/>
    <xf numFmtId="167" fontId="2" fillId="0" borderId="0" xfId="80" applyNumberFormat="1" applyFont="1"/>
    <xf numFmtId="167" fontId="2" fillId="45" borderId="0" xfId="80" applyNumberFormat="1" applyFont="1" applyFill="1" applyBorder="1"/>
    <xf numFmtId="165" fontId="2" fillId="45" borderId="0" xfId="80" applyNumberFormat="1" applyFont="1" applyFill="1" applyBorder="1"/>
    <xf numFmtId="165" fontId="2" fillId="0" borderId="0" xfId="80" applyNumberFormat="1" applyFont="1"/>
    <xf numFmtId="174" fontId="2" fillId="0" borderId="0" xfId="80" applyNumberFormat="1" applyFont="1" applyFill="1"/>
    <xf numFmtId="175" fontId="2" fillId="0" borderId="0" xfId="80" applyNumberFormat="1" applyFont="1"/>
    <xf numFmtId="165" fontId="2" fillId="0" borderId="0" xfId="53" applyFont="1" applyAlignment="1">
      <alignment vertical="center"/>
    </xf>
    <xf numFmtId="165" fontId="2" fillId="0" borderId="0" xfId="53" applyFont="1" applyAlignment="1">
      <alignment horizontal="left"/>
    </xf>
    <xf numFmtId="165" fontId="3" fillId="0" borderId="0" xfId="53" applyFont="1" applyAlignment="1"/>
    <xf numFmtId="165" fontId="2" fillId="0" borderId="0" xfId="53" applyFont="1" applyAlignment="1"/>
    <xf numFmtId="0" fontId="3" fillId="0" borderId="0" xfId="80" applyFont="1" applyAlignment="1"/>
    <xf numFmtId="165" fontId="2" fillId="0" borderId="0" xfId="53" applyNumberFormat="1" applyFont="1"/>
    <xf numFmtId="165" fontId="2" fillId="0" borderId="0" xfId="53" applyFont="1" applyBorder="1"/>
    <xf numFmtId="165" fontId="2" fillId="0" borderId="0" xfId="80" applyNumberFormat="1" applyFont="1" applyAlignment="1">
      <alignment horizontal="left"/>
    </xf>
    <xf numFmtId="9" fontId="2" fillId="0" borderId="0" xfId="53" applyNumberFormat="1" applyFont="1"/>
    <xf numFmtId="165" fontId="2" fillId="0" borderId="0" xfId="80" applyNumberFormat="1" applyFont="1" applyBorder="1"/>
    <xf numFmtId="0" fontId="3" fillId="52" borderId="0" xfId="80" applyFont="1" applyFill="1"/>
    <xf numFmtId="0" fontId="3" fillId="52" borderId="0" xfId="80" applyFont="1" applyFill="1" applyAlignment="1">
      <alignment vertical="center"/>
    </xf>
    <xf numFmtId="0" fontId="3" fillId="52" borderId="0" xfId="80" applyFont="1" applyFill="1" applyAlignment="1">
      <alignment horizontal="left"/>
    </xf>
    <xf numFmtId="0" fontId="3" fillId="52" borderId="0" xfId="80" applyFont="1" applyFill="1" applyAlignment="1"/>
    <xf numFmtId="167" fontId="3" fillId="52" borderId="0" xfId="80" applyNumberFormat="1" applyFont="1" applyFill="1"/>
    <xf numFmtId="167" fontId="3" fillId="52" borderId="0" xfId="53" applyNumberFormat="1" applyFont="1" applyFill="1"/>
    <xf numFmtId="0" fontId="3" fillId="52" borderId="0" xfId="80" applyFont="1" applyFill="1" applyBorder="1"/>
    <xf numFmtId="165" fontId="3" fillId="52" borderId="0" xfId="53" applyFont="1" applyFill="1"/>
    <xf numFmtId="0" fontId="3" fillId="0" borderId="0" xfId="80" applyFont="1" applyAlignment="1">
      <alignment vertical="center"/>
    </xf>
    <xf numFmtId="0" fontId="3" fillId="0" borderId="0" xfId="80" applyFont="1" applyAlignment="1">
      <alignment horizontal="left"/>
    </xf>
    <xf numFmtId="167" fontId="3" fillId="0" borderId="0" xfId="80" applyNumberFormat="1" applyFont="1"/>
    <xf numFmtId="167" fontId="3" fillId="0" borderId="0" xfId="53" applyNumberFormat="1" applyFont="1"/>
    <xf numFmtId="165" fontId="3" fillId="0" borderId="0" xfId="53" applyFont="1"/>
    <xf numFmtId="165" fontId="3" fillId="0" borderId="0" xfId="53" applyFont="1" applyAlignment="1">
      <alignment vertical="center"/>
    </xf>
    <xf numFmtId="165" fontId="3" fillId="0" borderId="0" xfId="53" applyFont="1" applyAlignment="1">
      <alignment horizontal="left"/>
    </xf>
    <xf numFmtId="165" fontId="3" fillId="45" borderId="0" xfId="53" applyFont="1" applyFill="1" applyBorder="1"/>
    <xf numFmtId="9" fontId="2" fillId="0" borderId="0" xfId="88" applyFont="1"/>
    <xf numFmtId="4" fontId="2" fillId="0" borderId="0" xfId="80" applyNumberFormat="1" applyFont="1" applyAlignment="1">
      <alignment vertical="center"/>
    </xf>
    <xf numFmtId="0" fontId="42" fillId="0" borderId="13" xfId="0" applyFont="1" applyBorder="1"/>
    <xf numFmtId="0" fontId="42" fillId="0" borderId="15" xfId="0" applyFont="1" applyBorder="1"/>
    <xf numFmtId="0" fontId="42" fillId="0" borderId="17" xfId="0" applyFont="1" applyBorder="1"/>
    <xf numFmtId="9" fontId="2" fillId="4" borderId="23" xfId="2" applyFont="1" applyFill="1" applyBorder="1" applyAlignment="1">
      <alignment horizontal="center"/>
    </xf>
    <xf numFmtId="0" fontId="14" fillId="0" borderId="0" xfId="143" applyFont="1" applyFill="1"/>
    <xf numFmtId="0" fontId="49" fillId="0" borderId="0" xfId="143" applyFill="1"/>
    <xf numFmtId="0" fontId="23" fillId="45" borderId="0" xfId="143" applyFont="1" applyFill="1"/>
    <xf numFmtId="0" fontId="49" fillId="45" borderId="0" xfId="143" applyFill="1"/>
    <xf numFmtId="167" fontId="0" fillId="45" borderId="0" xfId="53" applyNumberFormat="1" applyFont="1" applyFill="1"/>
    <xf numFmtId="165" fontId="0" fillId="0" borderId="0" xfId="53" applyFont="1" applyFill="1"/>
    <xf numFmtId="165" fontId="0" fillId="45" borderId="0" xfId="53" applyFont="1" applyFill="1"/>
    <xf numFmtId="167" fontId="2" fillId="45" borderId="4" xfId="53" applyNumberFormat="1" applyFont="1" applyFill="1" applyBorder="1"/>
    <xf numFmtId="0" fontId="2" fillId="0" borderId="4" xfId="143" applyFont="1" applyFill="1" applyBorder="1"/>
    <xf numFmtId="0" fontId="2" fillId="53" borderId="4" xfId="143" applyFont="1" applyFill="1" applyBorder="1"/>
    <xf numFmtId="0" fontId="14" fillId="0" borderId="0" xfId="143" applyFont="1"/>
    <xf numFmtId="0" fontId="49" fillId="0" borderId="0" xfId="143"/>
    <xf numFmtId="0" fontId="3" fillId="45" borderId="0" xfId="143" applyFont="1" applyFill="1" applyBorder="1" applyAlignment="1">
      <alignment vertical="center"/>
    </xf>
    <xf numFmtId="0" fontId="2" fillId="45" borderId="0" xfId="143" applyFont="1" applyFill="1"/>
    <xf numFmtId="167" fontId="2" fillId="45" borderId="0" xfId="53" applyNumberFormat="1" applyFont="1" applyFill="1"/>
    <xf numFmtId="0" fontId="2" fillId="0" borderId="0" xfId="143" applyFont="1" applyFill="1"/>
    <xf numFmtId="0" fontId="2" fillId="45" borderId="0" xfId="143" applyFont="1" applyFill="1" applyBorder="1" applyAlignment="1">
      <alignment vertical="center"/>
    </xf>
    <xf numFmtId="165" fontId="3" fillId="45" borderId="0" xfId="53" applyFont="1" applyFill="1"/>
    <xf numFmtId="0" fontId="50" fillId="0" borderId="4" xfId="143" applyFont="1" applyBorder="1"/>
    <xf numFmtId="0" fontId="3" fillId="0" borderId="4" xfId="143" applyFont="1" applyBorder="1"/>
    <xf numFmtId="0" fontId="3" fillId="5" borderId="42" xfId="143" applyFont="1" applyFill="1" applyBorder="1" applyAlignment="1">
      <alignment horizontal="left" vertical="center" wrapText="1"/>
    </xf>
    <xf numFmtId="0" fontId="3" fillId="5" borderId="22" xfId="143" applyFont="1" applyFill="1" applyBorder="1" applyAlignment="1">
      <alignment horizontal="center" vertical="center" wrapText="1"/>
    </xf>
    <xf numFmtId="167" fontId="3" fillId="5" borderId="41" xfId="53" applyNumberFormat="1" applyFont="1" applyFill="1" applyBorder="1" applyAlignment="1">
      <alignment horizontal="center" vertical="center" wrapText="1"/>
    </xf>
    <xf numFmtId="165" fontId="3" fillId="5" borderId="41" xfId="53" applyFont="1" applyFill="1" applyBorder="1" applyAlignment="1">
      <alignment horizontal="center" vertical="center" wrapText="1"/>
    </xf>
    <xf numFmtId="0" fontId="3" fillId="5" borderId="41" xfId="143" applyFont="1" applyFill="1" applyBorder="1" applyAlignment="1">
      <alignment horizontal="center" vertical="center" wrapText="1"/>
    </xf>
    <xf numFmtId="0" fontId="3" fillId="47" borderId="41" xfId="143" applyFont="1" applyFill="1" applyBorder="1" applyAlignment="1">
      <alignment horizontal="center" vertical="center" wrapText="1"/>
    </xf>
    <xf numFmtId="165" fontId="3" fillId="54" borderId="41" xfId="53" applyFont="1" applyFill="1" applyBorder="1" applyAlignment="1">
      <alignment horizontal="center" vertical="center" wrapText="1"/>
    </xf>
    <xf numFmtId="0" fontId="3" fillId="0" borderId="41" xfId="143" applyFont="1" applyFill="1" applyBorder="1" applyAlignment="1">
      <alignment horizontal="center" vertical="center" wrapText="1"/>
    </xf>
    <xf numFmtId="17" fontId="3" fillId="5" borderId="41" xfId="143" applyNumberFormat="1" applyFont="1" applyFill="1" applyBorder="1" applyAlignment="1">
      <alignment horizontal="center" vertical="center" wrapText="1"/>
    </xf>
    <xf numFmtId="17" fontId="3" fillId="5" borderId="23" xfId="143" applyNumberFormat="1" applyFont="1" applyFill="1" applyBorder="1" applyAlignment="1">
      <alignment horizontal="center" vertical="center" wrapText="1"/>
    </xf>
    <xf numFmtId="0" fontId="3" fillId="45" borderId="0" xfId="143" applyFont="1" applyFill="1"/>
    <xf numFmtId="0" fontId="3" fillId="0" borderId="0" xfId="143" applyFont="1"/>
    <xf numFmtId="0" fontId="3" fillId="0" borderId="0" xfId="143" applyFont="1" applyFill="1" applyBorder="1"/>
    <xf numFmtId="0" fontId="50" fillId="0" borderId="15" xfId="143" applyFont="1" applyBorder="1"/>
    <xf numFmtId="0" fontId="3" fillId="0" borderId="15" xfId="143" applyFont="1" applyBorder="1"/>
    <xf numFmtId="0" fontId="3" fillId="5" borderId="157" xfId="143" applyFont="1" applyFill="1" applyBorder="1" applyAlignment="1">
      <alignment horizontal="left" vertical="center" wrapText="1"/>
    </xf>
    <xf numFmtId="0" fontId="3" fillId="5" borderId="26" xfId="143" applyFont="1" applyFill="1" applyBorder="1" applyAlignment="1">
      <alignment horizontal="center" vertical="center" wrapText="1"/>
    </xf>
    <xf numFmtId="167" fontId="3" fillId="5" borderId="60" xfId="53" applyNumberFormat="1" applyFont="1" applyFill="1" applyBorder="1" applyAlignment="1">
      <alignment horizontal="center" vertical="center" wrapText="1"/>
    </xf>
    <xf numFmtId="165" fontId="3" fillId="5" borderId="60" xfId="53" applyFont="1" applyFill="1" applyBorder="1" applyAlignment="1">
      <alignment horizontal="center" vertical="center" wrapText="1"/>
    </xf>
    <xf numFmtId="167" fontId="3" fillId="5" borderId="15" xfId="53" applyNumberFormat="1" applyFont="1" applyFill="1" applyBorder="1" applyAlignment="1">
      <alignment horizontal="center" vertical="center" wrapText="1"/>
    </xf>
    <xf numFmtId="0" fontId="3" fillId="5" borderId="60" xfId="143" applyFont="1" applyFill="1" applyBorder="1" applyAlignment="1">
      <alignment horizontal="center" vertical="center" wrapText="1"/>
    </xf>
    <xf numFmtId="0" fontId="3" fillId="47" borderId="60" xfId="143" applyFont="1" applyFill="1" applyBorder="1" applyAlignment="1">
      <alignment horizontal="center" vertical="center" wrapText="1"/>
    </xf>
    <xf numFmtId="165" fontId="3" fillId="54" borderId="60" xfId="53" applyFont="1" applyFill="1" applyBorder="1" applyAlignment="1">
      <alignment horizontal="center" vertical="center" wrapText="1"/>
    </xf>
    <xf numFmtId="0" fontId="3" fillId="0" borderId="60" xfId="143" applyFont="1" applyFill="1" applyBorder="1" applyAlignment="1">
      <alignment horizontal="center" vertical="center" wrapText="1"/>
    </xf>
    <xf numFmtId="17" fontId="3" fillId="5" borderId="60" xfId="143" applyNumberFormat="1" applyFont="1" applyFill="1" applyBorder="1" applyAlignment="1">
      <alignment horizontal="center" vertical="center" wrapText="1"/>
    </xf>
    <xf numFmtId="0" fontId="14" fillId="55" borderId="35" xfId="143" applyFont="1" applyFill="1" applyBorder="1" applyAlignment="1">
      <alignment vertical="center" wrapText="1"/>
    </xf>
    <xf numFmtId="0" fontId="13" fillId="55" borderId="35" xfId="143" applyFont="1" applyFill="1" applyBorder="1" applyAlignment="1">
      <alignment vertical="center" wrapText="1"/>
    </xf>
    <xf numFmtId="0" fontId="13" fillId="0" borderId="25" xfId="142" applyFont="1" applyFill="1" applyBorder="1" applyAlignment="1">
      <alignment vertical="center" wrapText="1"/>
    </xf>
    <xf numFmtId="0" fontId="13" fillId="0" borderId="26" xfId="142" applyFont="1" applyFill="1" applyBorder="1" applyAlignment="1">
      <alignment vertical="center" wrapText="1"/>
    </xf>
    <xf numFmtId="0" fontId="13" fillId="0" borderId="72" xfId="142" applyFont="1" applyFill="1" applyBorder="1" applyAlignment="1">
      <alignment horizontal="center" vertical="center" wrapText="1"/>
    </xf>
    <xf numFmtId="167" fontId="13" fillId="0" borderId="72" xfId="53" applyNumberFormat="1" applyFont="1" applyBorder="1" applyAlignment="1">
      <alignment vertical="center" wrapText="1"/>
    </xf>
    <xf numFmtId="9" fontId="13" fillId="0" borderId="72" xfId="88" applyFont="1" applyBorder="1" applyAlignment="1">
      <alignment horizontal="center" vertical="center" wrapText="1"/>
    </xf>
    <xf numFmtId="167" fontId="2" fillId="53" borderId="4" xfId="53" applyNumberFormat="1" applyFont="1" applyFill="1" applyBorder="1"/>
    <xf numFmtId="165" fontId="13" fillId="47" borderId="72" xfId="53" applyFont="1" applyFill="1" applyBorder="1" applyAlignment="1">
      <alignment horizontal="center" vertical="center" wrapText="1"/>
    </xf>
    <xf numFmtId="165" fontId="13" fillId="0" borderId="72" xfId="53" applyFont="1" applyFill="1" applyBorder="1" applyAlignment="1">
      <alignment horizontal="center" vertical="center" wrapText="1"/>
    </xf>
    <xf numFmtId="167" fontId="13" fillId="0" borderId="72" xfId="53" applyNumberFormat="1" applyFont="1" applyFill="1" applyBorder="1" applyAlignment="1">
      <alignment vertical="center" wrapText="1"/>
    </xf>
    <xf numFmtId="167" fontId="2" fillId="45" borderId="0" xfId="143" applyNumberFormat="1" applyFont="1" applyFill="1"/>
    <xf numFmtId="165" fontId="13" fillId="0" borderId="72" xfId="53" applyFont="1" applyFill="1" applyBorder="1" applyAlignment="1">
      <alignment vertical="center" wrapText="1"/>
    </xf>
    <xf numFmtId="165" fontId="49" fillId="45" borderId="0" xfId="143" applyNumberFormat="1" applyFill="1"/>
    <xf numFmtId="0" fontId="13" fillId="0" borderId="34" xfId="143" applyFont="1" applyFill="1" applyBorder="1" applyAlignment="1"/>
    <xf numFmtId="0" fontId="13" fillId="0" borderId="24" xfId="142" applyFont="1" applyFill="1" applyBorder="1" applyAlignment="1">
      <alignment vertical="center" wrapText="1"/>
    </xf>
    <xf numFmtId="0" fontId="13" fillId="0" borderId="4" xfId="142" applyFont="1" applyFill="1" applyBorder="1" applyAlignment="1">
      <alignment horizontal="center" vertical="center" wrapText="1"/>
    </xf>
    <xf numFmtId="167" fontId="13" fillId="0" borderId="4" xfId="53" applyNumberFormat="1" applyFont="1" applyBorder="1" applyAlignment="1">
      <alignment vertical="center" wrapText="1"/>
    </xf>
    <xf numFmtId="9" fontId="13" fillId="0" borderId="4" xfId="88" applyFont="1" applyBorder="1" applyAlignment="1">
      <alignment horizontal="center" vertical="center" wrapText="1"/>
    </xf>
    <xf numFmtId="165" fontId="13" fillId="47" borderId="4" xfId="53" applyFont="1" applyFill="1" applyBorder="1" applyAlignment="1">
      <alignment horizontal="center" vertical="center" wrapText="1"/>
    </xf>
    <xf numFmtId="165" fontId="13" fillId="0" borderId="4" xfId="53" applyFont="1" applyFill="1" applyBorder="1" applyAlignment="1">
      <alignment horizontal="center" vertical="center" wrapText="1"/>
    </xf>
    <xf numFmtId="167" fontId="13" fillId="0" borderId="4" xfId="53" applyNumberFormat="1" applyFont="1" applyFill="1" applyBorder="1" applyAlignment="1">
      <alignment vertical="center" wrapText="1"/>
    </xf>
    <xf numFmtId="167" fontId="13" fillId="0" borderId="4" xfId="53" applyNumberFormat="1" applyFont="1" applyFill="1" applyBorder="1" applyAlignment="1"/>
    <xf numFmtId="167" fontId="13" fillId="0" borderId="31" xfId="53" applyNumberFormat="1" applyFont="1" applyFill="1" applyBorder="1" applyAlignment="1"/>
    <xf numFmtId="165" fontId="13" fillId="0" borderId="4" xfId="53" applyFont="1" applyFill="1" applyBorder="1" applyAlignment="1">
      <alignment vertical="center" wrapText="1"/>
    </xf>
    <xf numFmtId="0" fontId="13" fillId="0" borderId="5" xfId="142" applyFont="1" applyFill="1" applyBorder="1" applyAlignment="1">
      <alignment vertical="center" wrapText="1"/>
    </xf>
    <xf numFmtId="0" fontId="13" fillId="0" borderId="20" xfId="142" applyFont="1" applyFill="1" applyBorder="1" applyAlignment="1">
      <alignment vertical="center" wrapText="1"/>
    </xf>
    <xf numFmtId="0" fontId="13" fillId="0" borderId="4" xfId="142" applyFont="1" applyFill="1" applyBorder="1" applyAlignment="1">
      <alignment vertical="center" wrapText="1"/>
    </xf>
    <xf numFmtId="0" fontId="13" fillId="0" borderId="32" xfId="142" applyFont="1" applyFill="1" applyBorder="1" applyAlignment="1">
      <alignment vertical="center" wrapText="1"/>
    </xf>
    <xf numFmtId="0" fontId="13" fillId="0" borderId="4" xfId="142" applyFont="1" applyFill="1" applyBorder="1" applyAlignment="1">
      <alignment horizontal="left" vertical="center" wrapText="1"/>
    </xf>
    <xf numFmtId="0" fontId="13" fillId="0" borderId="34" xfId="142" applyFont="1" applyFill="1" applyBorder="1" applyAlignment="1">
      <alignment vertical="center" wrapText="1"/>
    </xf>
    <xf numFmtId="0" fontId="13" fillId="0" borderId="28" xfId="142" applyFont="1" applyFill="1" applyBorder="1" applyAlignment="1">
      <alignment vertical="center" wrapText="1"/>
    </xf>
    <xf numFmtId="0" fontId="13" fillId="0" borderId="30" xfId="142" applyFont="1" applyFill="1" applyBorder="1" applyAlignment="1">
      <alignment vertical="center" wrapText="1"/>
    </xf>
    <xf numFmtId="167" fontId="2" fillId="53" borderId="4" xfId="143" applyNumberFormat="1" applyFont="1" applyFill="1" applyBorder="1"/>
    <xf numFmtId="167" fontId="13" fillId="0" borderId="4" xfId="53" applyNumberFormat="1" applyFont="1" applyBorder="1"/>
    <xf numFmtId="165" fontId="2" fillId="53" borderId="4" xfId="143" applyNumberFormat="1" applyFont="1" applyFill="1" applyBorder="1"/>
    <xf numFmtId="0" fontId="14" fillId="55" borderId="35" xfId="143" applyFont="1" applyFill="1" applyBorder="1" applyAlignment="1">
      <alignment vertical="center"/>
    </xf>
    <xf numFmtId="0" fontId="13" fillId="0" borderId="30" xfId="142" applyFont="1" applyFill="1" applyBorder="1" applyAlignment="1">
      <alignment horizontal="left" vertical="center" wrapText="1"/>
    </xf>
    <xf numFmtId="0" fontId="14" fillId="55" borderId="15" xfId="143" applyFont="1" applyFill="1" applyBorder="1" applyAlignment="1">
      <alignment vertical="center" wrapText="1"/>
    </xf>
    <xf numFmtId="0" fontId="13" fillId="55" borderId="15" xfId="143" applyFont="1" applyFill="1" applyBorder="1" applyAlignment="1">
      <alignment vertical="center" wrapText="1"/>
    </xf>
    <xf numFmtId="0" fontId="13" fillId="0" borderId="156" xfId="142" applyFont="1" applyFill="1" applyBorder="1" applyAlignment="1">
      <alignment vertical="center" wrapText="1"/>
    </xf>
    <xf numFmtId="0" fontId="13" fillId="0" borderId="0" xfId="142" applyFont="1" applyFill="1" applyBorder="1" applyAlignment="1">
      <alignment vertical="center" wrapText="1"/>
    </xf>
    <xf numFmtId="0" fontId="13" fillId="0" borderId="32" xfId="142" applyFont="1" applyFill="1" applyBorder="1" applyAlignment="1">
      <alignment vertical="center"/>
    </xf>
    <xf numFmtId="0" fontId="13" fillId="0" borderId="34" xfId="142" applyFont="1" applyFill="1" applyBorder="1" applyAlignment="1">
      <alignment vertical="center"/>
    </xf>
    <xf numFmtId="0" fontId="13" fillId="0" borderId="28" xfId="142" applyFont="1" applyFill="1" applyBorder="1" applyAlignment="1">
      <alignment vertical="center"/>
    </xf>
    <xf numFmtId="0" fontId="13" fillId="0" borderId="116" xfId="142" applyFont="1" applyFill="1" applyBorder="1" applyAlignment="1">
      <alignment horizontal="center" vertical="center" wrapText="1"/>
    </xf>
    <xf numFmtId="167" fontId="13" fillId="4" borderId="4" xfId="53" applyNumberFormat="1" applyFont="1" applyFill="1" applyBorder="1" applyAlignment="1">
      <alignment vertical="center" wrapText="1"/>
    </xf>
    <xf numFmtId="165" fontId="13" fillId="4" borderId="4" xfId="53" applyFont="1" applyFill="1" applyBorder="1" applyAlignment="1">
      <alignment horizontal="center" vertical="center" wrapText="1"/>
    </xf>
    <xf numFmtId="0" fontId="14" fillId="0" borderId="35" xfId="143" applyFont="1" applyBorder="1"/>
    <xf numFmtId="0" fontId="13" fillId="0" borderId="35" xfId="143" applyFont="1" applyBorder="1"/>
    <xf numFmtId="167" fontId="43" fillId="56" borderId="4" xfId="53" applyNumberFormat="1" applyFont="1" applyFill="1" applyBorder="1" applyAlignment="1">
      <alignment vertical="center" wrapText="1"/>
    </xf>
    <xf numFmtId="9" fontId="43" fillId="56" borderId="4" xfId="88" applyFont="1" applyFill="1" applyBorder="1" applyAlignment="1">
      <alignment horizontal="center" vertical="center" wrapText="1"/>
    </xf>
    <xf numFmtId="165" fontId="43" fillId="56" borderId="4" xfId="53" applyFont="1" applyFill="1" applyBorder="1" applyAlignment="1">
      <alignment vertical="center" wrapText="1"/>
    </xf>
    <xf numFmtId="167" fontId="43" fillId="56" borderId="31" xfId="53" applyNumberFormat="1" applyFont="1" applyFill="1" applyBorder="1" applyAlignment="1">
      <alignment vertical="center" wrapText="1"/>
    </xf>
    <xf numFmtId="0" fontId="14" fillId="5" borderId="35" xfId="143" applyFont="1" applyFill="1" applyBorder="1" applyAlignment="1">
      <alignment vertical="center" wrapText="1"/>
    </xf>
    <xf numFmtId="0" fontId="13" fillId="5" borderId="35" xfId="143" applyFont="1" applyFill="1" applyBorder="1" applyAlignment="1">
      <alignment vertical="center" wrapText="1"/>
    </xf>
    <xf numFmtId="0" fontId="13" fillId="0" borderId="28" xfId="143" applyFont="1" applyFill="1" applyBorder="1" applyAlignment="1"/>
    <xf numFmtId="0" fontId="14" fillId="51" borderId="35" xfId="143" applyFont="1" applyFill="1" applyBorder="1"/>
    <xf numFmtId="0" fontId="13" fillId="51" borderId="35" xfId="143" applyFont="1" applyFill="1" applyBorder="1"/>
    <xf numFmtId="165" fontId="13" fillId="0" borderId="4" xfId="53" applyFont="1" applyBorder="1" applyAlignment="1">
      <alignment vertical="center" wrapText="1"/>
    </xf>
    <xf numFmtId="0" fontId="13" fillId="0" borderId="24" xfId="143" applyFont="1" applyFill="1" applyBorder="1" applyAlignment="1"/>
    <xf numFmtId="0" fontId="13" fillId="4" borderId="34" xfId="142" applyFont="1" applyFill="1" applyBorder="1" applyAlignment="1">
      <alignment vertical="center" wrapText="1"/>
    </xf>
    <xf numFmtId="0" fontId="13" fillId="4" borderId="24" xfId="143" applyFont="1" applyFill="1" applyBorder="1" applyAlignment="1"/>
    <xf numFmtId="0" fontId="13" fillId="4" borderId="4" xfId="142" applyFont="1" applyFill="1" applyBorder="1" applyAlignment="1">
      <alignment horizontal="center" vertical="center" wrapText="1"/>
    </xf>
    <xf numFmtId="0" fontId="13" fillId="0" borderId="5" xfId="143" applyFont="1" applyFill="1" applyBorder="1" applyAlignment="1"/>
    <xf numFmtId="0" fontId="14" fillId="57" borderId="35" xfId="143" applyFont="1" applyFill="1" applyBorder="1" applyAlignment="1" applyProtection="1">
      <alignment horizontal="left" vertical="center" wrapText="1"/>
      <protection locked="0"/>
    </xf>
    <xf numFmtId="0" fontId="13" fillId="57" borderId="35" xfId="143" applyFont="1" applyFill="1" applyBorder="1" applyAlignment="1" applyProtection="1">
      <alignment horizontal="center" vertical="center" wrapText="1"/>
      <protection locked="0"/>
    </xf>
    <xf numFmtId="0" fontId="13" fillId="0" borderId="32" xfId="142" applyFont="1" applyFill="1" applyBorder="1" applyAlignment="1">
      <alignment horizontal="left" vertical="center" wrapText="1"/>
    </xf>
    <xf numFmtId="0" fontId="13" fillId="0" borderId="20" xfId="143" applyFont="1" applyFill="1" applyBorder="1" applyAlignment="1">
      <alignment vertical="center"/>
    </xf>
    <xf numFmtId="0" fontId="13" fillId="0" borderId="34" xfId="142" applyFont="1" applyFill="1" applyBorder="1" applyAlignment="1">
      <alignment horizontal="left" vertical="center" wrapText="1"/>
    </xf>
    <xf numFmtId="0" fontId="13" fillId="0" borderId="24" xfId="143" applyFont="1" applyFill="1" applyBorder="1" applyAlignment="1">
      <alignment vertical="center"/>
    </xf>
    <xf numFmtId="0" fontId="13" fillId="0" borderId="28" xfId="142" applyFont="1" applyFill="1" applyBorder="1" applyAlignment="1">
      <alignment horizontal="left" vertical="center" wrapText="1"/>
    </xf>
    <xf numFmtId="0" fontId="2" fillId="0" borderId="5" xfId="143" applyFont="1" applyFill="1" applyBorder="1" applyAlignment="1">
      <alignment vertical="center"/>
    </xf>
    <xf numFmtId="0" fontId="13" fillId="0" borderId="116" xfId="143" applyFont="1" applyFill="1" applyBorder="1" applyAlignment="1">
      <alignment horizontal="center"/>
    </xf>
    <xf numFmtId="0" fontId="43" fillId="45" borderId="30" xfId="142" applyFont="1" applyFill="1" applyBorder="1" applyAlignment="1">
      <alignment horizontal="center" vertical="center"/>
    </xf>
    <xf numFmtId="0" fontId="43" fillId="45" borderId="4" xfId="142" applyFont="1" applyFill="1" applyBorder="1" applyAlignment="1">
      <alignment horizontal="center" vertical="center"/>
    </xf>
    <xf numFmtId="0" fontId="43" fillId="45" borderId="116" xfId="142" applyFont="1" applyFill="1" applyBorder="1" applyAlignment="1">
      <alignment horizontal="center" vertical="center"/>
    </xf>
    <xf numFmtId="0" fontId="14" fillId="50" borderId="35" xfId="143" applyFont="1" applyFill="1" applyBorder="1" applyAlignment="1">
      <alignment vertical="center" wrapText="1"/>
    </xf>
    <xf numFmtId="0" fontId="13" fillId="50" borderId="35" xfId="143" applyFont="1" applyFill="1" applyBorder="1" applyAlignment="1">
      <alignment vertical="center" wrapText="1"/>
    </xf>
    <xf numFmtId="165" fontId="43" fillId="0" borderId="4" xfId="53" applyFont="1" applyFill="1" applyBorder="1" applyAlignment="1">
      <alignment vertical="center" wrapText="1"/>
    </xf>
    <xf numFmtId="0" fontId="14" fillId="47" borderId="35" xfId="143" applyFont="1" applyFill="1" applyBorder="1" applyAlignment="1">
      <alignment vertical="center" wrapText="1"/>
    </xf>
    <xf numFmtId="0" fontId="13" fillId="47" borderId="35" xfId="143" applyFont="1" applyFill="1" applyBorder="1" applyAlignment="1">
      <alignment vertical="center" wrapText="1"/>
    </xf>
    <xf numFmtId="1" fontId="13" fillId="0" borderId="4" xfId="142" applyNumberFormat="1" applyFont="1" applyFill="1" applyBorder="1" applyAlignment="1">
      <alignment horizontal="center" vertical="center" wrapText="1"/>
    </xf>
    <xf numFmtId="176" fontId="14" fillId="45" borderId="0" xfId="143" applyNumberFormat="1" applyFont="1" applyFill="1" applyBorder="1"/>
    <xf numFmtId="0" fontId="49" fillId="45" borderId="0" xfId="143" applyFill="1" applyBorder="1"/>
    <xf numFmtId="0" fontId="43" fillId="0" borderId="30" xfId="143" applyFont="1" applyBorder="1" applyAlignment="1"/>
    <xf numFmtId="0" fontId="43" fillId="0" borderId="4" xfId="143" applyFont="1" applyBorder="1" applyAlignment="1"/>
    <xf numFmtId="0" fontId="43" fillId="0" borderId="4" xfId="143" applyFont="1" applyBorder="1"/>
    <xf numFmtId="167" fontId="13" fillId="45" borderId="116" xfId="53" applyNumberFormat="1" applyFont="1" applyFill="1" applyBorder="1"/>
    <xf numFmtId="167" fontId="13" fillId="45" borderId="0" xfId="143" applyNumberFormat="1" applyFont="1" applyFill="1" applyBorder="1"/>
    <xf numFmtId="167" fontId="13" fillId="45" borderId="0" xfId="53" applyNumberFormat="1" applyFont="1" applyFill="1" applyBorder="1"/>
    <xf numFmtId="165" fontId="13" fillId="0" borderId="0" xfId="143" applyNumberFormat="1" applyFont="1" applyFill="1" applyBorder="1"/>
    <xf numFmtId="0" fontId="13" fillId="45" borderId="0" xfId="143" applyFont="1" applyFill="1" applyBorder="1"/>
    <xf numFmtId="9" fontId="13" fillId="45" borderId="0" xfId="88" applyFont="1" applyFill="1" applyBorder="1"/>
    <xf numFmtId="165" fontId="13" fillId="45" borderId="0" xfId="53" applyFont="1" applyFill="1" applyBorder="1"/>
    <xf numFmtId="165" fontId="13" fillId="0" borderId="0" xfId="53" applyFont="1" applyFill="1" applyBorder="1"/>
    <xf numFmtId="167" fontId="13" fillId="45" borderId="48" xfId="53" applyNumberFormat="1" applyFont="1" applyFill="1" applyBorder="1"/>
    <xf numFmtId="0" fontId="13" fillId="47" borderId="35" xfId="143" applyFont="1" applyFill="1" applyBorder="1" applyAlignment="1">
      <alignment vertical="center"/>
    </xf>
    <xf numFmtId="0" fontId="43" fillId="0" borderId="32" xfId="143" applyFont="1" applyBorder="1" applyAlignment="1"/>
    <xf numFmtId="0" fontId="43" fillId="0" borderId="20" xfId="143" applyFont="1" applyBorder="1" applyAlignment="1"/>
    <xf numFmtId="0" fontId="43" fillId="0" borderId="20" xfId="143" applyFont="1" applyBorder="1"/>
    <xf numFmtId="167" fontId="13" fillId="45" borderId="13" xfId="53" applyNumberFormat="1" applyFont="1" applyFill="1" applyBorder="1"/>
    <xf numFmtId="0" fontId="13" fillId="47" borderId="15" xfId="143" applyFont="1" applyFill="1" applyBorder="1" applyAlignment="1">
      <alignment vertical="center"/>
    </xf>
    <xf numFmtId="0" fontId="13" fillId="0" borderId="32" xfId="143" applyFont="1" applyBorder="1" applyAlignment="1"/>
    <xf numFmtId="0" fontId="13" fillId="0" borderId="20" xfId="143" applyFont="1" applyBorder="1" applyAlignment="1"/>
    <xf numFmtId="165" fontId="13" fillId="0" borderId="4" xfId="53" applyNumberFormat="1" applyFont="1" applyFill="1" applyBorder="1" applyAlignment="1">
      <alignment vertical="center" wrapText="1"/>
    </xf>
    <xf numFmtId="165" fontId="13" fillId="0" borderId="4" xfId="53" applyNumberFormat="1" applyFont="1" applyBorder="1" applyAlignment="1">
      <alignment vertical="center" wrapText="1"/>
    </xf>
    <xf numFmtId="0" fontId="13" fillId="0" borderId="20" xfId="143" applyFont="1" applyBorder="1"/>
    <xf numFmtId="0" fontId="2" fillId="45" borderId="0" xfId="143" applyFont="1" applyFill="1" applyBorder="1"/>
    <xf numFmtId="0" fontId="2" fillId="0" borderId="0" xfId="143" applyFont="1"/>
    <xf numFmtId="167" fontId="13" fillId="0" borderId="4" xfId="53" applyNumberFormat="1" applyFont="1" applyFill="1" applyBorder="1" applyAlignment="1">
      <alignment horizontal="center" vertical="center" wrapText="1"/>
    </xf>
    <xf numFmtId="0" fontId="50" fillId="47" borderId="35" xfId="143" applyFont="1" applyFill="1" applyBorder="1" applyAlignment="1">
      <alignment vertical="center" wrapText="1"/>
    </xf>
    <xf numFmtId="0" fontId="43" fillId="47" borderId="35" xfId="143" applyFont="1" applyFill="1" applyBorder="1" applyAlignment="1">
      <alignment vertical="center" wrapText="1"/>
    </xf>
    <xf numFmtId="167" fontId="43" fillId="45" borderId="13" xfId="53" applyNumberFormat="1" applyFont="1" applyFill="1" applyBorder="1"/>
    <xf numFmtId="9" fontId="43" fillId="0" borderId="4" xfId="88" applyFont="1" applyBorder="1" applyAlignment="1">
      <alignment horizontal="center" vertical="center" wrapText="1"/>
    </xf>
    <xf numFmtId="167" fontId="43" fillId="0" borderId="4" xfId="53" applyNumberFormat="1" applyFont="1" applyBorder="1" applyAlignment="1">
      <alignment vertical="center" wrapText="1"/>
    </xf>
    <xf numFmtId="0" fontId="3" fillId="53" borderId="4" xfId="143" applyFont="1" applyFill="1" applyBorder="1"/>
    <xf numFmtId="165" fontId="43" fillId="47" borderId="4" xfId="53" applyFont="1" applyFill="1" applyBorder="1" applyAlignment="1">
      <alignment horizontal="center" vertical="center" wrapText="1"/>
    </xf>
    <xf numFmtId="165" fontId="43" fillId="0" borderId="4" xfId="53" applyFont="1" applyBorder="1" applyAlignment="1">
      <alignment vertical="center" wrapText="1"/>
    </xf>
    <xf numFmtId="165" fontId="43" fillId="0" borderId="4" xfId="53" applyFont="1" applyFill="1" applyBorder="1" applyAlignment="1">
      <alignment horizontal="center" vertical="center" wrapText="1"/>
    </xf>
    <xf numFmtId="167" fontId="43" fillId="0" borderId="4" xfId="53" applyNumberFormat="1" applyFont="1" applyFill="1" applyBorder="1" applyAlignment="1">
      <alignment vertical="center" wrapText="1"/>
    </xf>
    <xf numFmtId="176" fontId="50" fillId="45" borderId="0" xfId="143" applyNumberFormat="1" applyFont="1" applyFill="1" applyBorder="1"/>
    <xf numFmtId="0" fontId="3" fillId="45" borderId="0" xfId="143" applyFont="1" applyFill="1" applyBorder="1"/>
    <xf numFmtId="165" fontId="13" fillId="4" borderId="4" xfId="53" applyFont="1" applyFill="1" applyBorder="1" applyAlignment="1">
      <alignment vertical="center" wrapText="1"/>
    </xf>
    <xf numFmtId="173" fontId="13" fillId="0" borderId="4" xfId="88" applyNumberFormat="1" applyFont="1" applyBorder="1" applyAlignment="1">
      <alignment horizontal="center" vertical="center" wrapText="1"/>
    </xf>
    <xf numFmtId="173" fontId="43" fillId="0" borderId="4" xfId="53" applyNumberFormat="1" applyFont="1" applyBorder="1" applyAlignment="1">
      <alignment vertical="center" wrapText="1"/>
    </xf>
    <xf numFmtId="0" fontId="13" fillId="47" borderId="52" xfId="143" applyFont="1" applyFill="1" applyBorder="1" applyAlignment="1">
      <alignment vertical="center" wrapText="1"/>
    </xf>
    <xf numFmtId="165" fontId="13" fillId="45" borderId="13" xfId="53" applyFont="1" applyFill="1" applyBorder="1"/>
    <xf numFmtId="167" fontId="43" fillId="0" borderId="20" xfId="53" applyNumberFormat="1" applyFont="1" applyFill="1" applyBorder="1" applyAlignment="1">
      <alignment vertical="center" wrapText="1"/>
    </xf>
    <xf numFmtId="9" fontId="43" fillId="0" borderId="20" xfId="88" applyFont="1" applyFill="1" applyBorder="1" applyAlignment="1">
      <alignment horizontal="center" vertical="center" wrapText="1"/>
    </xf>
    <xf numFmtId="167" fontId="13" fillId="0" borderId="0" xfId="53" applyNumberFormat="1" applyFont="1" applyFill="1" applyBorder="1"/>
    <xf numFmtId="0" fontId="14" fillId="47" borderId="43" xfId="143" applyFont="1" applyFill="1" applyBorder="1" applyAlignment="1">
      <alignment vertical="center" wrapText="1"/>
    </xf>
    <xf numFmtId="0" fontId="13" fillId="47" borderId="137" xfId="143" applyFont="1" applyFill="1" applyBorder="1" applyAlignment="1">
      <alignment vertical="center" wrapText="1"/>
    </xf>
    <xf numFmtId="167" fontId="43" fillId="5" borderId="37" xfId="53" applyNumberFormat="1" applyFont="1" applyFill="1" applyBorder="1" applyAlignment="1">
      <alignment vertical="center" wrapText="1"/>
    </xf>
    <xf numFmtId="9" fontId="43" fillId="5" borderId="37" xfId="88" applyFont="1" applyFill="1" applyBorder="1" applyAlignment="1">
      <alignment horizontal="center" vertical="center" wrapText="1"/>
    </xf>
    <xf numFmtId="165" fontId="13" fillId="47" borderId="37" xfId="53" applyFont="1" applyFill="1" applyBorder="1" applyAlignment="1">
      <alignment horizontal="center" vertical="center" wrapText="1"/>
    </xf>
    <xf numFmtId="165" fontId="43" fillId="5" borderId="37" xfId="53" applyFont="1" applyFill="1" applyBorder="1" applyAlignment="1">
      <alignment vertical="center" wrapText="1"/>
    </xf>
    <xf numFmtId="165" fontId="13" fillId="0" borderId="37" xfId="53" applyFont="1" applyFill="1" applyBorder="1" applyAlignment="1">
      <alignment horizontal="center" vertical="center" wrapText="1"/>
    </xf>
    <xf numFmtId="167" fontId="43" fillId="5" borderId="38" xfId="53" applyNumberFormat="1" applyFont="1" applyFill="1" applyBorder="1" applyAlignment="1">
      <alignment vertical="center" wrapText="1"/>
    </xf>
    <xf numFmtId="0" fontId="13" fillId="0" borderId="0" xfId="143" applyFont="1"/>
    <xf numFmtId="0" fontId="13" fillId="45" borderId="0" xfId="143" applyFont="1" applyFill="1"/>
    <xf numFmtId="167" fontId="13" fillId="45" borderId="0" xfId="143" applyNumberFormat="1" applyFont="1" applyFill="1"/>
    <xf numFmtId="167" fontId="13" fillId="45" borderId="0" xfId="53" applyNumberFormat="1" applyFont="1" applyFill="1"/>
    <xf numFmtId="0" fontId="13" fillId="0" borderId="0" xfId="143" applyFont="1" applyFill="1"/>
    <xf numFmtId="9" fontId="13" fillId="45" borderId="0" xfId="88" applyFont="1" applyFill="1"/>
    <xf numFmtId="165" fontId="13" fillId="45" borderId="0" xfId="53" applyFont="1" applyFill="1"/>
    <xf numFmtId="165" fontId="13" fillId="0" borderId="0" xfId="53" applyFont="1" applyFill="1"/>
    <xf numFmtId="0" fontId="50" fillId="0" borderId="0" xfId="143" applyFont="1" applyFill="1"/>
    <xf numFmtId="0" fontId="43" fillId="0" borderId="0" xfId="143" applyFont="1" applyFill="1"/>
    <xf numFmtId="0" fontId="43" fillId="0" borderId="15" xfId="143" applyFont="1" applyFill="1" applyBorder="1"/>
    <xf numFmtId="167" fontId="43" fillId="0" borderId="0" xfId="53" applyNumberFormat="1" applyFont="1" applyFill="1"/>
    <xf numFmtId="167" fontId="43" fillId="0" borderId="0" xfId="143" applyNumberFormat="1" applyFont="1" applyFill="1"/>
    <xf numFmtId="9" fontId="43" fillId="0" borderId="0" xfId="88" applyFont="1" applyFill="1"/>
    <xf numFmtId="165" fontId="43" fillId="0" borderId="0" xfId="53" applyFont="1" applyFill="1"/>
    <xf numFmtId="167" fontId="3" fillId="0" borderId="0" xfId="143" applyNumberFormat="1" applyFont="1" applyFill="1"/>
    <xf numFmtId="176" fontId="50" fillId="0" borderId="0" xfId="143" applyNumberFormat="1" applyFont="1" applyFill="1" applyBorder="1"/>
    <xf numFmtId="165" fontId="3" fillId="0" borderId="0" xfId="143" applyNumberFormat="1" applyFont="1" applyFill="1"/>
    <xf numFmtId="0" fontId="3" fillId="0" borderId="0" xfId="143" applyFont="1" applyFill="1"/>
    <xf numFmtId="167" fontId="13" fillId="0" borderId="0" xfId="53" applyNumberFormat="1" applyFont="1" applyFill="1"/>
    <xf numFmtId="167" fontId="13" fillId="0" borderId="0" xfId="143" applyNumberFormat="1" applyFont="1" applyFill="1"/>
    <xf numFmtId="0" fontId="51" fillId="0" borderId="0" xfId="143" applyFont="1"/>
    <xf numFmtId="0" fontId="13" fillId="45" borderId="85" xfId="143" applyFont="1" applyFill="1" applyBorder="1"/>
    <xf numFmtId="0" fontId="13" fillId="45" borderId="158" xfId="143" applyFont="1" applyFill="1" applyBorder="1"/>
    <xf numFmtId="0" fontId="13" fillId="45" borderId="150" xfId="143" applyFont="1" applyFill="1" applyBorder="1"/>
    <xf numFmtId="167" fontId="13" fillId="45" borderId="86" xfId="53" applyNumberFormat="1" applyFont="1" applyFill="1" applyBorder="1"/>
    <xf numFmtId="9" fontId="13" fillId="45" borderId="86" xfId="88" applyFont="1" applyFill="1" applyBorder="1"/>
    <xf numFmtId="167" fontId="13" fillId="0" borderId="86" xfId="53" applyNumberFormat="1" applyFont="1" applyFill="1" applyBorder="1"/>
    <xf numFmtId="165" fontId="13" fillId="45" borderId="86" xfId="53" applyFont="1" applyFill="1" applyBorder="1"/>
    <xf numFmtId="165" fontId="13" fillId="47" borderId="86" xfId="53" applyFont="1" applyFill="1" applyBorder="1"/>
    <xf numFmtId="165" fontId="13" fillId="45" borderId="86" xfId="53" applyNumberFormat="1" applyFont="1" applyFill="1" applyBorder="1"/>
    <xf numFmtId="165" fontId="13" fillId="0" borderId="86" xfId="53" applyFont="1" applyFill="1" applyBorder="1"/>
    <xf numFmtId="167" fontId="13" fillId="45" borderId="158" xfId="53" applyNumberFormat="1" applyFont="1" applyFill="1" applyBorder="1"/>
    <xf numFmtId="165" fontId="13" fillId="45" borderId="158" xfId="53" applyFont="1" applyFill="1" applyBorder="1"/>
    <xf numFmtId="165" fontId="2" fillId="45" borderId="0" xfId="53" applyFont="1" applyFill="1"/>
    <xf numFmtId="0" fontId="13" fillId="45" borderId="140" xfId="143" applyFont="1" applyFill="1" applyBorder="1"/>
    <xf numFmtId="0" fontId="13" fillId="45" borderId="141" xfId="143" applyFont="1" applyFill="1" applyBorder="1"/>
    <xf numFmtId="0" fontId="13" fillId="45" borderId="83" xfId="143" applyFont="1" applyFill="1" applyBorder="1"/>
    <xf numFmtId="167" fontId="13" fillId="45" borderId="75" xfId="53" applyNumberFormat="1" applyFont="1" applyFill="1" applyBorder="1"/>
    <xf numFmtId="9" fontId="13" fillId="45" borderId="75" xfId="88" applyFont="1" applyFill="1" applyBorder="1"/>
    <xf numFmtId="167" fontId="13" fillId="0" borderId="75" xfId="53" applyNumberFormat="1" applyFont="1" applyFill="1" applyBorder="1"/>
    <xf numFmtId="165" fontId="13" fillId="45" borderId="75" xfId="53" applyFont="1" applyFill="1" applyBorder="1"/>
    <xf numFmtId="165" fontId="13" fillId="47" borderId="75" xfId="53" applyFont="1" applyFill="1" applyBorder="1"/>
    <xf numFmtId="165" fontId="13" fillId="45" borderId="75" xfId="53" applyNumberFormat="1" applyFont="1" applyFill="1" applyBorder="1"/>
    <xf numFmtId="165" fontId="13" fillId="0" borderId="75" xfId="53" applyFont="1" applyFill="1" applyBorder="1"/>
    <xf numFmtId="167" fontId="13" fillId="45" borderId="141" xfId="53" applyNumberFormat="1" applyFont="1" applyFill="1" applyBorder="1"/>
    <xf numFmtId="165" fontId="13" fillId="45" borderId="141" xfId="53" applyFont="1" applyFill="1" applyBorder="1"/>
    <xf numFmtId="0" fontId="13" fillId="45" borderId="159" xfId="143" applyFont="1" applyFill="1" applyBorder="1"/>
    <xf numFmtId="0" fontId="43" fillId="0" borderId="0" xfId="143" applyFont="1"/>
    <xf numFmtId="0" fontId="43" fillId="45" borderId="160" xfId="143" applyFont="1" applyFill="1" applyBorder="1"/>
    <xf numFmtId="0" fontId="43" fillId="45" borderId="161" xfId="143" applyFont="1" applyFill="1" applyBorder="1"/>
    <xf numFmtId="0" fontId="43" fillId="45" borderId="152" xfId="143" applyFont="1" applyFill="1" applyBorder="1"/>
    <xf numFmtId="167" fontId="43" fillId="45" borderId="144" xfId="53" applyNumberFormat="1" applyFont="1" applyFill="1" applyBorder="1"/>
    <xf numFmtId="9" fontId="43" fillId="45" borderId="144" xfId="88" applyFont="1" applyFill="1" applyBorder="1"/>
    <xf numFmtId="167" fontId="43" fillId="0" borderId="144" xfId="53" applyNumberFormat="1" applyFont="1" applyFill="1" applyBorder="1"/>
    <xf numFmtId="165" fontId="43" fillId="45" borderId="144" xfId="53" applyFont="1" applyFill="1" applyBorder="1"/>
    <xf numFmtId="165" fontId="43" fillId="47" borderId="144" xfId="53" applyFont="1" applyFill="1" applyBorder="1"/>
    <xf numFmtId="165" fontId="43" fillId="45" borderId="144" xfId="53" applyNumberFormat="1" applyFont="1" applyFill="1" applyBorder="1"/>
    <xf numFmtId="165" fontId="43" fillId="0" borderId="144" xfId="53" applyFont="1" applyFill="1" applyBorder="1"/>
    <xf numFmtId="167" fontId="43" fillId="45" borderId="161" xfId="53" applyNumberFormat="1" applyFont="1" applyFill="1" applyBorder="1"/>
    <xf numFmtId="165" fontId="43" fillId="45" borderId="161" xfId="53" applyFont="1" applyFill="1" applyBorder="1"/>
    <xf numFmtId="0" fontId="50" fillId="0" borderId="0" xfId="143" applyFont="1"/>
    <xf numFmtId="0" fontId="13" fillId="58" borderId="15" xfId="143" applyFont="1" applyFill="1" applyBorder="1"/>
    <xf numFmtId="165" fontId="13" fillId="45" borderId="0" xfId="143" applyNumberFormat="1" applyFont="1" applyFill="1"/>
    <xf numFmtId="0" fontId="13" fillId="45" borderId="162" xfId="143" applyFont="1" applyFill="1" applyBorder="1"/>
    <xf numFmtId="167" fontId="2" fillId="0" borderId="0" xfId="53" applyNumberFormat="1" applyFont="1" applyFill="1"/>
    <xf numFmtId="167" fontId="0" fillId="0" borderId="0" xfId="53" applyNumberFormat="1" applyFont="1"/>
    <xf numFmtId="165" fontId="0" fillId="0" borderId="0" xfId="53" applyFont="1"/>
    <xf numFmtId="0" fontId="52" fillId="0" borderId="13" xfId="143" applyFont="1" applyBorder="1"/>
    <xf numFmtId="0" fontId="49" fillId="0" borderId="6" xfId="143" applyBorder="1"/>
    <xf numFmtId="167" fontId="0" fillId="0" borderId="6" xfId="53" applyNumberFormat="1" applyFont="1" applyBorder="1"/>
    <xf numFmtId="0" fontId="49" fillId="0" borderId="6" xfId="143" applyFill="1" applyBorder="1"/>
    <xf numFmtId="165" fontId="2" fillId="0" borderId="20" xfId="53" applyFont="1" applyFill="1" applyBorder="1"/>
    <xf numFmtId="165" fontId="2" fillId="0" borderId="14" xfId="53" applyFont="1" applyFill="1" applyBorder="1"/>
    <xf numFmtId="167" fontId="2" fillId="0" borderId="20" xfId="53" applyNumberFormat="1" applyFont="1" applyFill="1" applyBorder="1"/>
    <xf numFmtId="0" fontId="2" fillId="0" borderId="13" xfId="143" applyFont="1" applyBorder="1"/>
    <xf numFmtId="165" fontId="0" fillId="0" borderId="20" xfId="53" applyFont="1" applyFill="1" applyBorder="1"/>
    <xf numFmtId="165" fontId="0" fillId="0" borderId="14" xfId="53" applyFont="1" applyFill="1" applyBorder="1"/>
    <xf numFmtId="167" fontId="0" fillId="0" borderId="20" xfId="53" applyNumberFormat="1" applyFont="1" applyFill="1" applyBorder="1"/>
    <xf numFmtId="0" fontId="2" fillId="0" borderId="15" xfId="143" applyFont="1" applyBorder="1"/>
    <xf numFmtId="0" fontId="49" fillId="0" borderId="0" xfId="143" applyBorder="1"/>
    <xf numFmtId="167" fontId="0" fillId="0" borderId="0" xfId="53" applyNumberFormat="1" applyFont="1" applyBorder="1"/>
    <xf numFmtId="0" fontId="49" fillId="0" borderId="0" xfId="143" applyFill="1" applyBorder="1"/>
    <xf numFmtId="165" fontId="0" fillId="0" borderId="24" xfId="53" applyFont="1" applyFill="1" applyBorder="1"/>
    <xf numFmtId="165" fontId="0" fillId="0" borderId="16" xfId="53" applyFont="1" applyFill="1" applyBorder="1"/>
    <xf numFmtId="167" fontId="0" fillId="0" borderId="24" xfId="53" applyNumberFormat="1" applyFont="1" applyFill="1" applyBorder="1"/>
    <xf numFmtId="0" fontId="2" fillId="0" borderId="15" xfId="143" applyFont="1" applyFill="1" applyBorder="1"/>
    <xf numFmtId="0" fontId="2" fillId="0" borderId="17" xfId="143" applyFont="1" applyFill="1" applyBorder="1"/>
    <xf numFmtId="0" fontId="49" fillId="0" borderId="18" xfId="143" applyBorder="1"/>
    <xf numFmtId="167" fontId="0" fillId="0" borderId="18" xfId="53" applyNumberFormat="1" applyFont="1" applyBorder="1"/>
    <xf numFmtId="0" fontId="49" fillId="0" borderId="18" xfId="143" applyFill="1" applyBorder="1"/>
    <xf numFmtId="165" fontId="3" fillId="0" borderId="5" xfId="53" applyFont="1" applyFill="1" applyBorder="1"/>
    <xf numFmtId="165" fontId="3" fillId="0" borderId="19" xfId="53" applyFont="1" applyFill="1" applyBorder="1"/>
    <xf numFmtId="167" fontId="3" fillId="0" borderId="5" xfId="53" applyNumberFormat="1" applyFont="1" applyFill="1" applyBorder="1"/>
    <xf numFmtId="168" fontId="2" fillId="0" borderId="4" xfId="1" applyNumberFormat="1" applyFont="1" applyFill="1" applyBorder="1" applyAlignment="1">
      <alignment vertical="center"/>
    </xf>
    <xf numFmtId="168" fontId="8" fillId="0" borderId="4" xfId="1" applyNumberFormat="1" applyFont="1" applyFill="1" applyBorder="1"/>
    <xf numFmtId="168" fontId="3" fillId="0" borderId="4" xfId="1" applyNumberFormat="1" applyFont="1" applyFill="1" applyBorder="1" applyAlignment="1">
      <alignment horizontal="left"/>
    </xf>
    <xf numFmtId="168" fontId="4" fillId="0" borderId="4" xfId="1" applyNumberFormat="1" applyFont="1" applyFill="1" applyBorder="1"/>
    <xf numFmtId="167" fontId="49" fillId="0" borderId="0" xfId="143" applyNumberFormat="1"/>
    <xf numFmtId="43" fontId="49" fillId="0" borderId="0" xfId="1" applyFont="1"/>
    <xf numFmtId="166" fontId="49" fillId="0" borderId="0" xfId="1" applyNumberFormat="1" applyFont="1"/>
    <xf numFmtId="43" fontId="0" fillId="0" borderId="0" xfId="1" applyFont="1" applyFill="1"/>
    <xf numFmtId="168" fontId="3" fillId="2" borderId="47" xfId="1" applyNumberFormat="1" applyFont="1" applyFill="1" applyBorder="1" applyAlignment="1">
      <alignment horizontal="left"/>
    </xf>
    <xf numFmtId="166" fontId="3" fillId="2" borderId="16" xfId="1" applyNumberFormat="1" applyFont="1" applyFill="1" applyBorder="1" applyAlignment="1">
      <alignment horizontal="right"/>
    </xf>
    <xf numFmtId="166" fontId="3" fillId="2" borderId="106" xfId="1" applyNumberFormat="1" applyFont="1" applyFill="1" applyBorder="1" applyAlignment="1">
      <alignment horizontal="right"/>
    </xf>
    <xf numFmtId="9" fontId="4" fillId="6" borderId="0" xfId="2" applyFont="1" applyFill="1" applyAlignment="1">
      <alignment horizontal="center"/>
    </xf>
    <xf numFmtId="43" fontId="2" fillId="0" borderId="0" xfId="1" applyFont="1" applyFill="1"/>
    <xf numFmtId="166" fontId="2" fillId="0" borderId="0" xfId="1" applyNumberFormat="1" applyFont="1" applyFill="1"/>
    <xf numFmtId="43" fontId="2" fillId="0" borderId="0" xfId="1" applyFont="1"/>
    <xf numFmtId="1" fontId="0" fillId="0" borderId="18" xfId="1" applyNumberFormat="1" applyFont="1" applyBorder="1" applyAlignment="1"/>
    <xf numFmtId="165" fontId="49" fillId="0" borderId="0" xfId="143" applyNumberFormat="1"/>
    <xf numFmtId="166" fontId="4" fillId="0" borderId="6" xfId="1" applyNumberFormat="1" applyFont="1" applyBorder="1"/>
    <xf numFmtId="166" fontId="4" fillId="0" borderId="0" xfId="1" applyNumberFormat="1" applyFont="1" applyBorder="1"/>
    <xf numFmtId="166" fontId="4" fillId="0" borderId="18" xfId="1" applyNumberFormat="1" applyFont="1" applyBorder="1"/>
    <xf numFmtId="166" fontId="4" fillId="0" borderId="6" xfId="1" applyNumberFormat="1" applyFont="1" applyBorder="1" applyAlignment="1"/>
    <xf numFmtId="166" fontId="4" fillId="0" borderId="0" xfId="1" applyNumberFormat="1" applyFont="1" applyBorder="1" applyAlignment="1"/>
    <xf numFmtId="168" fontId="4" fillId="0" borderId="0" xfId="1" applyNumberFormat="1" applyFont="1" applyBorder="1"/>
    <xf numFmtId="0" fontId="0" fillId="0" borderId="16" xfId="0" applyBorder="1" applyAlignment="1">
      <alignment wrapText="1"/>
    </xf>
    <xf numFmtId="0" fontId="8" fillId="0" borderId="16" xfId="0" applyFont="1" applyBorder="1"/>
    <xf numFmtId="0" fontId="8" fillId="0" borderId="16" xfId="0" applyFont="1" applyBorder="1" applyAlignment="1">
      <alignment wrapText="1"/>
    </xf>
    <xf numFmtId="166" fontId="4" fillId="0" borderId="0" xfId="0" applyNumberFormat="1" applyFont="1"/>
    <xf numFmtId="43" fontId="41" fillId="0" borderId="0" xfId="1" applyFont="1" applyAlignment="1">
      <alignment horizontal="center"/>
    </xf>
    <xf numFmtId="0" fontId="41" fillId="0" borderId="0" xfId="0" applyFont="1"/>
    <xf numFmtId="0" fontId="41" fillId="0" borderId="0" xfId="0" applyFont="1" applyAlignment="1">
      <alignment horizontal="center"/>
    </xf>
    <xf numFmtId="166" fontId="41" fillId="0" borderId="0" xfId="1" applyNumberFormat="1" applyFont="1"/>
    <xf numFmtId="166" fontId="41" fillId="0" borderId="0" xfId="1" applyNumberFormat="1" applyFont="1" applyAlignment="1"/>
    <xf numFmtId="0" fontId="41" fillId="0" borderId="0" xfId="0" applyFont="1" applyAlignment="1"/>
    <xf numFmtId="9" fontId="2" fillId="0" borderId="3" xfId="2" applyFont="1" applyBorder="1" applyAlignment="1">
      <alignment horizontal="center"/>
    </xf>
    <xf numFmtId="43" fontId="2" fillId="0" borderId="23" xfId="1" applyFont="1" applyBorder="1" applyAlignment="1"/>
    <xf numFmtId="0" fontId="53" fillId="0" borderId="0" xfId="0" applyFont="1"/>
    <xf numFmtId="0" fontId="53" fillId="0" borderId="0" xfId="0" applyFont="1" applyAlignment="1">
      <alignment horizontal="center"/>
    </xf>
    <xf numFmtId="166" fontId="53" fillId="0" borderId="0" xfId="1" applyNumberFormat="1" applyFont="1"/>
    <xf numFmtId="166" fontId="53" fillId="0" borderId="0" xfId="1" applyNumberFormat="1" applyFont="1" applyAlignment="1"/>
    <xf numFmtId="168" fontId="4" fillId="6" borderId="1" xfId="1" applyNumberFormat="1" applyFont="1" applyFill="1" applyBorder="1"/>
    <xf numFmtId="168" fontId="4" fillId="6" borderId="2" xfId="1" applyNumberFormat="1" applyFont="1" applyFill="1" applyBorder="1"/>
    <xf numFmtId="168" fontId="4" fillId="6" borderId="3" xfId="1" applyNumberFormat="1" applyFont="1" applyFill="1" applyBorder="1"/>
    <xf numFmtId="43" fontId="4" fillId="6" borderId="2" xfId="1" applyFont="1" applyFill="1" applyBorder="1"/>
    <xf numFmtId="166" fontId="4" fillId="0" borderId="0" xfId="0" applyNumberFormat="1" applyFont="1" applyBorder="1" applyAlignment="1"/>
    <xf numFmtId="166" fontId="4" fillId="0" borderId="6" xfId="0" applyNumberFormat="1" applyFont="1" applyBorder="1" applyAlignment="1"/>
    <xf numFmtId="0" fontId="4" fillId="0" borderId="19" xfId="0" applyFont="1" applyBorder="1" applyAlignment="1"/>
    <xf numFmtId="166" fontId="4" fillId="0" borderId="14" xfId="1" applyNumberFormat="1" applyFont="1" applyFill="1" applyBorder="1"/>
    <xf numFmtId="166" fontId="4" fillId="0" borderId="16" xfId="1" applyNumberFormat="1" applyFont="1" applyFill="1" applyBorder="1"/>
    <xf numFmtId="166" fontId="4" fillId="0" borderId="14" xfId="0" applyNumberFormat="1" applyFont="1" applyBorder="1" applyAlignment="1">
      <alignment horizontal="center"/>
    </xf>
    <xf numFmtId="166" fontId="4" fillId="0" borderId="16" xfId="0" applyNumberFormat="1" applyFont="1" applyBorder="1" applyAlignment="1">
      <alignment horizontal="center"/>
    </xf>
    <xf numFmtId="166" fontId="4" fillId="0" borderId="19" xfId="0" applyNumberFormat="1" applyFont="1" applyBorder="1" applyAlignment="1">
      <alignment horizontal="center"/>
    </xf>
    <xf numFmtId="168" fontId="2" fillId="0" borderId="0" xfId="1" applyNumberFormat="1" applyFont="1" applyFill="1" applyBorder="1" applyAlignment="1">
      <alignment vertical="center"/>
    </xf>
    <xf numFmtId="43" fontId="2" fillId="0" borderId="0" xfId="1" applyFont="1" applyFill="1" applyBorder="1" applyAlignment="1">
      <alignment horizontal="right"/>
    </xf>
    <xf numFmtId="43" fontId="2" fillId="0" borderId="16" xfId="1" applyFont="1" applyFill="1" applyBorder="1" applyAlignment="1">
      <alignment horizontal="right"/>
    </xf>
    <xf numFmtId="43" fontId="2" fillId="0" borderId="0" xfId="1" applyFont="1" applyFill="1" applyBorder="1" applyAlignment="1">
      <alignment horizontal="center"/>
    </xf>
    <xf numFmtId="9" fontId="2" fillId="0" borderId="0" xfId="2" applyFont="1" applyFill="1" applyBorder="1" applyAlignment="1">
      <alignment horizontal="right"/>
    </xf>
    <xf numFmtId="9" fontId="2" fillId="0" borderId="0" xfId="2" applyFont="1" applyFill="1" applyBorder="1" applyAlignment="1">
      <alignment horizontal="center"/>
    </xf>
    <xf numFmtId="0" fontId="4" fillId="0" borderId="0" xfId="0" applyFont="1" applyFill="1"/>
    <xf numFmtId="43" fontId="4" fillId="0" borderId="0" xfId="1" applyFont="1" applyFill="1"/>
    <xf numFmtId="43" fontId="42" fillId="0" borderId="18" xfId="1" applyFont="1" applyBorder="1"/>
    <xf numFmtId="43" fontId="2" fillId="0" borderId="6" xfId="1" applyFont="1" applyFill="1" applyBorder="1" applyAlignment="1">
      <alignment horizontal="right"/>
    </xf>
    <xf numFmtId="43" fontId="2" fillId="0" borderId="14" xfId="1" applyFont="1" applyFill="1" applyBorder="1" applyAlignment="1">
      <alignment horizontal="center"/>
    </xf>
    <xf numFmtId="43" fontId="2" fillId="0" borderId="16" xfId="1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43" fontId="2" fillId="0" borderId="40" xfId="1" applyFont="1" applyBorder="1" applyAlignment="1">
      <alignment horizontal="center"/>
    </xf>
    <xf numFmtId="9" fontId="2" fillId="0" borderId="40" xfId="2" applyFont="1" applyBorder="1" applyAlignment="1">
      <alignment horizontal="right"/>
    </xf>
    <xf numFmtId="43" fontId="4" fillId="6" borderId="1" xfId="1" applyFont="1" applyFill="1" applyBorder="1"/>
    <xf numFmtId="168" fontId="4" fillId="6" borderId="106" xfId="1" applyNumberFormat="1" applyFont="1" applyFill="1" applyBorder="1"/>
    <xf numFmtId="0" fontId="54" fillId="0" borderId="4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54" fillId="0" borderId="4" xfId="0" applyFont="1" applyBorder="1" applyAlignment="1">
      <alignment horizontal="left"/>
    </xf>
    <xf numFmtId="0" fontId="54" fillId="0" borderId="4" xfId="0" applyFont="1" applyBorder="1" applyAlignment="1">
      <alignment horizontal="center"/>
    </xf>
    <xf numFmtId="168" fontId="4" fillId="6" borderId="4" xfId="1" applyNumberFormat="1" applyFont="1" applyFill="1" applyBorder="1"/>
    <xf numFmtId="166" fontId="0" fillId="0" borderId="4" xfId="1" applyNumberFormat="1" applyFont="1" applyBorder="1" applyAlignment="1">
      <alignment horizontal="right"/>
    </xf>
    <xf numFmtId="0" fontId="54" fillId="0" borderId="4" xfId="0" applyFont="1" applyBorder="1" applyAlignment="1">
      <alignment horizontal="center"/>
    </xf>
    <xf numFmtId="0" fontId="3" fillId="4" borderId="1" xfId="3" applyFont="1" applyFill="1" applyBorder="1" applyAlignment="1">
      <alignment horizontal="center" vertical="center"/>
    </xf>
    <xf numFmtId="0" fontId="3" fillId="4" borderId="2" xfId="3" applyFont="1" applyFill="1" applyBorder="1" applyAlignment="1">
      <alignment horizontal="center" vertical="center"/>
    </xf>
    <xf numFmtId="0" fontId="3" fillId="4" borderId="3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23" fillId="47" borderId="1" xfId="80" applyFont="1" applyFill="1" applyBorder="1" applyAlignment="1">
      <alignment horizontal="center"/>
    </xf>
    <xf numFmtId="0" fontId="23" fillId="47" borderId="2" xfId="80" applyFont="1" applyFill="1" applyBorder="1" applyAlignment="1">
      <alignment horizontal="center"/>
    </xf>
    <xf numFmtId="0" fontId="23" fillId="47" borderId="3" xfId="80" applyFont="1" applyFill="1" applyBorder="1" applyAlignment="1">
      <alignment horizontal="center"/>
    </xf>
    <xf numFmtId="0" fontId="44" fillId="48" borderId="44" xfId="80" applyFont="1" applyFill="1" applyBorder="1" applyAlignment="1">
      <alignment horizontal="center" wrapText="1"/>
    </xf>
    <xf numFmtId="0" fontId="44" fillId="48" borderId="67" xfId="80" applyFont="1" applyFill="1" applyBorder="1" applyAlignment="1">
      <alignment horizontal="center" wrapText="1"/>
    </xf>
    <xf numFmtId="0" fontId="44" fillId="48" borderId="49" xfId="80" applyFont="1" applyFill="1" applyBorder="1" applyAlignment="1">
      <alignment horizontal="center"/>
    </xf>
    <xf numFmtId="0" fontId="44" fillId="48" borderId="50" xfId="80" applyFont="1" applyFill="1" applyBorder="1" applyAlignment="1">
      <alignment horizontal="center"/>
    </xf>
    <xf numFmtId="0" fontId="44" fillId="48" borderId="51" xfId="80" applyFont="1" applyFill="1" applyBorder="1" applyAlignment="1">
      <alignment horizontal="center"/>
    </xf>
    <xf numFmtId="0" fontId="44" fillId="48" borderId="3" xfId="80" applyFont="1" applyFill="1" applyBorder="1" applyAlignment="1">
      <alignment horizontal="center"/>
    </xf>
    <xf numFmtId="0" fontId="44" fillId="48" borderId="1" xfId="80" applyFont="1" applyFill="1" applyBorder="1" applyAlignment="1">
      <alignment horizontal="center"/>
    </xf>
    <xf numFmtId="0" fontId="44" fillId="48" borderId="2" xfId="80" applyFont="1" applyFill="1" applyBorder="1" applyAlignment="1">
      <alignment horizontal="center"/>
    </xf>
    <xf numFmtId="167" fontId="23" fillId="47" borderId="47" xfId="53" applyNumberFormat="1" applyFont="1" applyFill="1" applyBorder="1" applyAlignment="1">
      <alignment horizontal="center"/>
    </xf>
    <xf numFmtId="167" fontId="23" fillId="47" borderId="0" xfId="53" applyNumberFormat="1" applyFont="1" applyFill="1" applyBorder="1" applyAlignment="1">
      <alignment horizontal="center"/>
    </xf>
    <xf numFmtId="0" fontId="44" fillId="48" borderId="55" xfId="80" applyFont="1" applyFill="1" applyBorder="1" applyAlignment="1">
      <alignment horizontal="center" vertical="center"/>
    </xf>
    <xf numFmtId="0" fontId="44" fillId="48" borderId="65" xfId="80" applyFont="1" applyFill="1" applyBorder="1" applyAlignment="1">
      <alignment horizontal="center" vertical="center"/>
    </xf>
    <xf numFmtId="0" fontId="44" fillId="48" borderId="58" xfId="80" applyFont="1" applyFill="1" applyBorder="1" applyAlignment="1">
      <alignment horizontal="center"/>
    </xf>
    <xf numFmtId="0" fontId="44" fillId="48" borderId="69" xfId="80" applyFont="1" applyFill="1" applyBorder="1" applyAlignment="1">
      <alignment horizontal="center"/>
    </xf>
    <xf numFmtId="0" fontId="44" fillId="48" borderId="47" xfId="80" applyFont="1" applyFill="1" applyBorder="1" applyAlignment="1">
      <alignment horizontal="center" wrapText="1"/>
    </xf>
    <xf numFmtId="0" fontId="44" fillId="48" borderId="45" xfId="80" applyFont="1" applyFill="1" applyBorder="1" applyAlignment="1">
      <alignment horizontal="center" wrapText="1"/>
    </xf>
    <xf numFmtId="0" fontId="44" fillId="48" borderId="0" xfId="80" applyFont="1" applyFill="1" applyBorder="1" applyAlignment="1">
      <alignment horizontal="center" wrapText="1"/>
    </xf>
    <xf numFmtId="0" fontId="44" fillId="48" borderId="45" xfId="80" applyFont="1" applyFill="1" applyBorder="1" applyAlignment="1">
      <alignment horizontal="center" wrapText="1" shrinkToFit="1"/>
    </xf>
    <xf numFmtId="0" fontId="44" fillId="48" borderId="18" xfId="80" applyFont="1" applyFill="1" applyBorder="1" applyAlignment="1">
      <alignment horizontal="center" wrapText="1" shrinkToFit="1"/>
    </xf>
    <xf numFmtId="0" fontId="44" fillId="48" borderId="18" xfId="80" applyFont="1" applyFill="1" applyBorder="1" applyAlignment="1">
      <alignment horizontal="center" wrapText="1"/>
    </xf>
    <xf numFmtId="0" fontId="3" fillId="50" borderId="154" xfId="142" applyFont="1" applyFill="1" applyBorder="1" applyAlignment="1">
      <alignment horizontal="center" vertical="center"/>
    </xf>
    <xf numFmtId="0" fontId="3" fillId="50" borderId="155" xfId="142" applyFont="1" applyFill="1" applyBorder="1" applyAlignment="1">
      <alignment horizontal="center" vertical="center"/>
    </xf>
    <xf numFmtId="0" fontId="3" fillId="50" borderId="153" xfId="142" applyFont="1" applyFill="1" applyBorder="1" applyAlignment="1">
      <alignment horizontal="center" vertical="center"/>
    </xf>
    <xf numFmtId="0" fontId="45" fillId="49" borderId="59" xfId="80" applyFont="1" applyFill="1" applyBorder="1" applyAlignment="1">
      <alignment horizontal="center" wrapText="1"/>
    </xf>
    <xf numFmtId="0" fontId="45" fillId="49" borderId="70" xfId="80" applyFont="1" applyFill="1" applyBorder="1" applyAlignment="1">
      <alignment horizontal="center" wrapText="1"/>
    </xf>
    <xf numFmtId="0" fontId="44" fillId="48" borderId="0" xfId="80" applyFont="1" applyFill="1" applyBorder="1" applyAlignment="1">
      <alignment horizontal="center" wrapText="1" shrinkToFit="1"/>
    </xf>
    <xf numFmtId="0" fontId="3" fillId="50" borderId="67" xfId="142" applyFont="1" applyFill="1" applyBorder="1" applyAlignment="1">
      <alignment horizontal="center" vertical="center" wrapText="1"/>
    </xf>
    <xf numFmtId="0" fontId="3" fillId="50" borderId="18" xfId="142" applyFont="1" applyFill="1" applyBorder="1" applyAlignment="1">
      <alignment horizontal="center" vertical="center" wrapText="1"/>
    </xf>
    <xf numFmtId="0" fontId="3" fillId="50" borderId="68" xfId="142" applyFont="1" applyFill="1" applyBorder="1" applyAlignment="1">
      <alignment horizontal="center" vertical="center" wrapText="1"/>
    </xf>
    <xf numFmtId="0" fontId="3" fillId="50" borderId="112" xfId="142" applyFont="1" applyFill="1" applyBorder="1" applyAlignment="1">
      <alignment horizontal="center" vertical="center" wrapText="1"/>
    </xf>
    <xf numFmtId="0" fontId="3" fillId="50" borderId="10" xfId="142" applyFont="1" applyFill="1" applyBorder="1" applyAlignment="1">
      <alignment horizontal="center" vertical="center" wrapText="1"/>
    </xf>
    <xf numFmtId="0" fontId="3" fillId="50" borderId="109" xfId="142" applyFont="1" applyFill="1" applyBorder="1" applyAlignment="1">
      <alignment horizontal="center" vertical="center" wrapText="1"/>
    </xf>
    <xf numFmtId="0" fontId="44" fillId="48" borderId="46" xfId="80" applyFont="1" applyFill="1" applyBorder="1" applyAlignment="1">
      <alignment horizontal="center" wrapText="1"/>
    </xf>
    <xf numFmtId="0" fontId="44" fillId="48" borderId="48" xfId="80" applyFont="1" applyFill="1" applyBorder="1" applyAlignment="1">
      <alignment horizontal="center" wrapText="1"/>
    </xf>
    <xf numFmtId="0" fontId="44" fillId="48" borderId="68" xfId="80" applyFont="1" applyFill="1" applyBorder="1" applyAlignment="1">
      <alignment horizontal="center" wrapText="1"/>
    </xf>
    <xf numFmtId="0" fontId="44" fillId="48" borderId="44" xfId="80" applyFont="1" applyFill="1" applyBorder="1" applyAlignment="1">
      <alignment horizontal="center"/>
    </xf>
    <xf numFmtId="0" fontId="44" fillId="48" borderId="57" xfId="80" applyFont="1" applyFill="1" applyBorder="1" applyAlignment="1">
      <alignment horizontal="center"/>
    </xf>
    <xf numFmtId="0" fontId="44" fillId="48" borderId="64" xfId="80" applyFont="1" applyFill="1" applyBorder="1" applyAlignment="1">
      <alignment horizontal="center"/>
    </xf>
    <xf numFmtId="0" fontId="3" fillId="50" borderId="123" xfId="142" applyFont="1" applyFill="1" applyBorder="1" applyAlignment="1">
      <alignment horizontal="center" vertical="center" wrapText="1"/>
    </xf>
    <xf numFmtId="0" fontId="3" fillId="50" borderId="125" xfId="142" applyFont="1" applyFill="1" applyBorder="1" applyAlignment="1">
      <alignment horizontal="center" vertical="center" wrapText="1"/>
    </xf>
    <xf numFmtId="0" fontId="3" fillId="50" borderId="124" xfId="142" applyFont="1" applyFill="1" applyBorder="1" applyAlignment="1">
      <alignment horizontal="center" vertical="center" wrapText="1"/>
    </xf>
    <xf numFmtId="0" fontId="3" fillId="50" borderId="44" xfId="142" applyFont="1" applyFill="1" applyBorder="1" applyAlignment="1">
      <alignment horizontal="center" vertical="center" wrapText="1"/>
    </xf>
    <xf numFmtId="0" fontId="3" fillId="50" borderId="45" xfId="142" applyFont="1" applyFill="1" applyBorder="1" applyAlignment="1">
      <alignment horizontal="center" vertical="center" wrapText="1"/>
    </xf>
    <xf numFmtId="0" fontId="3" fillId="50" borderId="46" xfId="142" applyFont="1" applyFill="1" applyBorder="1" applyAlignment="1">
      <alignment horizontal="center" vertical="center" wrapText="1"/>
    </xf>
    <xf numFmtId="0" fontId="3" fillId="50" borderId="1" xfId="142" applyFont="1" applyFill="1" applyBorder="1" applyAlignment="1">
      <alignment horizontal="center" vertical="center"/>
    </xf>
    <xf numFmtId="0" fontId="3" fillId="50" borderId="2" xfId="142" applyFont="1" applyFill="1" applyBorder="1" applyAlignment="1">
      <alignment horizontal="center" vertical="center"/>
    </xf>
    <xf numFmtId="0" fontId="3" fillId="50" borderId="3" xfId="142" applyFont="1" applyFill="1" applyBorder="1" applyAlignment="1">
      <alignment horizontal="center" vertical="center"/>
    </xf>
    <xf numFmtId="0" fontId="3" fillId="50" borderId="148" xfId="142" applyFont="1" applyFill="1" applyBorder="1" applyAlignment="1">
      <alignment horizontal="center" vertical="center"/>
    </xf>
    <xf numFmtId="0" fontId="3" fillId="50" borderId="6" xfId="142" applyFont="1" applyFill="1" applyBorder="1" applyAlignment="1">
      <alignment horizontal="center" vertical="center"/>
    </xf>
    <xf numFmtId="0" fontId="3" fillId="50" borderId="129" xfId="142" applyFont="1" applyFill="1" applyBorder="1" applyAlignment="1">
      <alignment horizontal="center" vertical="center"/>
    </xf>
    <xf numFmtId="0" fontId="3" fillId="50" borderId="123" xfId="142" applyFont="1" applyFill="1" applyBorder="1" applyAlignment="1">
      <alignment horizontal="center" vertical="center"/>
    </xf>
    <xf numFmtId="0" fontId="3" fillId="50" borderId="125" xfId="142" applyFont="1" applyFill="1" applyBorder="1" applyAlignment="1">
      <alignment horizontal="center" vertical="center"/>
    </xf>
    <xf numFmtId="0" fontId="3" fillId="50" borderId="124" xfId="142" applyFont="1" applyFill="1" applyBorder="1" applyAlignment="1">
      <alignment horizontal="center" vertical="center"/>
    </xf>
    <xf numFmtId="0" fontId="3" fillId="50" borderId="112" xfId="142" applyFont="1" applyFill="1" applyBorder="1" applyAlignment="1">
      <alignment horizontal="center" vertical="center"/>
    </xf>
    <xf numFmtId="0" fontId="3" fillId="50" borderId="10" xfId="142" applyFont="1" applyFill="1" applyBorder="1" applyAlignment="1">
      <alignment horizontal="center" vertical="center"/>
    </xf>
    <xf numFmtId="0" fontId="3" fillId="50" borderId="109" xfId="142" applyFont="1" applyFill="1" applyBorder="1" applyAlignment="1">
      <alignment horizontal="center" vertical="center"/>
    </xf>
    <xf numFmtId="0" fontId="43" fillId="56" borderId="30" xfId="142" applyFont="1" applyFill="1" applyBorder="1" applyAlignment="1">
      <alignment horizontal="center" vertical="center"/>
    </xf>
    <xf numFmtId="0" fontId="43" fillId="56" borderId="4" xfId="142" applyFont="1" applyFill="1" applyBorder="1" applyAlignment="1">
      <alignment horizontal="center" vertical="center"/>
    </xf>
    <xf numFmtId="0" fontId="43" fillId="56" borderId="30" xfId="142" applyFont="1" applyFill="1" applyBorder="1" applyAlignment="1">
      <alignment horizontal="center" vertical="center" wrapText="1"/>
    </xf>
    <xf numFmtId="0" fontId="43" fillId="56" borderId="4" xfId="142" applyFont="1" applyFill="1" applyBorder="1" applyAlignment="1">
      <alignment horizontal="center" vertical="center" wrapText="1"/>
    </xf>
    <xf numFmtId="0" fontId="43" fillId="56" borderId="116" xfId="142" applyFont="1" applyFill="1" applyBorder="1" applyAlignment="1">
      <alignment horizontal="center" vertical="center" wrapText="1"/>
    </xf>
    <xf numFmtId="0" fontId="43" fillId="5" borderId="36" xfId="142" applyFont="1" applyFill="1" applyBorder="1" applyAlignment="1">
      <alignment horizontal="center" vertical="center"/>
    </xf>
    <xf numFmtId="0" fontId="43" fillId="5" borderId="37" xfId="142" applyFont="1" applyFill="1" applyBorder="1" applyAlignment="1">
      <alignment horizontal="center" vertical="center"/>
    </xf>
  </cellXfs>
  <cellStyles count="146">
    <cellStyle name="_CMB Sales ABP 2009-10(30.4.09)" xfId="6"/>
    <cellStyle name="_COB_revised" xfId="7"/>
    <cellStyle name="_Oct plan" xfId="8"/>
    <cellStyle name="_Oct plan_Oleo cost sheet for ABP 2010-11_Revised" xfId="9"/>
    <cellStyle name="_Oleo Cost Sheets MAy 14 updated with year costs" xfId="10"/>
    <cellStyle name="_Oleo Cost Sheets MAy 14 updated with year costs_Oleo cost sheet for ABP 2010-11_Revised" xfId="11"/>
    <cellStyle name="_Oleo Cost Sheets MAy 14 updated with year costs_VVF May 10" xfId="12"/>
    <cellStyle name="_PCP cost sheets ABP costs May 25thv2" xfId="13"/>
    <cellStyle name="_Profit_and_Loss_Statement_VVF_Consolidated_Final_with_New_Price_Realizationv 8" xfId="14"/>
    <cellStyle name="_RCCP_Oleo_ABP_v3" xfId="15"/>
    <cellStyle name="_RCCP_Oleo_ABP_v3_Oleo cost sheet for ABP 2010-11_Revised" xfId="16"/>
    <cellStyle name="_Supply comm_final" xfId="17"/>
    <cellStyle name="_Volume_realization_forecast" xfId="18"/>
    <cellStyle name="_VVF ABP 09-10 Vs. Actual 08-09 at 75%" xfId="19"/>
    <cellStyle name="_VVF March 09 .xls" xfId="20"/>
    <cellStyle name="Accent1 - 20%" xfId="21"/>
    <cellStyle name="Accent1 - 40%" xfId="22"/>
    <cellStyle name="Accent1 - 60%" xfId="23"/>
    <cellStyle name="Accent2 - 20%" xfId="24"/>
    <cellStyle name="Accent2 - 40%" xfId="25"/>
    <cellStyle name="Accent2 - 60%" xfId="26"/>
    <cellStyle name="Accent3 - 20%" xfId="27"/>
    <cellStyle name="Accent3 - 40%" xfId="28"/>
    <cellStyle name="Accent3 - 60%" xfId="29"/>
    <cellStyle name="Accent4 - 20%" xfId="30"/>
    <cellStyle name="Accent4 - 40%" xfId="31"/>
    <cellStyle name="Accent4 - 60%" xfId="32"/>
    <cellStyle name="Accent5 - 20%" xfId="33"/>
    <cellStyle name="Accent5 - 40%" xfId="34"/>
    <cellStyle name="Accent5 - 60%" xfId="35"/>
    <cellStyle name="Accent6 - 20%" xfId="36"/>
    <cellStyle name="Accent6 - 40%" xfId="37"/>
    <cellStyle name="Accent6 - 60%" xfId="38"/>
    <cellStyle name="ar" xfId="39"/>
    <cellStyle name="Body" xfId="40"/>
    <cellStyle name="Brand Align Left Text" xfId="41"/>
    <cellStyle name="Brand Default" xfId="42"/>
    <cellStyle name="Brand Default 2" xfId="43"/>
    <cellStyle name="Brand Default 3" xfId="44"/>
    <cellStyle name="Brand Default 4" xfId="45"/>
    <cellStyle name="Brand Default 5" xfId="46"/>
    <cellStyle name="Brand Percent" xfId="47"/>
    <cellStyle name="Brand Source" xfId="48"/>
    <cellStyle name="Brand Subtitle with Underline" xfId="49"/>
    <cellStyle name="Brand Subtitle without Underline" xfId="50"/>
    <cellStyle name="Brand Title" xfId="51"/>
    <cellStyle name="cashflow" xfId="52"/>
    <cellStyle name="Comma" xfId="1" builtinId="3"/>
    <cellStyle name="Comma 2" xfId="53"/>
    <cellStyle name="Comma 2 2" xfId="5"/>
    <cellStyle name="Comma 3" xfId="54"/>
    <cellStyle name="Comma 3 2" xfId="55"/>
    <cellStyle name="Comma 4" xfId="56"/>
    <cellStyle name="Comma 5" xfId="57"/>
    <cellStyle name="Comma 6" xfId="58"/>
    <cellStyle name="Comma 7" xfId="59"/>
    <cellStyle name="Comma 8" xfId="60"/>
    <cellStyle name="Currency 2" xfId="61"/>
    <cellStyle name="Custom - Style8" xfId="62"/>
    <cellStyle name="Data   - Style2" xfId="63"/>
    <cellStyle name="Define your own named style" xfId="64"/>
    <cellStyle name="Draw lines around data in range" xfId="65"/>
    <cellStyle name="Draw shadow and lines within range" xfId="66"/>
    <cellStyle name="Emphasis 1" xfId="67"/>
    <cellStyle name="Emphasis 2" xfId="68"/>
    <cellStyle name="Emphasis 3" xfId="69"/>
    <cellStyle name="Enlarge title text, yellow on blue" xfId="70"/>
    <cellStyle name="Format a column of totals" xfId="71"/>
    <cellStyle name="Format a row of totals" xfId="72"/>
    <cellStyle name="Format text as bold, black on yellow" xfId="73"/>
    <cellStyle name="Header1" xfId="74"/>
    <cellStyle name="Header2" xfId="75"/>
    <cellStyle name="Labels - Style3" xfId="76"/>
    <cellStyle name="no dec" xfId="77"/>
    <cellStyle name="Normal" xfId="0" builtinId="0"/>
    <cellStyle name="Normal - Style1" xfId="78"/>
    <cellStyle name="Normal 10" xfId="79"/>
    <cellStyle name="Normal 11" xfId="141"/>
    <cellStyle name="Normal 11 2" xfId="144"/>
    <cellStyle name="Normal 12" xfId="143"/>
    <cellStyle name="Normal 12 2" xfId="145"/>
    <cellStyle name="Normal 2" xfId="4"/>
    <cellStyle name="Normal 2 2" xfId="80"/>
    <cellStyle name="Normal 3" xfId="81"/>
    <cellStyle name="Normal 3 2" xfId="82"/>
    <cellStyle name="Normal 4" xfId="3"/>
    <cellStyle name="Normal 5" xfId="83"/>
    <cellStyle name="Normal 6" xfId="84"/>
    <cellStyle name="Normal 7" xfId="85"/>
    <cellStyle name="Normal 8" xfId="86"/>
    <cellStyle name="Normal 9" xfId="87"/>
    <cellStyle name="Normal_CMB" xfId="142"/>
    <cellStyle name="Percent" xfId="2" builtinId="5"/>
    <cellStyle name="Percent 2" xfId="88"/>
    <cellStyle name="Percent 2 2" xfId="89"/>
    <cellStyle name="Percent 3" xfId="90"/>
    <cellStyle name="Percent 4" xfId="91"/>
    <cellStyle name="Percent 5" xfId="92"/>
    <cellStyle name="Reset  - Style7" xfId="93"/>
    <cellStyle name="Reset range style to defaults" xfId="94"/>
    <cellStyle name="SAPBEXaggData" xfId="95"/>
    <cellStyle name="SAPBEXaggDataEmph" xfId="96"/>
    <cellStyle name="SAPBEXaggItem" xfId="97"/>
    <cellStyle name="SAPBEXaggItemX" xfId="98"/>
    <cellStyle name="SAPBEXchaText" xfId="99"/>
    <cellStyle name="SAPBEXexcBad7" xfId="100"/>
    <cellStyle name="SAPBEXexcBad8" xfId="101"/>
    <cellStyle name="SAPBEXexcBad9" xfId="102"/>
    <cellStyle name="SAPBEXexcCritical4" xfId="103"/>
    <cellStyle name="SAPBEXexcCritical5" xfId="104"/>
    <cellStyle name="SAPBEXexcCritical6" xfId="105"/>
    <cellStyle name="SAPBEXexcGood1" xfId="106"/>
    <cellStyle name="SAPBEXexcGood2" xfId="107"/>
    <cellStyle name="SAPBEXexcGood3" xfId="108"/>
    <cellStyle name="SAPBEXfilterDrill" xfId="109"/>
    <cellStyle name="SAPBEXfilterItem" xfId="110"/>
    <cellStyle name="SAPBEXfilterText" xfId="111"/>
    <cellStyle name="SAPBEXformats" xfId="112"/>
    <cellStyle name="SAPBEXheaderItem" xfId="113"/>
    <cellStyle name="SAPBEXheaderText" xfId="114"/>
    <cellStyle name="SAPBEXHLevel0" xfId="115"/>
    <cellStyle name="SAPBEXHLevel0X" xfId="116"/>
    <cellStyle name="SAPBEXHLevel1" xfId="117"/>
    <cellStyle name="SAPBEXHLevel1X" xfId="118"/>
    <cellStyle name="SAPBEXHLevel2" xfId="119"/>
    <cellStyle name="SAPBEXHLevel2X" xfId="120"/>
    <cellStyle name="SAPBEXHLevel3" xfId="121"/>
    <cellStyle name="SAPBEXHLevel3X" xfId="122"/>
    <cellStyle name="SAPBEXinputData" xfId="123"/>
    <cellStyle name="SAPBEXresData" xfId="124"/>
    <cellStyle name="SAPBEXresDataEmph" xfId="125"/>
    <cellStyle name="SAPBEXresItem" xfId="126"/>
    <cellStyle name="SAPBEXresItemX" xfId="127"/>
    <cellStyle name="SAPBEXstdData" xfId="128"/>
    <cellStyle name="SAPBEXstdDataEmph" xfId="129"/>
    <cellStyle name="SAPBEXstdItem" xfId="130"/>
    <cellStyle name="SAPBEXstdItemX" xfId="131"/>
    <cellStyle name="SAPBEXtitle" xfId="132"/>
    <cellStyle name="SAPBEXundefined" xfId="133"/>
    <cellStyle name="Sheet Title" xfId="134"/>
    <cellStyle name="Style 1" xfId="135"/>
    <cellStyle name="Subsidy" xfId="136"/>
    <cellStyle name="Table  - Style6" xfId="137"/>
    <cellStyle name="Title  - Style1" xfId="138"/>
    <cellStyle name="TotCol - Style5" xfId="139"/>
    <cellStyle name="TotRow - Style4" xfId="14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STING\lanbak\SB~SC~BR\2000-01\04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INPUT bill"/>
      <sheetName val="RP"/>
      <sheetName val="bill p2"/>
      <sheetName val="Ann II A bill"/>
      <sheetName val="Ann - II bill"/>
      <sheetName val="CERT"/>
      <sheetName val="DESPATCH &amp; SALE"/>
      <sheetName val="inc det"/>
      <sheetName val="SALES &amp; SUB"/>
      <sheetName val="MSOD"/>
      <sheetName val="PURCH"/>
      <sheetName val="STOCK"/>
      <sheetName val="DEB_CLS"/>
      <sheetName val="msod-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I56"/>
  <sheetViews>
    <sheetView tabSelected="1" workbookViewId="0">
      <selection activeCell="D8" sqref="D8"/>
    </sheetView>
  </sheetViews>
  <sheetFormatPr defaultRowHeight="15"/>
  <cols>
    <col min="2" max="2" width="24.28515625" customWidth="1"/>
    <col min="3" max="3" width="9.140625" customWidth="1"/>
    <col min="4" max="4" width="15.28515625" customWidth="1"/>
    <col min="5" max="5" width="10.7109375" customWidth="1"/>
    <col min="8" max="8" width="22" bestFit="1" customWidth="1"/>
    <col min="9" max="9" width="10.85546875" customWidth="1"/>
  </cols>
  <sheetData>
    <row r="3" spans="2:9">
      <c r="B3" s="44" t="s">
        <v>30</v>
      </c>
      <c r="C3" s="26"/>
      <c r="D3" s="26"/>
      <c r="E3" s="27"/>
      <c r="H3" s="1030" t="s">
        <v>596</v>
      </c>
      <c r="I3" s="1030"/>
    </row>
    <row r="4" spans="2:9">
      <c r="B4" s="28"/>
      <c r="C4" s="29"/>
      <c r="D4" s="29"/>
      <c r="E4" s="30"/>
      <c r="H4" s="1023" t="s">
        <v>577</v>
      </c>
      <c r="I4" s="1023" t="s">
        <v>562</v>
      </c>
    </row>
    <row r="5" spans="2:9">
      <c r="B5" s="41" t="s">
        <v>31</v>
      </c>
      <c r="C5" s="42"/>
      <c r="D5" s="42" t="s">
        <v>31</v>
      </c>
      <c r="E5" s="43" t="s">
        <v>32</v>
      </c>
      <c r="H5" s="1023" t="s">
        <v>578</v>
      </c>
      <c r="I5" s="1024"/>
    </row>
    <row r="6" spans="2:9">
      <c r="B6" s="28" t="s">
        <v>33</v>
      </c>
      <c r="C6" s="29" t="s">
        <v>34</v>
      </c>
      <c r="D6" s="31">
        <f>'Sales performance'!I27+100%</f>
        <v>1.0416666666666667</v>
      </c>
      <c r="E6" s="32">
        <f>'Sales performance'!I63+100%</f>
        <v>0.97895493232872888</v>
      </c>
      <c r="H6" s="1025"/>
      <c r="I6" s="1029"/>
    </row>
    <row r="7" spans="2:9">
      <c r="B7" s="28" t="s">
        <v>33</v>
      </c>
      <c r="C7" s="29" t="s">
        <v>35</v>
      </c>
      <c r="D7" s="31">
        <f>'Sales performance'!I28+100%</f>
        <v>1.2568495866782405</v>
      </c>
      <c r="E7" s="32">
        <f>'Sales performance'!I57+100%</f>
        <v>1.3097282662678016</v>
      </c>
      <c r="H7" s="1025" t="s">
        <v>417</v>
      </c>
      <c r="I7" s="1029">
        <v>146</v>
      </c>
    </row>
    <row r="8" spans="2:9">
      <c r="B8" s="28"/>
      <c r="C8" s="29"/>
      <c r="D8" s="29"/>
      <c r="E8" s="30"/>
      <c r="H8" s="1025" t="s">
        <v>579</v>
      </c>
      <c r="I8" s="1029">
        <v>91</v>
      </c>
    </row>
    <row r="9" spans="2:9">
      <c r="B9" s="41" t="s">
        <v>36</v>
      </c>
      <c r="C9" s="42"/>
      <c r="D9" s="42"/>
      <c r="E9" s="43" t="s">
        <v>32</v>
      </c>
      <c r="H9" s="1025" t="s">
        <v>580</v>
      </c>
      <c r="I9" s="1024">
        <v>48</v>
      </c>
    </row>
    <row r="10" spans="2:9">
      <c r="B10" s="28" t="s">
        <v>37</v>
      </c>
      <c r="C10" s="29"/>
      <c r="D10" s="29"/>
      <c r="E10" s="32">
        <f>'Sales performance'!I61+100%</f>
        <v>1.0420571741265479</v>
      </c>
      <c r="H10" s="1025" t="s">
        <v>193</v>
      </c>
      <c r="I10" s="1024">
        <v>111</v>
      </c>
    </row>
    <row r="11" spans="2:9" hidden="1">
      <c r="B11" s="28" t="s">
        <v>7</v>
      </c>
      <c r="C11" s="29"/>
      <c r="D11" s="29"/>
      <c r="E11" s="32" t="e">
        <f>#REF!+100%</f>
        <v>#REF!</v>
      </c>
      <c r="G11" s="25"/>
      <c r="H11" s="1023" t="s">
        <v>573</v>
      </c>
      <c r="I11" s="1024">
        <v>8662</v>
      </c>
    </row>
    <row r="12" spans="2:9">
      <c r="B12" s="28"/>
      <c r="C12" s="29"/>
      <c r="D12" s="29"/>
      <c r="E12" s="32"/>
      <c r="H12" s="1026" t="s">
        <v>573</v>
      </c>
      <c r="I12" s="1024"/>
    </row>
    <row r="13" spans="2:9">
      <c r="B13" s="41" t="s">
        <v>38</v>
      </c>
      <c r="C13" s="42"/>
      <c r="D13" s="42" t="s">
        <v>46</v>
      </c>
      <c r="E13" s="43" t="s">
        <v>570</v>
      </c>
      <c r="H13" s="1025" t="s">
        <v>73</v>
      </c>
      <c r="I13" s="1024">
        <v>11195</v>
      </c>
    </row>
    <row r="14" spans="2:9">
      <c r="B14" s="28"/>
      <c r="C14" s="29"/>
      <c r="D14" s="33"/>
      <c r="E14" s="30"/>
      <c r="H14" s="1025" t="s">
        <v>216</v>
      </c>
      <c r="I14" s="1024">
        <v>860</v>
      </c>
    </row>
    <row r="15" spans="2:9">
      <c r="B15" s="168" t="s">
        <v>52</v>
      </c>
      <c r="C15" s="33"/>
      <c r="D15" s="33">
        <f>-'Sales performance'!H18</f>
        <v>11.25</v>
      </c>
      <c r="E15" s="980"/>
      <c r="H15" s="1025" t="s">
        <v>49</v>
      </c>
      <c r="I15" s="1024">
        <v>1796</v>
      </c>
    </row>
    <row r="16" spans="2:9">
      <c r="B16" s="168" t="s">
        <v>597</v>
      </c>
      <c r="C16" s="29"/>
      <c r="D16" s="29">
        <f>-'Sales performance'!F34</f>
        <v>49</v>
      </c>
      <c r="E16" s="980"/>
      <c r="H16" s="1023"/>
      <c r="I16" s="1024"/>
    </row>
    <row r="17" spans="2:9" ht="18" customHeight="1">
      <c r="B17" s="168" t="s">
        <v>598</v>
      </c>
      <c r="C17" s="29"/>
      <c r="D17" s="29">
        <f>-'Sales performance'!F36</f>
        <v>8</v>
      </c>
      <c r="E17" s="978"/>
      <c r="H17" s="1027" t="s">
        <v>581</v>
      </c>
      <c r="I17" s="1024"/>
    </row>
    <row r="18" spans="2:9">
      <c r="B18" s="168"/>
      <c r="C18" s="29"/>
      <c r="D18" s="29"/>
      <c r="E18" s="979"/>
      <c r="H18" s="1025" t="s">
        <v>571</v>
      </c>
      <c r="I18" s="1024">
        <v>196</v>
      </c>
    </row>
    <row r="19" spans="2:9">
      <c r="B19" s="28"/>
      <c r="C19" s="29"/>
      <c r="D19" s="29"/>
      <c r="E19" s="30"/>
      <c r="H19" s="1025"/>
      <c r="I19" s="1024"/>
    </row>
    <row r="20" spans="2:9">
      <c r="B20" s="41" t="s">
        <v>48</v>
      </c>
      <c r="C20" s="42"/>
      <c r="D20" s="42" t="s">
        <v>46</v>
      </c>
      <c r="E20" s="43"/>
      <c r="H20" s="1025"/>
      <c r="I20" s="1024"/>
    </row>
    <row r="21" spans="2:9">
      <c r="B21" s="28"/>
      <c r="C21" s="29"/>
      <c r="D21" s="33"/>
      <c r="E21" s="30"/>
      <c r="H21" s="1026" t="s">
        <v>47</v>
      </c>
      <c r="I21" s="1024"/>
    </row>
    <row r="22" spans="2:9">
      <c r="B22" s="28" t="s">
        <v>599</v>
      </c>
      <c r="C22" s="29"/>
      <c r="D22" s="33">
        <f>'Sales performance'!H22</f>
        <v>61</v>
      </c>
      <c r="E22" s="30"/>
      <c r="H22" s="1025" t="s">
        <v>587</v>
      </c>
      <c r="I22" s="1024">
        <v>620</v>
      </c>
    </row>
    <row r="23" spans="2:9">
      <c r="B23" s="28" t="s">
        <v>600</v>
      </c>
      <c r="C23" s="29"/>
      <c r="D23" s="33">
        <f>'Sales performance'!F33</f>
        <v>50</v>
      </c>
      <c r="E23" s="30"/>
      <c r="H23" s="1025" t="s">
        <v>588</v>
      </c>
      <c r="I23" s="1024">
        <v>170</v>
      </c>
    </row>
    <row r="24" spans="2:9">
      <c r="B24" s="28"/>
      <c r="C24" s="29"/>
      <c r="D24" s="33"/>
      <c r="E24" s="30"/>
      <c r="H24" s="1025" t="s">
        <v>582</v>
      </c>
      <c r="I24" s="1029">
        <v>198.67200000000003</v>
      </c>
    </row>
    <row r="25" spans="2:9">
      <c r="B25" s="34"/>
      <c r="C25" s="35"/>
      <c r="D25" s="55"/>
      <c r="E25" s="36"/>
      <c r="H25" s="1025" t="s">
        <v>586</v>
      </c>
      <c r="I25" s="1029">
        <v>59.923760000000016</v>
      </c>
    </row>
    <row r="26" spans="2:9">
      <c r="B26" t="s">
        <v>39</v>
      </c>
    </row>
    <row r="27" spans="2:9">
      <c r="B27" s="44" t="s">
        <v>40</v>
      </c>
      <c r="C27" s="26"/>
      <c r="D27" s="26"/>
      <c r="E27" s="27"/>
    </row>
    <row r="28" spans="2:9">
      <c r="B28" s="28"/>
      <c r="C28" s="29"/>
      <c r="D28" s="29"/>
      <c r="E28" s="30"/>
    </row>
    <row r="29" spans="2:9">
      <c r="B29" s="41"/>
      <c r="C29" s="42"/>
      <c r="D29" s="42" t="s">
        <v>31</v>
      </c>
      <c r="E29" s="43" t="s">
        <v>32</v>
      </c>
      <c r="F29" s="25"/>
    </row>
    <row r="30" spans="2:9">
      <c r="B30" s="28" t="s">
        <v>41</v>
      </c>
      <c r="C30" s="29" t="s">
        <v>34</v>
      </c>
      <c r="D30" s="31">
        <f>'Sales performance'!P27+100%</f>
        <v>0.51948445980851876</v>
      </c>
      <c r="E30" s="32">
        <f>'Sales performance'!P63+100%</f>
        <v>0.60546336549925805</v>
      </c>
      <c r="F30" s="25"/>
    </row>
    <row r="31" spans="2:9">
      <c r="B31" s="28" t="s">
        <v>42</v>
      </c>
      <c r="C31" s="29" t="s">
        <v>34</v>
      </c>
      <c r="D31" s="37">
        <f>'Sales performance'!R27</f>
        <v>-0.31639513480009906</v>
      </c>
      <c r="E31" s="32">
        <f>'Sales performance'!R63</f>
        <v>-0.16883866079816279</v>
      </c>
    </row>
    <row r="32" spans="2:9">
      <c r="B32" s="28"/>
      <c r="C32" s="29"/>
      <c r="D32" s="29"/>
      <c r="E32" s="30"/>
    </row>
    <row r="33" spans="2:5">
      <c r="B33" s="28" t="s">
        <v>41</v>
      </c>
      <c r="C33" s="29" t="s">
        <v>35</v>
      </c>
      <c r="D33" s="31">
        <f>'Sales performance'!P28+100%</f>
        <v>0.75650146771065252</v>
      </c>
      <c r="E33" s="32">
        <f>'Sales performance'!P57+100%</f>
        <v>0.90242354647386247</v>
      </c>
    </row>
    <row r="34" spans="2:5">
      <c r="B34" s="28" t="s">
        <v>42</v>
      </c>
      <c r="C34" s="29" t="s">
        <v>35</v>
      </c>
      <c r="D34" s="37">
        <f>'Sales performance'!R28</f>
        <v>-0.1453854074142531</v>
      </c>
      <c r="E34" s="32">
        <f>'Sales performance'!R57</f>
        <v>6.9110002009603252E-2</v>
      </c>
    </row>
    <row r="35" spans="2:5">
      <c r="B35" s="28"/>
      <c r="C35" s="29"/>
      <c r="D35" s="29"/>
      <c r="E35" s="30"/>
    </row>
    <row r="36" spans="2:5">
      <c r="B36" s="28"/>
      <c r="C36" s="29"/>
      <c r="D36" s="29"/>
      <c r="E36" s="30"/>
    </row>
    <row r="37" spans="2:5">
      <c r="B37" s="28" t="s">
        <v>43</v>
      </c>
      <c r="C37" s="29"/>
      <c r="D37" s="29"/>
      <c r="E37" s="32">
        <f>'Sales performance'!P61+100%</f>
        <v>0.69502037282045825</v>
      </c>
    </row>
    <row r="38" spans="2:5">
      <c r="B38" s="28" t="s">
        <v>44</v>
      </c>
      <c r="C38" s="29"/>
      <c r="D38" s="29"/>
      <c r="E38" s="38">
        <f>'Sales performance'!R61</f>
        <v>-0.17586627354349529</v>
      </c>
    </row>
    <row r="39" spans="2:5">
      <c r="B39" s="28"/>
      <c r="C39" s="29"/>
      <c r="D39" s="29"/>
      <c r="E39" s="30"/>
    </row>
    <row r="40" spans="2:5">
      <c r="B40" s="28"/>
      <c r="C40" s="29"/>
      <c r="D40" s="29"/>
      <c r="E40" s="30"/>
    </row>
    <row r="41" spans="2:5">
      <c r="B41" s="41" t="s">
        <v>45</v>
      </c>
      <c r="C41" s="42"/>
      <c r="D41" s="42" t="s">
        <v>46</v>
      </c>
      <c r="E41" s="43"/>
    </row>
    <row r="42" spans="2:5">
      <c r="B42" s="28" t="s">
        <v>573</v>
      </c>
      <c r="C42" s="29"/>
      <c r="D42" s="33">
        <f>-'Sales performance'!O22</f>
        <v>14309.01</v>
      </c>
      <c r="E42" s="30"/>
    </row>
    <row r="43" spans="2:5">
      <c r="B43" s="28" t="s">
        <v>601</v>
      </c>
      <c r="C43" s="56"/>
      <c r="D43" s="33">
        <f>-'Sales performance'!O13</f>
        <v>2981.8179999999975</v>
      </c>
      <c r="E43" s="30"/>
    </row>
    <row r="44" spans="2:5">
      <c r="B44" s="28" t="s">
        <v>159</v>
      </c>
      <c r="C44" s="29"/>
      <c r="D44" s="33">
        <f>-'Sales performance'!O24</f>
        <v>2496.1880000000001</v>
      </c>
      <c r="E44" s="30"/>
    </row>
    <row r="45" spans="2:5">
      <c r="B45" s="28" t="s">
        <v>572</v>
      </c>
      <c r="C45" s="29"/>
      <c r="D45" s="33">
        <f>-'Sales performance'!O14</f>
        <v>920.82400000000007</v>
      </c>
      <c r="E45" s="30"/>
    </row>
    <row r="46" spans="2:5">
      <c r="B46" s="28" t="s">
        <v>27</v>
      </c>
      <c r="C46" s="29"/>
      <c r="D46" s="33">
        <f>-'Sales performance'!O15</f>
        <v>809.20499999999993</v>
      </c>
      <c r="E46" s="30"/>
    </row>
    <row r="47" spans="2:5">
      <c r="B47" s="28" t="s">
        <v>583</v>
      </c>
      <c r="C47" s="29"/>
      <c r="D47" s="33">
        <f>-'Sales performance'!O19</f>
        <v>232.72399999999999</v>
      </c>
      <c r="E47" s="30"/>
    </row>
    <row r="48" spans="2:5">
      <c r="B48" s="28"/>
      <c r="C48" s="29"/>
      <c r="D48" s="33"/>
      <c r="E48" s="30"/>
    </row>
    <row r="49" spans="2:5">
      <c r="B49" s="41" t="s">
        <v>47</v>
      </c>
      <c r="C49" s="42"/>
      <c r="D49" s="42" t="s">
        <v>46</v>
      </c>
      <c r="E49" s="43"/>
    </row>
    <row r="50" spans="2:5">
      <c r="B50" s="28" t="s">
        <v>54</v>
      </c>
      <c r="C50" s="29"/>
      <c r="D50" s="56">
        <f>'Sales performance'!O17</f>
        <v>619.87599999999998</v>
      </c>
      <c r="E50" s="30"/>
    </row>
    <row r="51" spans="2:5">
      <c r="B51" s="28" t="s">
        <v>52</v>
      </c>
      <c r="C51" s="29"/>
      <c r="D51" s="56">
        <f>'Sales performance'!O18</f>
        <v>171.17599999999993</v>
      </c>
      <c r="E51" s="30"/>
    </row>
    <row r="52" spans="2:5" hidden="1">
      <c r="B52" s="28"/>
      <c r="C52" s="29"/>
      <c r="D52" s="57"/>
      <c r="E52" s="30"/>
    </row>
    <row r="53" spans="2:5" hidden="1">
      <c r="B53" s="28"/>
      <c r="C53" s="29"/>
      <c r="D53" s="57"/>
      <c r="E53" s="30"/>
    </row>
    <row r="54" spans="2:5" hidden="1">
      <c r="B54" s="28"/>
      <c r="C54" s="29"/>
      <c r="D54" s="56"/>
      <c r="E54" s="30"/>
    </row>
    <row r="55" spans="2:5">
      <c r="B55" s="28"/>
      <c r="C55" s="29"/>
      <c r="D55" s="56"/>
      <c r="E55" s="30"/>
    </row>
    <row r="56" spans="2:5">
      <c r="B56" s="34"/>
      <c r="C56" s="35"/>
      <c r="D56" s="970"/>
      <c r="E56" s="36"/>
    </row>
  </sheetData>
  <mergeCells count="1">
    <mergeCell ref="H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2:BA201"/>
  <sheetViews>
    <sheetView topLeftCell="AL1" zoomScale="80" zoomScaleNormal="80" workbookViewId="0">
      <selection activeCell="AU16" sqref="AU16"/>
    </sheetView>
  </sheetViews>
  <sheetFormatPr defaultRowHeight="14.25"/>
  <cols>
    <col min="1" max="1" width="7.5703125" style="2" customWidth="1"/>
    <col min="2" max="2" width="24.28515625" style="2" customWidth="1"/>
    <col min="3" max="3" width="13" style="2" customWidth="1"/>
    <col min="4" max="5" width="12.85546875" style="2" customWidth="1"/>
    <col min="6" max="6" width="12.140625" style="3" customWidth="1"/>
    <col min="7" max="7" width="9.7109375" style="2" customWidth="1"/>
    <col min="8" max="8" width="10.140625" style="3" customWidth="1"/>
    <col min="9" max="9" width="10.85546875" style="3" customWidth="1"/>
    <col min="10" max="10" width="9.140625" style="2" customWidth="1"/>
    <col min="11" max="11" width="18.5703125" style="2" customWidth="1"/>
    <col min="12" max="12" width="12.5703125" style="24" customWidth="1"/>
    <col min="13" max="13" width="14.5703125" style="4" customWidth="1"/>
    <col min="14" max="14" width="11.140625" style="5" customWidth="1"/>
    <col min="15" max="15" width="10.5703125" style="5" customWidth="1"/>
    <col min="16" max="16" width="9.5703125" style="3" customWidth="1"/>
    <col min="17" max="17" width="9.5703125" style="5" customWidth="1"/>
    <col min="18" max="18" width="10.140625" style="3" customWidth="1"/>
    <col min="19" max="20" width="9.140625" style="2" customWidth="1"/>
    <col min="21" max="21" width="23.7109375" style="2" customWidth="1"/>
    <col min="22" max="22" width="11.140625" style="2" customWidth="1"/>
    <col min="23" max="23" width="12.5703125" style="2" customWidth="1"/>
    <col min="24" max="24" width="11" style="2" customWidth="1"/>
    <col min="25" max="25" width="11.42578125" style="2" customWidth="1"/>
    <col min="26" max="26" width="12" style="2" customWidth="1"/>
    <col min="27" max="27" width="13.28515625" style="2" customWidth="1"/>
    <col min="28" max="28" width="10.7109375" style="2" customWidth="1"/>
    <col min="29" max="29" width="9.140625" style="2" customWidth="1"/>
    <col min="30" max="30" width="11.7109375" style="2" customWidth="1"/>
    <col min="31" max="31" width="10.42578125" style="2" customWidth="1"/>
    <col min="32" max="33" width="9.140625" style="2" customWidth="1"/>
    <col min="34" max="34" width="23.7109375" style="2" customWidth="1"/>
    <col min="35" max="35" width="11.7109375" style="2" customWidth="1"/>
    <col min="36" max="36" width="13.140625" style="2" bestFit="1" customWidth="1"/>
    <col min="37" max="37" width="11.28515625" style="2" customWidth="1"/>
    <col min="38" max="38" width="9.140625" style="2" customWidth="1"/>
    <col min="39" max="39" width="10.28515625" style="2" customWidth="1"/>
    <col min="40" max="40" width="10" style="2" customWidth="1"/>
    <col min="41" max="41" width="11.7109375" style="2" bestFit="1" customWidth="1"/>
    <col min="42" max="42" width="11" style="2" customWidth="1"/>
    <col min="43" max="43" width="9.7109375" style="2" customWidth="1"/>
    <col min="44" max="44" width="11.85546875" style="2" customWidth="1"/>
    <col min="45" max="45" width="10.5703125" style="2" customWidth="1"/>
    <col min="46" max="48" width="9.140625" style="2"/>
    <col min="49" max="49" width="23.7109375" style="2" bestFit="1" customWidth="1"/>
    <col min="50" max="52" width="9.140625" style="2"/>
    <col min="53" max="53" width="11.42578125" style="2" customWidth="1"/>
    <col min="54" max="16384" width="9.140625" style="2"/>
  </cols>
  <sheetData>
    <row r="2" spans="2:53" s="983" customFormat="1">
      <c r="B2" s="1" t="s">
        <v>1</v>
      </c>
      <c r="C2" s="990">
        <v>30</v>
      </c>
      <c r="D2" s="990"/>
      <c r="E2" s="990"/>
      <c r="F2" s="991"/>
      <c r="G2" s="990"/>
      <c r="H2" s="991"/>
      <c r="I2" s="991"/>
      <c r="J2" s="990"/>
      <c r="K2" s="990"/>
      <c r="L2" s="992">
        <v>15</v>
      </c>
      <c r="M2" s="993">
        <v>30</v>
      </c>
      <c r="N2" s="987"/>
      <c r="O2" s="987"/>
      <c r="P2" s="984"/>
      <c r="Q2" s="987"/>
      <c r="R2" s="984"/>
    </row>
    <row r="3" spans="2:53" s="983" customFormat="1">
      <c r="B3" s="1" t="s">
        <v>2</v>
      </c>
      <c r="C3" s="990">
        <v>49</v>
      </c>
      <c r="D3" s="990"/>
      <c r="E3" s="990"/>
      <c r="F3" s="990"/>
      <c r="G3" s="990"/>
      <c r="H3" s="990"/>
      <c r="I3" s="990"/>
      <c r="J3" s="990"/>
      <c r="K3" s="990"/>
      <c r="L3" s="992">
        <v>93</v>
      </c>
      <c r="M3" s="993">
        <v>49</v>
      </c>
      <c r="N3" s="987"/>
      <c r="O3" s="987"/>
      <c r="P3" s="984"/>
      <c r="Q3" s="987"/>
      <c r="R3" s="984"/>
    </row>
    <row r="4" spans="2:53" s="983" customFormat="1">
      <c r="L4" s="985"/>
      <c r="M4" s="986"/>
      <c r="N4" s="987"/>
      <c r="O4" s="987"/>
      <c r="P4" s="984"/>
      <c r="Q4" s="987"/>
      <c r="R4" s="984"/>
    </row>
    <row r="5" spans="2:53" ht="15.75">
      <c r="B5" s="6" t="s">
        <v>3</v>
      </c>
      <c r="E5" s="7"/>
    </row>
    <row r="7" spans="2:53" ht="15" thickBot="1"/>
    <row r="8" spans="2:53" ht="15.75" customHeight="1" thickBot="1">
      <c r="B8" s="1034" t="s">
        <v>592</v>
      </c>
      <c r="C8" s="1035"/>
      <c r="D8" s="1035"/>
      <c r="E8" s="1035"/>
      <c r="F8" s="1035"/>
      <c r="G8" s="1035"/>
      <c r="H8" s="1035"/>
      <c r="I8" s="1036"/>
      <c r="J8" s="8"/>
      <c r="K8" s="1031" t="s">
        <v>593</v>
      </c>
      <c r="L8" s="1032"/>
      <c r="M8" s="1032"/>
      <c r="N8" s="1032"/>
      <c r="O8" s="1032"/>
      <c r="P8" s="1032"/>
      <c r="Q8" s="1032"/>
      <c r="R8" s="1033"/>
      <c r="U8" s="1031" t="s">
        <v>584</v>
      </c>
      <c r="V8" s="1032"/>
      <c r="W8" s="1032"/>
      <c r="X8" s="1032"/>
      <c r="Y8" s="1032"/>
      <c r="Z8" s="1032"/>
      <c r="AA8" s="1032"/>
      <c r="AB8" s="1032"/>
      <c r="AC8" s="1032"/>
      <c r="AD8" s="1032"/>
      <c r="AE8" s="1033"/>
      <c r="AH8" s="1031" t="s">
        <v>81</v>
      </c>
      <c r="AI8" s="1032"/>
      <c r="AJ8" s="1032"/>
      <c r="AK8" s="1032"/>
      <c r="AL8" s="1032"/>
      <c r="AM8" s="1032"/>
      <c r="AN8" s="1032"/>
      <c r="AO8" s="1032"/>
      <c r="AP8" s="1032"/>
      <c r="AQ8" s="1032"/>
      <c r="AR8" s="1032"/>
      <c r="AS8" s="1033"/>
      <c r="AW8" s="1031" t="s">
        <v>602</v>
      </c>
      <c r="AX8" s="1032"/>
      <c r="AY8" s="1032"/>
      <c r="AZ8" s="1032"/>
      <c r="BA8" s="1033"/>
    </row>
    <row r="9" spans="2:53" ht="15">
      <c r="B9" s="8"/>
      <c r="C9" s="8"/>
      <c r="D9" s="8"/>
      <c r="E9" s="8"/>
      <c r="F9" s="9"/>
      <c r="G9" s="8"/>
      <c r="H9" s="9"/>
      <c r="I9" s="9"/>
      <c r="J9" s="8"/>
      <c r="K9" s="8"/>
      <c r="L9" s="180"/>
      <c r="M9" s="10"/>
      <c r="N9" s="11"/>
      <c r="O9" s="11"/>
      <c r="P9" s="9"/>
      <c r="Q9" s="11"/>
      <c r="R9" s="9"/>
      <c r="S9" s="18"/>
      <c r="U9" s="8"/>
      <c r="V9" s="8"/>
      <c r="W9" s="10"/>
      <c r="X9" s="10"/>
      <c r="Y9" s="10"/>
      <c r="Z9" s="10"/>
      <c r="AA9" s="11"/>
      <c r="AB9" s="11"/>
      <c r="AC9" s="9"/>
      <c r="AD9" s="9"/>
      <c r="AE9" s="11"/>
      <c r="AH9" s="8"/>
      <c r="AI9" s="8"/>
      <c r="AJ9" s="10"/>
      <c r="AK9" s="10"/>
      <c r="AL9" s="10"/>
      <c r="AM9" s="10"/>
      <c r="AN9" s="10"/>
      <c r="AO9" s="11"/>
      <c r="AP9" s="11"/>
      <c r="AQ9" s="9"/>
      <c r="AR9" s="9"/>
      <c r="AS9" s="11"/>
      <c r="AW9" s="8"/>
      <c r="AX9" s="10"/>
      <c r="AY9" s="10"/>
      <c r="AZ9" s="10"/>
      <c r="BA9" s="11"/>
    </row>
    <row r="10" spans="2:53" ht="15.75" thickBot="1">
      <c r="B10" s="12" t="s">
        <v>4</v>
      </c>
      <c r="C10" s="8"/>
      <c r="D10" s="8"/>
      <c r="E10" s="8"/>
      <c r="F10" s="9"/>
      <c r="G10" s="8"/>
      <c r="H10" s="13" t="s">
        <v>5</v>
      </c>
      <c r="I10" s="9"/>
      <c r="J10" s="8"/>
      <c r="K10" s="12" t="s">
        <v>4</v>
      </c>
      <c r="L10" s="180"/>
      <c r="M10" s="10"/>
      <c r="N10" s="11"/>
      <c r="O10" s="11"/>
      <c r="P10" s="164" t="s">
        <v>5</v>
      </c>
      <c r="Q10" s="11"/>
      <c r="U10" s="12" t="s">
        <v>4</v>
      </c>
      <c r="V10" s="8"/>
      <c r="W10" s="10"/>
      <c r="X10" s="10"/>
      <c r="Y10" s="10"/>
      <c r="Z10" s="10"/>
      <c r="AA10" s="11"/>
      <c r="AB10" s="11"/>
      <c r="AC10" s="14" t="s">
        <v>5</v>
      </c>
      <c r="AD10" s="14"/>
      <c r="AE10" s="5"/>
      <c r="AH10" s="12" t="s">
        <v>4</v>
      </c>
      <c r="AI10" s="8"/>
      <c r="AJ10" s="10"/>
      <c r="AK10" s="10"/>
      <c r="AL10" s="10"/>
      <c r="AM10" s="10"/>
      <c r="AN10" s="10"/>
      <c r="AO10" s="11"/>
      <c r="AP10" s="11"/>
      <c r="AQ10" s="14" t="s">
        <v>5</v>
      </c>
      <c r="AR10" s="14"/>
      <c r="AS10" s="5"/>
      <c r="AW10" s="12" t="s">
        <v>4</v>
      </c>
      <c r="AY10" s="10"/>
      <c r="AZ10" s="10"/>
      <c r="BA10" s="11"/>
    </row>
    <row r="11" spans="2:53" ht="45" customHeight="1" thickBot="1">
      <c r="B11" s="75" t="s">
        <v>6</v>
      </c>
      <c r="C11" s="76" t="s">
        <v>7</v>
      </c>
      <c r="D11" s="76" t="s">
        <v>8</v>
      </c>
      <c r="E11" s="76" t="s">
        <v>0</v>
      </c>
      <c r="F11" s="76" t="s">
        <v>9</v>
      </c>
      <c r="G11" s="76" t="s">
        <v>10</v>
      </c>
      <c r="H11" s="76" t="s">
        <v>11</v>
      </c>
      <c r="I11" s="77" t="s">
        <v>10</v>
      </c>
      <c r="K11" s="75" t="s">
        <v>6</v>
      </c>
      <c r="L11" s="103" t="s">
        <v>12</v>
      </c>
      <c r="M11" s="103" t="s">
        <v>7</v>
      </c>
      <c r="N11" s="103" t="s">
        <v>0</v>
      </c>
      <c r="O11" s="102" t="s">
        <v>9</v>
      </c>
      <c r="P11" s="102" t="s">
        <v>10</v>
      </c>
      <c r="Q11" s="102" t="s">
        <v>13</v>
      </c>
      <c r="R11" s="104" t="s">
        <v>14</v>
      </c>
      <c r="U11" s="148" t="s">
        <v>6</v>
      </c>
      <c r="V11" s="149" t="s">
        <v>12</v>
      </c>
      <c r="W11" s="150" t="s">
        <v>7</v>
      </c>
      <c r="X11" s="150" t="s">
        <v>585</v>
      </c>
      <c r="Y11" s="150" t="s">
        <v>591</v>
      </c>
      <c r="Z11" s="150" t="s">
        <v>594</v>
      </c>
      <c r="AA11" s="149" t="s">
        <v>574</v>
      </c>
      <c r="AB11" s="149" t="s">
        <v>65</v>
      </c>
      <c r="AC11" s="149" t="s">
        <v>10</v>
      </c>
      <c r="AD11" s="149" t="s">
        <v>66</v>
      </c>
      <c r="AE11" s="151" t="s">
        <v>14</v>
      </c>
      <c r="AH11" s="148" t="s">
        <v>6</v>
      </c>
      <c r="AI11" s="149" t="s">
        <v>84</v>
      </c>
      <c r="AJ11" s="150" t="s">
        <v>83</v>
      </c>
      <c r="AK11" s="150" t="s">
        <v>61</v>
      </c>
      <c r="AL11" s="150" t="s">
        <v>62</v>
      </c>
      <c r="AM11" s="150" t="s">
        <v>63</v>
      </c>
      <c r="AN11" s="150" t="s">
        <v>64</v>
      </c>
      <c r="AO11" s="150" t="s">
        <v>82</v>
      </c>
      <c r="AP11" s="149" t="s">
        <v>9</v>
      </c>
      <c r="AQ11" s="149" t="s">
        <v>10</v>
      </c>
      <c r="AR11" s="149" t="s">
        <v>13</v>
      </c>
      <c r="AS11" s="151" t="s">
        <v>14</v>
      </c>
      <c r="AW11" s="148" t="s">
        <v>6</v>
      </c>
      <c r="AX11" s="150" t="s">
        <v>603</v>
      </c>
      <c r="AY11" s="150" t="s">
        <v>604</v>
      </c>
      <c r="AZ11" s="150" t="s">
        <v>605</v>
      </c>
      <c r="BA11" s="149" t="s">
        <v>574</v>
      </c>
    </row>
    <row r="12" spans="2:53" s="18" customFormat="1" ht="18.75" customHeight="1" thickBot="1">
      <c r="B12" s="70" t="s">
        <v>55</v>
      </c>
      <c r="C12" s="98">
        <f>SUM(C13:C21)</f>
        <v>1618.8</v>
      </c>
      <c r="D12" s="98">
        <f>SUM(D13:D21)</f>
        <v>1422</v>
      </c>
      <c r="E12" s="98">
        <f>SUM(E13:E21)</f>
        <v>1429</v>
      </c>
      <c r="F12" s="122">
        <f>E12-C12</f>
        <v>-189.79999999999995</v>
      </c>
      <c r="G12" s="123">
        <f>IFERROR(F12/C12,"-")</f>
        <v>-0.11724734371139113</v>
      </c>
      <c r="H12" s="122">
        <f>E12-D12</f>
        <v>7</v>
      </c>
      <c r="I12" s="124">
        <f>IFERROR(H12/D12,"-")</f>
        <v>4.9226441631504926E-3</v>
      </c>
      <c r="J12" s="23"/>
      <c r="K12" s="70" t="s">
        <v>55</v>
      </c>
      <c r="L12" s="98">
        <f>SUM(L13:L21)</f>
        <v>15760.775599999999</v>
      </c>
      <c r="M12" s="98">
        <f t="shared" ref="M12" si="0">SUM(M13:M21)</f>
        <v>18132.899999999998</v>
      </c>
      <c r="N12" s="98">
        <f>SUM(N13:N21)</f>
        <v>13600</v>
      </c>
      <c r="O12" s="99">
        <f>N12-M12</f>
        <v>-4532.8999999999978</v>
      </c>
      <c r="P12" s="100">
        <f>IFERROR(O12/M12,"-")</f>
        <v>-0.24998207677756995</v>
      </c>
      <c r="Q12" s="99">
        <f t="shared" ref="Q12:Q26" si="1">N12-L12</f>
        <v>-2160.775599999999</v>
      </c>
      <c r="R12" s="124">
        <f t="shared" ref="R12:R29" si="2">IFERROR(Q12/L12,"-")</f>
        <v>-0.13709830371545922</v>
      </c>
      <c r="U12" s="152" t="s">
        <v>15</v>
      </c>
      <c r="V12" s="153">
        <f>SUM(V13:V21)</f>
        <v>3834</v>
      </c>
      <c r="W12" s="153">
        <f t="shared" ref="W12:AD12" si="3">SUM(W13:W21)</f>
        <v>4816.6000000000004</v>
      </c>
      <c r="X12" s="153">
        <f t="shared" si="3"/>
        <v>1153</v>
      </c>
      <c r="Y12" s="153">
        <f t="shared" si="3"/>
        <v>1091</v>
      </c>
      <c r="Z12" s="153">
        <f t="shared" si="3"/>
        <v>1429</v>
      </c>
      <c r="AA12" s="153">
        <f t="shared" si="3"/>
        <v>3672.9999999999995</v>
      </c>
      <c r="AB12" s="153">
        <f t="shared" si="3"/>
        <v>-1143.6000000000001</v>
      </c>
      <c r="AC12" s="154">
        <f>IFERROR(AB12/W12,"-")</f>
        <v>-0.23742889174936679</v>
      </c>
      <c r="AD12" s="153">
        <f t="shared" si="3"/>
        <v>-161.00000000000006</v>
      </c>
      <c r="AE12" s="155">
        <f>IFERROR(AA12/V12-1,0)</f>
        <v>-4.1992696922274475E-2</v>
      </c>
      <c r="AH12" s="152" t="s">
        <v>15</v>
      </c>
      <c r="AI12" s="153">
        <f>SUM(AI13:AI21)</f>
        <v>15761.5</v>
      </c>
      <c r="AJ12" s="153">
        <f t="shared" ref="AJ12:AP12" si="4">SUM(AJ13:AJ21)</f>
        <v>18133</v>
      </c>
      <c r="AK12" s="153">
        <f t="shared" si="4"/>
        <v>3720.2280000000001</v>
      </c>
      <c r="AL12" s="153">
        <f t="shared" si="4"/>
        <v>3153.6640000000007</v>
      </c>
      <c r="AM12" s="153">
        <f t="shared" si="4"/>
        <v>3053</v>
      </c>
      <c r="AN12" s="153">
        <f t="shared" si="4"/>
        <v>3672.9999999999995</v>
      </c>
      <c r="AO12" s="153">
        <f t="shared" si="4"/>
        <v>13599.892</v>
      </c>
      <c r="AP12" s="153">
        <f t="shared" si="4"/>
        <v>-4533.1080000000002</v>
      </c>
      <c r="AQ12" s="156">
        <f>IFERROR(AP12/AJ12,"-")</f>
        <v>-0.24999216897369439</v>
      </c>
      <c r="AR12" s="153">
        <f t="shared" ref="AR12" si="5">SUM(AR13:AR21)</f>
        <v>-2161.6080000000006</v>
      </c>
      <c r="AS12" s="161">
        <f>IFERROR(AO12/AI12-1,0)</f>
        <v>-0.13714481489705932</v>
      </c>
      <c r="AW12" s="152" t="s">
        <v>15</v>
      </c>
      <c r="AX12" s="153">
        <f t="shared" ref="AX12:BA12" si="6">SUM(AX13:AX21)</f>
        <v>831</v>
      </c>
      <c r="AY12" s="153">
        <f t="shared" si="6"/>
        <v>1390</v>
      </c>
      <c r="AZ12" s="153">
        <f t="shared" si="6"/>
        <v>1419</v>
      </c>
      <c r="BA12" s="153">
        <f t="shared" si="6"/>
        <v>3640</v>
      </c>
    </row>
    <row r="13" spans="2:53" ht="18.75" customHeight="1">
      <c r="B13" s="78" t="s">
        <v>26</v>
      </c>
      <c r="C13" s="59">
        <f>VLOOKUP(B13,'CMB_Sales volume summary'!$C$295:$AF$315,$C$2,0)</f>
        <v>936.3</v>
      </c>
      <c r="D13" s="59">
        <v>650</v>
      </c>
      <c r="E13" s="59">
        <v>651</v>
      </c>
      <c r="F13" s="63">
        <f t="shared" ref="F13:F21" si="7">E13-C13</f>
        <v>-285.29999999999995</v>
      </c>
      <c r="G13" s="64">
        <f t="shared" ref="G13:G21" si="8">IFERROR(F13/C13,"-")</f>
        <v>-0.30471002883691123</v>
      </c>
      <c r="H13" s="63">
        <f t="shared" ref="H13:H21" si="9">E13-D13</f>
        <v>1</v>
      </c>
      <c r="I13" s="79">
        <f>IFERROR(H13/D13,"-")</f>
        <v>1.5384615384615385E-3</v>
      </c>
      <c r="J13" s="20"/>
      <c r="K13" s="78" t="s">
        <v>26</v>
      </c>
      <c r="L13" s="40">
        <f>VLOOKUP(K13,'CMB sales Variance(15-16)'!$D$246:$R$266,$L$2,0)</f>
        <v>9161.494999999999</v>
      </c>
      <c r="M13" s="40">
        <f>VLOOKUP(K13,'CMB_Sales volume summary'!$C$320:$AF$340,$M$2,0)</f>
        <v>10293.899999999998</v>
      </c>
      <c r="N13" s="40">
        <f>AO13</f>
        <v>7312.0820000000003</v>
      </c>
      <c r="O13" s="93">
        <f t="shared" ref="O13:O20" si="10">N13-M13</f>
        <v>-2981.8179999999975</v>
      </c>
      <c r="P13" s="157">
        <f>IFERROR(O13/M13,"-")</f>
        <v>-0.28966844441853895</v>
      </c>
      <c r="Q13" s="93">
        <f t="shared" ref="Q13:Q20" si="11">N13-L13</f>
        <v>-1849.4129999999986</v>
      </c>
      <c r="R13" s="79">
        <f t="shared" si="2"/>
        <v>-0.20186803572997625</v>
      </c>
      <c r="S13" s="981"/>
      <c r="T13" s="981"/>
      <c r="U13" s="78" t="s">
        <v>26</v>
      </c>
      <c r="V13" s="59">
        <v>2101</v>
      </c>
      <c r="W13" s="59">
        <v>2441.1</v>
      </c>
      <c r="X13" s="59">
        <v>465</v>
      </c>
      <c r="Y13" s="59">
        <v>468</v>
      </c>
      <c r="Z13" s="40">
        <f>E13</f>
        <v>651</v>
      </c>
      <c r="AA13" s="40">
        <f>SUM(X13:Z13)</f>
        <v>1584</v>
      </c>
      <c r="AB13" s="93">
        <f t="shared" ref="AB13:AB26" si="12">AA13-W13</f>
        <v>-857.09999999999991</v>
      </c>
      <c r="AC13" s="64">
        <f>IFERROR(AB13/W13,"-")</f>
        <v>-0.35111220351480887</v>
      </c>
      <c r="AD13" s="93">
        <f>AA13-V13</f>
        <v>-517</v>
      </c>
      <c r="AE13" s="105">
        <f t="shared" ref="AE13:AE29" si="13">IFERROR(AA13/V13-1,0)</f>
        <v>-0.24607329842931935</v>
      </c>
      <c r="AH13" s="78" t="s">
        <v>26</v>
      </c>
      <c r="AI13" s="59">
        <f>9145+12</f>
        <v>9157</v>
      </c>
      <c r="AJ13" s="59">
        <v>10294</v>
      </c>
      <c r="AK13" s="40">
        <v>2407</v>
      </c>
      <c r="AL13" s="40">
        <f>1862.717</f>
        <v>1862.7170000000001</v>
      </c>
      <c r="AM13" s="40">
        <v>1458.365</v>
      </c>
      <c r="AN13" s="40">
        <f>AA13</f>
        <v>1584</v>
      </c>
      <c r="AO13" s="40">
        <f>SUM(AK13:AN13)</f>
        <v>7312.0820000000003</v>
      </c>
      <c r="AP13" s="93">
        <f t="shared" ref="AP13:AP26" si="14">AO13-AJ13</f>
        <v>-2981.9179999999997</v>
      </c>
      <c r="AQ13" s="157">
        <f>IFERROR(AP13/AJ13,"-")</f>
        <v>-0.28967534486108409</v>
      </c>
      <c r="AR13" s="93">
        <f>AO13-AI13</f>
        <v>-1844.9179999999997</v>
      </c>
      <c r="AS13" s="79">
        <f t="shared" ref="AS13:AS29" si="15">IFERROR(AO13/AI13-1,0)</f>
        <v>-0.20147624767937089</v>
      </c>
      <c r="AU13" s="981"/>
      <c r="AW13" s="78" t="s">
        <v>26</v>
      </c>
      <c r="AX13" s="59">
        <v>250</v>
      </c>
      <c r="AY13" s="59">
        <v>705.6</v>
      </c>
      <c r="AZ13" s="40">
        <v>504.81999999999994</v>
      </c>
      <c r="BA13" s="40">
        <f>SUM(AX13:AZ13)</f>
        <v>1460.42</v>
      </c>
    </row>
    <row r="14" spans="2:53" ht="18.75" customHeight="1">
      <c r="B14" s="80" t="s">
        <v>49</v>
      </c>
      <c r="C14" s="59">
        <f>VLOOKUP(B14,'CMB_Sales volume summary'!$C$295:$AF$315,$C$2,0)</f>
        <v>120</v>
      </c>
      <c r="D14" s="19">
        <v>150</v>
      </c>
      <c r="E14" s="19">
        <v>179.75699999999998</v>
      </c>
      <c r="F14" s="15">
        <f t="shared" si="7"/>
        <v>59.756999999999977</v>
      </c>
      <c r="G14" s="16">
        <f t="shared" si="8"/>
        <v>0.49797499999999978</v>
      </c>
      <c r="H14" s="15">
        <f t="shared" si="9"/>
        <v>29.756999999999977</v>
      </c>
      <c r="I14" s="81">
        <f t="shared" ref="I14:I21" si="16">IFERROR(H14/D14,"-")</f>
        <v>0.19837999999999983</v>
      </c>
      <c r="J14" s="20"/>
      <c r="K14" s="80" t="s">
        <v>49</v>
      </c>
      <c r="L14" s="40">
        <f>VLOOKUP(K14,'CMB sales Variance(15-16)'!$D$246:$R$266,$L$2,0)</f>
        <v>789.94199999999989</v>
      </c>
      <c r="M14" s="40">
        <f>VLOOKUP(K14,'CMB_Sales volume summary'!$C$320:$AF$340,$M$2,0)</f>
        <v>1200</v>
      </c>
      <c r="N14" s="40">
        <f t="shared" ref="N14:N20" si="17">AO14</f>
        <v>279.17599999999999</v>
      </c>
      <c r="O14" s="93">
        <f t="shared" si="10"/>
        <v>-920.82400000000007</v>
      </c>
      <c r="P14" s="157">
        <f t="shared" ref="P14:P29" si="18">IFERROR(O14/M14,"-")</f>
        <v>-0.76735333333333344</v>
      </c>
      <c r="Q14" s="17">
        <f t="shared" si="11"/>
        <v>-510.76599999999991</v>
      </c>
      <c r="R14" s="81">
        <f t="shared" si="2"/>
        <v>-0.64658671142944668</v>
      </c>
      <c r="S14" s="981"/>
      <c r="T14" s="981"/>
      <c r="U14" s="80" t="s">
        <v>49</v>
      </c>
      <c r="V14" s="59">
        <v>28</v>
      </c>
      <c r="W14" s="59">
        <v>360</v>
      </c>
      <c r="X14" s="59">
        <v>0</v>
      </c>
      <c r="Y14" s="59">
        <v>99.418999999999997</v>
      </c>
      <c r="Z14" s="40">
        <f t="shared" ref="Z14:Z21" si="19">E14</f>
        <v>179.75699999999998</v>
      </c>
      <c r="AA14" s="40">
        <f t="shared" ref="AA14:AA29" si="20">SUM(X14:Z14)</f>
        <v>279.17599999999999</v>
      </c>
      <c r="AB14" s="93">
        <f t="shared" si="12"/>
        <v>-80.824000000000012</v>
      </c>
      <c r="AC14" s="64">
        <f t="shared" ref="AC14:AC29" si="21">IFERROR(AB14/W14,"-")</f>
        <v>-0.22451111111111113</v>
      </c>
      <c r="AD14" s="93">
        <f t="shared" ref="AD14:AD28" si="22">AA14-V14</f>
        <v>251.17599999999999</v>
      </c>
      <c r="AE14" s="106">
        <f t="shared" si="13"/>
        <v>8.9705714285714286</v>
      </c>
      <c r="AH14" s="80" t="s">
        <v>49</v>
      </c>
      <c r="AI14" s="59">
        <v>790</v>
      </c>
      <c r="AJ14" s="59">
        <v>1200</v>
      </c>
      <c r="AK14" s="40">
        <v>0</v>
      </c>
      <c r="AL14" s="40">
        <v>0</v>
      </c>
      <c r="AM14" s="40">
        <v>0</v>
      </c>
      <c r="AN14" s="40">
        <f t="shared" ref="AN14:AN21" si="23">AA14</f>
        <v>279.17599999999999</v>
      </c>
      <c r="AO14" s="40">
        <f t="shared" ref="AO14:AO29" si="24">SUM(AK14:AN14)</f>
        <v>279.17599999999999</v>
      </c>
      <c r="AP14" s="93">
        <f t="shared" si="14"/>
        <v>-920.82400000000007</v>
      </c>
      <c r="AQ14" s="157">
        <f t="shared" ref="AQ14:AQ29" si="25">IFERROR(AP14/AJ14,"-")</f>
        <v>-0.76735333333333344</v>
      </c>
      <c r="AR14" s="93">
        <f t="shared" ref="AR14:AR26" si="26">AO14-AI14</f>
        <v>-510.82400000000001</v>
      </c>
      <c r="AS14" s="81">
        <f t="shared" si="15"/>
        <v>-0.64661265822784819</v>
      </c>
      <c r="AU14" s="981"/>
      <c r="AW14" s="80" t="s">
        <v>49</v>
      </c>
      <c r="AX14" s="59">
        <v>120.24299999999994</v>
      </c>
      <c r="AY14" s="59">
        <v>300</v>
      </c>
      <c r="AZ14" s="40">
        <v>750</v>
      </c>
      <c r="BA14" s="40">
        <f t="shared" ref="BA14:BA29" si="27">SUM(AX14:AZ14)</f>
        <v>1170.2429999999999</v>
      </c>
    </row>
    <row r="15" spans="2:53" ht="18.75" customHeight="1">
      <c r="B15" s="80" t="s">
        <v>27</v>
      </c>
      <c r="C15" s="59">
        <f>VLOOKUP(B15,'CMB_Sales volume summary'!$C$295:$AF$315,$C$2,0)</f>
        <v>269</v>
      </c>
      <c r="D15" s="19">
        <v>56</v>
      </c>
      <c r="E15" s="19">
        <v>67.824000000000012</v>
      </c>
      <c r="F15" s="15">
        <f t="shared" si="7"/>
        <v>-201.17599999999999</v>
      </c>
      <c r="G15" s="16">
        <f t="shared" si="8"/>
        <v>-0.74786617100371744</v>
      </c>
      <c r="H15" s="15">
        <f t="shared" si="9"/>
        <v>11.824000000000012</v>
      </c>
      <c r="I15" s="81">
        <f t="shared" si="16"/>
        <v>0.21114285714285735</v>
      </c>
      <c r="J15" s="20"/>
      <c r="K15" s="80" t="s">
        <v>27</v>
      </c>
      <c r="L15" s="40">
        <f>VLOOKUP(K15,'CMB sales Variance(15-16)'!$D$246:$R$266,$L$2,0)</f>
        <v>1804.0066000000002</v>
      </c>
      <c r="M15" s="40">
        <f>VLOOKUP(K15,'CMB_Sales volume summary'!$C$320:$AF$340,$M$2,0)</f>
        <v>1450</v>
      </c>
      <c r="N15" s="40">
        <f t="shared" si="17"/>
        <v>640.79500000000007</v>
      </c>
      <c r="O15" s="93">
        <f t="shared" si="10"/>
        <v>-809.20499999999993</v>
      </c>
      <c r="P15" s="157">
        <f t="shared" si="18"/>
        <v>-0.55807241379310335</v>
      </c>
      <c r="Q15" s="17">
        <f t="shared" si="11"/>
        <v>-1163.2116000000001</v>
      </c>
      <c r="R15" s="81">
        <f t="shared" si="2"/>
        <v>-0.64479342813934271</v>
      </c>
      <c r="S15" s="981"/>
      <c r="T15" s="981"/>
      <c r="U15" s="80" t="s">
        <v>27</v>
      </c>
      <c r="V15" s="59">
        <v>867.16760000000011</v>
      </c>
      <c r="W15" s="59">
        <v>746</v>
      </c>
      <c r="X15" s="59">
        <v>44.129000000000005</v>
      </c>
      <c r="Y15" s="59">
        <v>67.844999999999999</v>
      </c>
      <c r="Z15" s="40">
        <f t="shared" si="19"/>
        <v>67.824000000000012</v>
      </c>
      <c r="AA15" s="40">
        <f t="shared" si="20"/>
        <v>179.798</v>
      </c>
      <c r="AB15" s="93">
        <f t="shared" si="12"/>
        <v>-566.202</v>
      </c>
      <c r="AC15" s="64">
        <f t="shared" si="21"/>
        <v>-0.75898391420911526</v>
      </c>
      <c r="AD15" s="93">
        <f t="shared" si="22"/>
        <v>-687.3696000000001</v>
      </c>
      <c r="AE15" s="106">
        <f t="shared" si="13"/>
        <v>-0.79266061139738153</v>
      </c>
      <c r="AH15" s="80" t="s">
        <v>27</v>
      </c>
      <c r="AI15" s="59">
        <v>1804</v>
      </c>
      <c r="AJ15" s="59">
        <v>1450</v>
      </c>
      <c r="AK15" s="40">
        <v>190.68399999999997</v>
      </c>
      <c r="AL15" s="40">
        <v>124.91200000000002</v>
      </c>
      <c r="AM15" s="40">
        <v>145.40100000000001</v>
      </c>
      <c r="AN15" s="40">
        <f t="shared" si="23"/>
        <v>179.798</v>
      </c>
      <c r="AO15" s="40">
        <f t="shared" si="24"/>
        <v>640.79500000000007</v>
      </c>
      <c r="AP15" s="93">
        <f t="shared" si="14"/>
        <v>-809.20499999999993</v>
      </c>
      <c r="AQ15" s="157">
        <f t="shared" si="25"/>
        <v>-0.55807241379310335</v>
      </c>
      <c r="AR15" s="93">
        <f t="shared" si="26"/>
        <v>-1163.2049999999999</v>
      </c>
      <c r="AS15" s="81">
        <f t="shared" si="15"/>
        <v>-0.6447921286031042</v>
      </c>
      <c r="AU15" s="981"/>
      <c r="AW15" s="80" t="s">
        <v>27</v>
      </c>
      <c r="AX15" s="59">
        <v>90</v>
      </c>
      <c r="AY15" s="59">
        <v>56.25</v>
      </c>
      <c r="AZ15" s="40">
        <v>67.5</v>
      </c>
      <c r="BA15" s="40">
        <f t="shared" si="27"/>
        <v>213.75</v>
      </c>
    </row>
    <row r="16" spans="2:53" ht="18.75" customHeight="1">
      <c r="B16" s="80" t="s">
        <v>53</v>
      </c>
      <c r="C16" s="59">
        <f>VLOOKUP(B16,'CMB_Sales volume summary'!$C$295:$AF$315,$C$2,0)</f>
        <v>45</v>
      </c>
      <c r="D16" s="19">
        <v>153.72008</v>
      </c>
      <c r="E16" s="19">
        <v>163.869</v>
      </c>
      <c r="F16" s="15">
        <f t="shared" si="7"/>
        <v>118.869</v>
      </c>
      <c r="G16" s="16">
        <f t="shared" si="8"/>
        <v>2.6415333333333333</v>
      </c>
      <c r="H16" s="15">
        <f t="shared" si="9"/>
        <v>10.148920000000004</v>
      </c>
      <c r="I16" s="81">
        <f t="shared" si="16"/>
        <v>6.6022083777213775E-2</v>
      </c>
      <c r="J16" s="20"/>
      <c r="K16" s="80" t="s">
        <v>53</v>
      </c>
      <c r="L16" s="40">
        <f>VLOOKUP(K16,'CMB sales Variance(15-16)'!$D$246:$R$266,$L$2,0)</f>
        <v>953.00799999999981</v>
      </c>
      <c r="M16" s="40">
        <f>VLOOKUP(K16,'CMB_Sales volume summary'!$C$320:$AF$340,$M$2,0)</f>
        <v>945</v>
      </c>
      <c r="N16" s="40">
        <f t="shared" si="17"/>
        <v>1011.107</v>
      </c>
      <c r="O16" s="93">
        <f t="shared" si="10"/>
        <v>66.106999999999971</v>
      </c>
      <c r="P16" s="157">
        <f t="shared" si="18"/>
        <v>6.9954497354497325E-2</v>
      </c>
      <c r="Q16" s="17">
        <f t="shared" si="11"/>
        <v>58.09900000000016</v>
      </c>
      <c r="R16" s="81">
        <f t="shared" si="2"/>
        <v>6.0963811426556935E-2</v>
      </c>
      <c r="S16" s="981"/>
      <c r="T16" s="981"/>
      <c r="U16" s="80" t="s">
        <v>53</v>
      </c>
      <c r="V16" s="59">
        <v>128</v>
      </c>
      <c r="W16" s="59">
        <v>148</v>
      </c>
      <c r="X16" s="59">
        <v>108</v>
      </c>
      <c r="Y16" s="59">
        <v>82</v>
      </c>
      <c r="Z16" s="40">
        <f t="shared" si="19"/>
        <v>163.869</v>
      </c>
      <c r="AA16" s="40">
        <f t="shared" si="20"/>
        <v>353.86900000000003</v>
      </c>
      <c r="AB16" s="93">
        <f t="shared" si="12"/>
        <v>205.86900000000003</v>
      </c>
      <c r="AC16" s="64">
        <f t="shared" si="21"/>
        <v>1.391006756756757</v>
      </c>
      <c r="AD16" s="93">
        <f t="shared" si="22"/>
        <v>225.86900000000003</v>
      </c>
      <c r="AE16" s="106">
        <f t="shared" si="13"/>
        <v>1.7646015625000002</v>
      </c>
      <c r="AH16" s="80" t="s">
        <v>53</v>
      </c>
      <c r="AI16" s="59">
        <v>953</v>
      </c>
      <c r="AJ16" s="59">
        <v>945</v>
      </c>
      <c r="AK16" s="40">
        <v>230.476</v>
      </c>
      <c r="AL16" s="40">
        <v>233.524</v>
      </c>
      <c r="AM16" s="40">
        <v>193.23799999999997</v>
      </c>
      <c r="AN16" s="40">
        <f t="shared" si="23"/>
        <v>353.86900000000003</v>
      </c>
      <c r="AO16" s="40">
        <f t="shared" si="24"/>
        <v>1011.107</v>
      </c>
      <c r="AP16" s="93">
        <f t="shared" si="14"/>
        <v>66.106999999999971</v>
      </c>
      <c r="AQ16" s="157">
        <f t="shared" si="25"/>
        <v>6.9954497354497325E-2</v>
      </c>
      <c r="AR16" s="93">
        <f t="shared" si="26"/>
        <v>58.106999999999971</v>
      </c>
      <c r="AS16" s="81">
        <f t="shared" si="15"/>
        <v>6.0972717733473125E-2</v>
      </c>
      <c r="AU16" s="981"/>
      <c r="AW16" s="80" t="s">
        <v>53</v>
      </c>
      <c r="AX16" s="59">
        <v>78.740000000000023</v>
      </c>
      <c r="AY16" s="59">
        <v>119.66310000000001</v>
      </c>
      <c r="AZ16" s="40">
        <v>91.080000000000013</v>
      </c>
      <c r="BA16" s="40">
        <f t="shared" si="27"/>
        <v>289.48310000000004</v>
      </c>
    </row>
    <row r="17" spans="2:53" ht="18.75" customHeight="1">
      <c r="B17" s="80" t="s">
        <v>54</v>
      </c>
      <c r="C17" s="59">
        <f>VLOOKUP(B17,'CMB_Sales volume summary'!$C$295:$AF$315,$C$2,0)</f>
        <v>90</v>
      </c>
      <c r="D17" s="19">
        <v>263.35959999999983</v>
      </c>
      <c r="E17" s="19">
        <v>256.95399999999995</v>
      </c>
      <c r="F17" s="15">
        <f t="shared" si="7"/>
        <v>166.95399999999995</v>
      </c>
      <c r="G17" s="16">
        <f t="shared" si="8"/>
        <v>1.8550444444444438</v>
      </c>
      <c r="H17" s="15">
        <f t="shared" si="9"/>
        <v>-6.4055999999998789</v>
      </c>
      <c r="I17" s="81">
        <f t="shared" si="16"/>
        <v>-2.4322637185049959E-2</v>
      </c>
      <c r="J17" s="20"/>
      <c r="K17" s="80" t="s">
        <v>54</v>
      </c>
      <c r="L17" s="40">
        <f>VLOOKUP(K17,'CMB sales Variance(15-16)'!$D$246:$R$266,$L$2,0)</f>
        <v>1079.479</v>
      </c>
      <c r="M17" s="40">
        <f>VLOOKUP(K17,'CMB_Sales volume summary'!$C$320:$AF$340,$M$2,0)</f>
        <v>1200</v>
      </c>
      <c r="N17" s="40">
        <f t="shared" si="17"/>
        <v>1819.876</v>
      </c>
      <c r="O17" s="93">
        <f t="shared" si="10"/>
        <v>619.87599999999998</v>
      </c>
      <c r="P17" s="157">
        <f t="shared" si="18"/>
        <v>0.51656333333333326</v>
      </c>
      <c r="Q17" s="17">
        <f t="shared" si="11"/>
        <v>740.39699999999993</v>
      </c>
      <c r="R17" s="81">
        <f t="shared" si="2"/>
        <v>0.68588365313266852</v>
      </c>
      <c r="S17" s="981"/>
      <c r="T17" s="981"/>
      <c r="U17" s="80" t="s">
        <v>54</v>
      </c>
      <c r="V17" s="59">
        <v>324</v>
      </c>
      <c r="W17" s="59">
        <v>310</v>
      </c>
      <c r="X17" s="59">
        <v>141.13799999999998</v>
      </c>
      <c r="Y17" s="59">
        <v>301.97400000000016</v>
      </c>
      <c r="Z17" s="40">
        <f t="shared" si="19"/>
        <v>256.95399999999995</v>
      </c>
      <c r="AA17" s="40">
        <f t="shared" si="20"/>
        <v>700.06600000000003</v>
      </c>
      <c r="AB17" s="93">
        <f t="shared" si="12"/>
        <v>390.06600000000003</v>
      </c>
      <c r="AC17" s="64">
        <f t="shared" si="21"/>
        <v>1.2582774193548387</v>
      </c>
      <c r="AD17" s="93">
        <f t="shared" si="22"/>
        <v>376.06600000000003</v>
      </c>
      <c r="AE17" s="106">
        <f t="shared" si="13"/>
        <v>1.1606975308641978</v>
      </c>
      <c r="AH17" s="80" t="s">
        <v>54</v>
      </c>
      <c r="AI17" s="59">
        <v>1079</v>
      </c>
      <c r="AJ17" s="59">
        <v>1200</v>
      </c>
      <c r="AK17" s="40">
        <v>328.995</v>
      </c>
      <c r="AL17" s="40">
        <v>376.005</v>
      </c>
      <c r="AM17" s="40">
        <v>414.81000000000006</v>
      </c>
      <c r="AN17" s="40">
        <f t="shared" si="23"/>
        <v>700.06600000000003</v>
      </c>
      <c r="AO17" s="40">
        <f t="shared" si="24"/>
        <v>1819.876</v>
      </c>
      <c r="AP17" s="93">
        <f t="shared" si="14"/>
        <v>619.87599999999998</v>
      </c>
      <c r="AQ17" s="157">
        <f t="shared" si="25"/>
        <v>0.51656333333333326</v>
      </c>
      <c r="AR17" s="93">
        <f t="shared" si="26"/>
        <v>740.87599999999998</v>
      </c>
      <c r="AS17" s="81">
        <f t="shared" si="15"/>
        <v>0.68663206672845223</v>
      </c>
      <c r="AU17" s="981"/>
      <c r="AW17" s="80" t="s">
        <v>54</v>
      </c>
      <c r="AX17" s="59">
        <v>150</v>
      </c>
      <c r="AY17" s="59">
        <v>120</v>
      </c>
      <c r="AZ17" s="40"/>
      <c r="BA17" s="40">
        <f t="shared" si="27"/>
        <v>270</v>
      </c>
    </row>
    <row r="18" spans="2:53" ht="18.75" customHeight="1">
      <c r="B18" s="80" t="s">
        <v>52</v>
      </c>
      <c r="C18" s="59">
        <f>VLOOKUP(B18,'CMB_Sales volume summary'!$C$295:$AF$315,$C$2,0)</f>
        <v>50</v>
      </c>
      <c r="D18" s="19">
        <v>11.25</v>
      </c>
      <c r="E18" s="19"/>
      <c r="F18" s="15">
        <f t="shared" si="7"/>
        <v>-50</v>
      </c>
      <c r="G18" s="16">
        <f t="shared" si="8"/>
        <v>-1</v>
      </c>
      <c r="H18" s="15">
        <f t="shared" si="9"/>
        <v>-11.25</v>
      </c>
      <c r="I18" s="81">
        <f t="shared" si="16"/>
        <v>-1</v>
      </c>
      <c r="J18" s="20"/>
      <c r="K18" s="80" t="s">
        <v>52</v>
      </c>
      <c r="L18" s="40">
        <f>VLOOKUP(K18,'CMB sales Variance(15-16)'!$D$246:$R$266,$L$2,0)</f>
        <v>586.99299999999994</v>
      </c>
      <c r="M18" s="40">
        <f>VLOOKUP(K18,'CMB_Sales volume summary'!$C$320:$AF$340,$M$2,0)</f>
        <v>600</v>
      </c>
      <c r="N18" s="40">
        <f t="shared" si="17"/>
        <v>771.17599999999993</v>
      </c>
      <c r="O18" s="93">
        <f t="shared" si="10"/>
        <v>171.17599999999993</v>
      </c>
      <c r="P18" s="157">
        <f t="shared" si="18"/>
        <v>0.28529333333333323</v>
      </c>
      <c r="Q18" s="17">
        <f t="shared" si="11"/>
        <v>184.18299999999999</v>
      </c>
      <c r="R18" s="81">
        <f t="shared" si="2"/>
        <v>0.31377375880121228</v>
      </c>
      <c r="S18" s="981"/>
      <c r="T18" s="981"/>
      <c r="U18" s="80" t="s">
        <v>52</v>
      </c>
      <c r="V18" s="59">
        <v>29</v>
      </c>
      <c r="W18" s="59">
        <v>150</v>
      </c>
      <c r="X18" s="59">
        <v>165</v>
      </c>
      <c r="Y18" s="59">
        <v>8.1759999999999984</v>
      </c>
      <c r="Z18" s="40">
        <f t="shared" si="19"/>
        <v>0</v>
      </c>
      <c r="AA18" s="40">
        <f t="shared" si="20"/>
        <v>173.17599999999999</v>
      </c>
      <c r="AB18" s="93">
        <f t="shared" si="12"/>
        <v>23.175999999999988</v>
      </c>
      <c r="AC18" s="64">
        <f t="shared" si="21"/>
        <v>0.1545066666666666</v>
      </c>
      <c r="AD18" s="93">
        <f t="shared" si="22"/>
        <v>144.17599999999999</v>
      </c>
      <c r="AE18" s="106">
        <f t="shared" si="13"/>
        <v>4.9715862068965517</v>
      </c>
      <c r="AH18" s="80" t="s">
        <v>52</v>
      </c>
      <c r="AI18" s="59">
        <v>587</v>
      </c>
      <c r="AJ18" s="59">
        <v>600</v>
      </c>
      <c r="AK18" s="40">
        <v>115</v>
      </c>
      <c r="AL18" s="40">
        <v>169</v>
      </c>
      <c r="AM18" s="40">
        <v>314</v>
      </c>
      <c r="AN18" s="40">
        <f t="shared" si="23"/>
        <v>173.17599999999999</v>
      </c>
      <c r="AO18" s="40">
        <f t="shared" si="24"/>
        <v>771.17599999999993</v>
      </c>
      <c r="AP18" s="93">
        <f t="shared" si="14"/>
        <v>171.17599999999993</v>
      </c>
      <c r="AQ18" s="157">
        <f t="shared" si="25"/>
        <v>0.28529333333333323</v>
      </c>
      <c r="AR18" s="93">
        <f t="shared" si="26"/>
        <v>184.17599999999993</v>
      </c>
      <c r="AS18" s="81">
        <f t="shared" si="15"/>
        <v>0.3137580919931855</v>
      </c>
      <c r="AU18" s="981"/>
      <c r="AW18" s="80" t="s">
        <v>52</v>
      </c>
      <c r="AX18" s="59">
        <v>0</v>
      </c>
      <c r="AY18" s="59">
        <v>0</v>
      </c>
      <c r="AZ18" s="40">
        <v>0</v>
      </c>
      <c r="BA18" s="40">
        <f t="shared" si="27"/>
        <v>0</v>
      </c>
    </row>
    <row r="19" spans="2:53" ht="18.75" customHeight="1">
      <c r="B19" s="80" t="s">
        <v>56</v>
      </c>
      <c r="C19" s="59">
        <f>VLOOKUP(B19,'CMB_Sales volume summary'!$C$295:$AF$315,$C$2,0)</f>
        <v>55</v>
      </c>
      <c r="D19" s="19">
        <v>15</v>
      </c>
      <c r="E19" s="19">
        <v>10.987</v>
      </c>
      <c r="F19" s="15">
        <f t="shared" si="7"/>
        <v>-44.012999999999998</v>
      </c>
      <c r="G19" s="16">
        <f t="shared" si="8"/>
        <v>-0.80023636363636363</v>
      </c>
      <c r="H19" s="15">
        <f t="shared" si="9"/>
        <v>-4.0129999999999999</v>
      </c>
      <c r="I19" s="81">
        <f t="shared" si="16"/>
        <v>-0.26753333333333335</v>
      </c>
      <c r="J19" s="20"/>
      <c r="K19" s="80" t="s">
        <v>56</v>
      </c>
      <c r="L19" s="40">
        <f>VLOOKUP(K19,'CMB sales Variance(15-16)'!$D$246:$R$266,$L$2,0)</f>
        <v>242.16099999999997</v>
      </c>
      <c r="M19" s="40">
        <f>VLOOKUP(K19,'CMB_Sales volume summary'!$C$320:$AF$340,$M$2,0)</f>
        <v>690</v>
      </c>
      <c r="N19" s="40">
        <f t="shared" si="17"/>
        <v>457.27600000000001</v>
      </c>
      <c r="O19" s="93">
        <f t="shared" si="10"/>
        <v>-232.72399999999999</v>
      </c>
      <c r="P19" s="157">
        <f t="shared" si="18"/>
        <v>-0.33728115942028986</v>
      </c>
      <c r="Q19" s="17">
        <f t="shared" si="11"/>
        <v>215.11500000000004</v>
      </c>
      <c r="R19" s="81">
        <f t="shared" si="2"/>
        <v>0.88831397293536141</v>
      </c>
      <c r="S19" s="981"/>
      <c r="T19" s="981"/>
      <c r="U19" s="80" t="s">
        <v>56</v>
      </c>
      <c r="V19" s="59">
        <v>40</v>
      </c>
      <c r="W19" s="59">
        <v>201</v>
      </c>
      <c r="X19" s="59">
        <v>88</v>
      </c>
      <c r="Y19" s="59">
        <v>27.675999999999998</v>
      </c>
      <c r="Z19" s="40">
        <f t="shared" si="19"/>
        <v>10.987</v>
      </c>
      <c r="AA19" s="40">
        <f t="shared" si="20"/>
        <v>126.663</v>
      </c>
      <c r="AB19" s="93">
        <f t="shared" si="12"/>
        <v>-74.337000000000003</v>
      </c>
      <c r="AC19" s="64">
        <f t="shared" si="21"/>
        <v>-0.36983582089552242</v>
      </c>
      <c r="AD19" s="93">
        <f t="shared" si="22"/>
        <v>86.662999999999997</v>
      </c>
      <c r="AE19" s="106">
        <f t="shared" si="13"/>
        <v>2.1665749999999999</v>
      </c>
      <c r="AH19" s="80" t="s">
        <v>56</v>
      </c>
      <c r="AI19" s="59">
        <v>242</v>
      </c>
      <c r="AJ19" s="59">
        <v>690</v>
      </c>
      <c r="AK19" s="40">
        <v>58.231000000000002</v>
      </c>
      <c r="AL19" s="40">
        <v>160.38200000000001</v>
      </c>
      <c r="AM19" s="40">
        <v>112</v>
      </c>
      <c r="AN19" s="40">
        <f t="shared" si="23"/>
        <v>126.663</v>
      </c>
      <c r="AO19" s="40">
        <f t="shared" si="24"/>
        <v>457.27600000000001</v>
      </c>
      <c r="AP19" s="93">
        <f t="shared" si="14"/>
        <v>-232.72399999999999</v>
      </c>
      <c r="AQ19" s="157">
        <f t="shared" si="25"/>
        <v>-0.33728115942028986</v>
      </c>
      <c r="AR19" s="93">
        <f t="shared" si="26"/>
        <v>215.27600000000001</v>
      </c>
      <c r="AS19" s="81">
        <f t="shared" si="15"/>
        <v>0.88957024793388428</v>
      </c>
      <c r="AU19" s="981"/>
      <c r="AW19" s="80" t="s">
        <v>56</v>
      </c>
      <c r="AX19" s="59"/>
      <c r="AY19" s="59">
        <v>51</v>
      </c>
      <c r="AZ19" s="40"/>
      <c r="BA19" s="40">
        <f t="shared" si="27"/>
        <v>51</v>
      </c>
    </row>
    <row r="20" spans="2:53" ht="18.75" customHeight="1">
      <c r="B20" s="82" t="s">
        <v>57</v>
      </c>
      <c r="C20" s="59">
        <f>VLOOKUP(B20,'CMB_Sales volume summary'!$C$295:$AF$315,$C$2,0)</f>
        <v>0</v>
      </c>
      <c r="D20" s="60"/>
      <c r="E20" s="60"/>
      <c r="F20" s="61">
        <f t="shared" si="7"/>
        <v>0</v>
      </c>
      <c r="G20" s="62" t="str">
        <f t="shared" si="8"/>
        <v>-</v>
      </c>
      <c r="H20" s="61">
        <f t="shared" si="9"/>
        <v>0</v>
      </c>
      <c r="I20" s="83" t="str">
        <f t="shared" si="16"/>
        <v>-</v>
      </c>
      <c r="J20" s="20"/>
      <c r="K20" s="82" t="s">
        <v>57</v>
      </c>
      <c r="L20" s="40">
        <f>VLOOKUP(K20,'CMB sales Variance(15-16)'!$D$246:$R$266,$L$2,0)</f>
        <v>293.13400000000001</v>
      </c>
      <c r="M20" s="40">
        <f>VLOOKUP(K20,'CMB_Sales volume summary'!$C$320:$AF$340,$M$2,0)</f>
        <v>300</v>
      </c>
      <c r="N20" s="40">
        <f t="shared" si="17"/>
        <v>98.966000000000008</v>
      </c>
      <c r="O20" s="93">
        <f t="shared" si="10"/>
        <v>-201.03399999999999</v>
      </c>
      <c r="P20" s="157">
        <f t="shared" si="18"/>
        <v>-0.67011333333333334</v>
      </c>
      <c r="Q20" s="17">
        <f t="shared" si="11"/>
        <v>-194.16800000000001</v>
      </c>
      <c r="R20" s="81">
        <f t="shared" si="2"/>
        <v>-0.66238648536164346</v>
      </c>
      <c r="S20" s="981"/>
      <c r="T20" s="981"/>
      <c r="U20" s="82" t="s">
        <v>57</v>
      </c>
      <c r="V20" s="59">
        <v>65.432000000000002</v>
      </c>
      <c r="W20" s="59">
        <v>100</v>
      </c>
      <c r="X20" s="59">
        <v>0</v>
      </c>
      <c r="Y20" s="59">
        <v>0</v>
      </c>
      <c r="Z20" s="40">
        <f t="shared" si="19"/>
        <v>0</v>
      </c>
      <c r="AA20" s="40">
        <f t="shared" si="20"/>
        <v>0</v>
      </c>
      <c r="AB20" s="93">
        <f t="shared" si="12"/>
        <v>-100</v>
      </c>
      <c r="AC20" s="64">
        <f t="shared" si="21"/>
        <v>-1</v>
      </c>
      <c r="AD20" s="93">
        <f t="shared" si="22"/>
        <v>-65.432000000000002</v>
      </c>
      <c r="AE20" s="106">
        <f t="shared" si="13"/>
        <v>-1</v>
      </c>
      <c r="AH20" s="82" t="s">
        <v>57</v>
      </c>
      <c r="AI20" s="59">
        <v>293</v>
      </c>
      <c r="AJ20" s="59">
        <v>300</v>
      </c>
      <c r="AK20" s="40">
        <v>0</v>
      </c>
      <c r="AL20" s="40">
        <v>98.966000000000008</v>
      </c>
      <c r="AM20" s="40">
        <v>0</v>
      </c>
      <c r="AN20" s="40">
        <f t="shared" si="23"/>
        <v>0</v>
      </c>
      <c r="AO20" s="40">
        <f t="shared" si="24"/>
        <v>98.966000000000008</v>
      </c>
      <c r="AP20" s="93">
        <f t="shared" si="14"/>
        <v>-201.03399999999999</v>
      </c>
      <c r="AQ20" s="157">
        <f t="shared" si="25"/>
        <v>-0.67011333333333334</v>
      </c>
      <c r="AR20" s="93">
        <f t="shared" si="26"/>
        <v>-194.03399999999999</v>
      </c>
      <c r="AS20" s="81">
        <f t="shared" si="15"/>
        <v>-0.66223208191126282</v>
      </c>
      <c r="AU20" s="981"/>
      <c r="AW20" s="82" t="s">
        <v>57</v>
      </c>
      <c r="AX20" s="59">
        <v>99</v>
      </c>
      <c r="AY20" s="59">
        <v>0</v>
      </c>
      <c r="AZ20" s="40">
        <v>0</v>
      </c>
      <c r="BA20" s="40">
        <f t="shared" si="27"/>
        <v>99</v>
      </c>
    </row>
    <row r="21" spans="2:53" ht="18.75" customHeight="1" thickBot="1">
      <c r="B21" s="82" t="s">
        <v>28</v>
      </c>
      <c r="C21" s="59">
        <f>VLOOKUP(B21,'CMB_Sales volume summary'!$C$295:$AF$315,$C$2,0)</f>
        <v>53.5</v>
      </c>
      <c r="D21" s="121">
        <f>1422-SUM(D13:D20)</f>
        <v>122.67032000000017</v>
      </c>
      <c r="E21" s="121">
        <f>1429-SUM(E13:E20)</f>
        <v>98.609000000000151</v>
      </c>
      <c r="F21" s="61">
        <f t="shared" si="7"/>
        <v>45.109000000000151</v>
      </c>
      <c r="G21" s="62">
        <f t="shared" si="8"/>
        <v>0.84315887850467575</v>
      </c>
      <c r="H21" s="61">
        <f t="shared" si="9"/>
        <v>-24.061320000000023</v>
      </c>
      <c r="I21" s="83">
        <f t="shared" si="16"/>
        <v>-0.19614622347117044</v>
      </c>
      <c r="J21" s="20"/>
      <c r="K21" s="82" t="s">
        <v>28</v>
      </c>
      <c r="L21" s="40">
        <f>VLOOKUP(K21,'CMB sales Variance(15-16)'!$D$246:$R$266,$L$2,0)</f>
        <v>850.55700000000002</v>
      </c>
      <c r="M21" s="40">
        <f>VLOOKUP(K21,'CMB_Sales volume summary'!$C$320:$AF$340,$M$2,0)</f>
        <v>1454</v>
      </c>
      <c r="N21" s="40">
        <f>13600-SUM(N13:N20)</f>
        <v>1209.5460000000003</v>
      </c>
      <c r="O21" s="96">
        <f>N21-M21</f>
        <v>-244.45399999999972</v>
      </c>
      <c r="P21" s="160">
        <f t="shared" si="18"/>
        <v>-0.16812517193947712</v>
      </c>
      <c r="Q21" s="92">
        <f>N21-L21</f>
        <v>358.98900000000026</v>
      </c>
      <c r="R21" s="83">
        <f t="shared" si="2"/>
        <v>0.42206342432076893</v>
      </c>
      <c r="S21" s="981"/>
      <c r="T21" s="981"/>
      <c r="U21" s="82" t="s">
        <v>28</v>
      </c>
      <c r="V21" s="59">
        <f>3834-SUM(V13:V20)</f>
        <v>251.40039999999999</v>
      </c>
      <c r="W21" s="59">
        <v>360.5</v>
      </c>
      <c r="X21" s="59">
        <v>141.73299999999995</v>
      </c>
      <c r="Y21" s="59">
        <v>35.909999999999854</v>
      </c>
      <c r="Z21" s="40">
        <f t="shared" si="19"/>
        <v>98.609000000000151</v>
      </c>
      <c r="AA21" s="91">
        <f t="shared" si="20"/>
        <v>276.25199999999995</v>
      </c>
      <c r="AB21" s="96">
        <f t="shared" si="12"/>
        <v>-84.248000000000047</v>
      </c>
      <c r="AC21" s="90">
        <f t="shared" si="21"/>
        <v>-0.23369764216366171</v>
      </c>
      <c r="AD21" s="96">
        <f t="shared" si="22"/>
        <v>24.851599999999962</v>
      </c>
      <c r="AE21" s="107">
        <f t="shared" si="13"/>
        <v>9.8852666901086739E-2</v>
      </c>
      <c r="AH21" s="82" t="s">
        <v>28</v>
      </c>
      <c r="AI21" s="91">
        <f>851+5.5</f>
        <v>856.5</v>
      </c>
      <c r="AJ21" s="91">
        <v>1454</v>
      </c>
      <c r="AK21" s="91">
        <v>389.84199999999987</v>
      </c>
      <c r="AL21" s="91">
        <v>128.15800000000013</v>
      </c>
      <c r="AM21" s="40">
        <v>415.18599999999981</v>
      </c>
      <c r="AN21" s="40">
        <f t="shared" si="23"/>
        <v>276.25199999999995</v>
      </c>
      <c r="AO21" s="91">
        <f t="shared" si="24"/>
        <v>1209.4379999999996</v>
      </c>
      <c r="AP21" s="96">
        <f t="shared" si="14"/>
        <v>-244.56200000000035</v>
      </c>
      <c r="AQ21" s="160">
        <f t="shared" si="25"/>
        <v>-0.16819944979367288</v>
      </c>
      <c r="AR21" s="96">
        <f t="shared" si="26"/>
        <v>352.93799999999965</v>
      </c>
      <c r="AS21" s="83">
        <f t="shared" si="15"/>
        <v>0.4120700525394041</v>
      </c>
      <c r="AU21" s="981"/>
      <c r="AW21" s="82" t="s">
        <v>28</v>
      </c>
      <c r="AX21" s="59">
        <f>831-SUM(AX13:AX20)</f>
        <v>43.017000000000053</v>
      </c>
      <c r="AY21" s="59">
        <f>1390-SUM(AY13:AY20)</f>
        <v>37.486900000000105</v>
      </c>
      <c r="AZ21" s="59">
        <f>1419-SUM(AZ13:AZ20)</f>
        <v>5.6000000000001364</v>
      </c>
      <c r="BA21" s="91">
        <f t="shared" si="27"/>
        <v>86.103900000000294</v>
      </c>
    </row>
    <row r="22" spans="2:53" ht="21.75" customHeight="1" thickBot="1">
      <c r="B22" s="114" t="s">
        <v>16</v>
      </c>
      <c r="C22" s="115">
        <f>VLOOKUP(B22,'CMB_Sales volume summary'!$C$295:$AF$315,$C$2,0)</f>
        <v>1500</v>
      </c>
      <c r="D22" s="115">
        <v>200</v>
      </c>
      <c r="E22" s="115">
        <v>261</v>
      </c>
      <c r="F22" s="116">
        <f t="shared" ref="F22:F26" si="28">E22-C22</f>
        <v>-1239</v>
      </c>
      <c r="G22" s="117">
        <f t="shared" ref="G22:G29" si="29">IFERROR(F22/C22,"-")</f>
        <v>-0.82599999999999996</v>
      </c>
      <c r="H22" s="116">
        <f t="shared" ref="H22:H25" si="30">E22-D22</f>
        <v>61</v>
      </c>
      <c r="I22" s="118">
        <f t="shared" ref="I22:I28" si="31">IFERROR(H22/D22,"-")</f>
        <v>0.30499999999999999</v>
      </c>
      <c r="J22" s="20"/>
      <c r="K22" s="114" t="s">
        <v>16</v>
      </c>
      <c r="L22" s="115">
        <f>VLOOKUP(K22,'CMB sales Variance(15-16)'!$D$246:$R$266,$L$2,0)</f>
        <v>13875.573000000002</v>
      </c>
      <c r="M22" s="115">
        <f>VLOOKUP(K22,'CMB_Sales volume summary'!$C$320:$AF$340,$M$2,0)</f>
        <v>20400</v>
      </c>
      <c r="N22" s="115">
        <f>AO22</f>
        <v>6090.99</v>
      </c>
      <c r="O22" s="119">
        <f>N22-M22</f>
        <v>-14309.01</v>
      </c>
      <c r="P22" s="158">
        <f>IFERROR(O22/M22,"-")</f>
        <v>-0.70142205882352937</v>
      </c>
      <c r="Q22" s="119">
        <f t="shared" si="1"/>
        <v>-7784.5830000000024</v>
      </c>
      <c r="R22" s="118">
        <f t="shared" si="2"/>
        <v>-0.56102785809277944</v>
      </c>
      <c r="T22" s="981"/>
      <c r="U22" s="114" t="s">
        <v>16</v>
      </c>
      <c r="V22" s="115">
        <v>4751</v>
      </c>
      <c r="W22" s="115">
        <f>5991-W23</f>
        <v>5850</v>
      </c>
      <c r="X22" s="115">
        <v>284</v>
      </c>
      <c r="Y22" s="115">
        <v>1547</v>
      </c>
      <c r="Z22" s="115">
        <f>E22</f>
        <v>261</v>
      </c>
      <c r="AA22" s="115">
        <f t="shared" si="20"/>
        <v>2092</v>
      </c>
      <c r="AB22" s="119">
        <f t="shared" si="12"/>
        <v>-3758</v>
      </c>
      <c r="AC22" s="117">
        <f t="shared" si="21"/>
        <v>-0.64239316239316235</v>
      </c>
      <c r="AD22" s="119">
        <f t="shared" si="22"/>
        <v>-2659</v>
      </c>
      <c r="AE22" s="120">
        <f t="shared" si="13"/>
        <v>-0.55967164807408964</v>
      </c>
      <c r="AH22" s="114" t="s">
        <v>16</v>
      </c>
      <c r="AI22" s="115">
        <v>13876</v>
      </c>
      <c r="AJ22" s="115">
        <f>20775-AJ23</f>
        <v>20400</v>
      </c>
      <c r="AK22" s="115">
        <v>1892</v>
      </c>
      <c r="AL22" s="115">
        <v>1246.99</v>
      </c>
      <c r="AM22" s="115">
        <v>860</v>
      </c>
      <c r="AN22" s="115">
        <f>AA22</f>
        <v>2092</v>
      </c>
      <c r="AO22" s="115">
        <f t="shared" si="24"/>
        <v>6090.99</v>
      </c>
      <c r="AP22" s="119">
        <f t="shared" si="14"/>
        <v>-14309.01</v>
      </c>
      <c r="AQ22" s="158">
        <f t="shared" si="25"/>
        <v>-0.70142205882352937</v>
      </c>
      <c r="AR22" s="119">
        <f t="shared" si="26"/>
        <v>-7785.01</v>
      </c>
      <c r="AS22" s="118">
        <f t="shared" si="15"/>
        <v>-0.56104136638800806</v>
      </c>
      <c r="AU22" s="981"/>
      <c r="AW22" s="114" t="s">
        <v>16</v>
      </c>
      <c r="AX22" s="115">
        <v>120</v>
      </c>
      <c r="AY22" s="115">
        <v>200</v>
      </c>
      <c r="AZ22" s="115">
        <v>200</v>
      </c>
      <c r="BA22" s="115">
        <f t="shared" si="27"/>
        <v>520</v>
      </c>
    </row>
    <row r="23" spans="2:53" ht="21.75" customHeight="1" thickBot="1">
      <c r="B23" s="65" t="s">
        <v>51</v>
      </c>
      <c r="C23" s="66">
        <f>VLOOKUP(B23,'CMB_Sales volume summary'!$C$295:$AF$315,$C$2,0)</f>
        <v>33</v>
      </c>
      <c r="D23" s="66"/>
      <c r="E23" s="66"/>
      <c r="F23" s="67">
        <f t="shared" si="28"/>
        <v>-33</v>
      </c>
      <c r="G23" s="68">
        <f t="shared" si="29"/>
        <v>-1</v>
      </c>
      <c r="H23" s="67">
        <f t="shared" si="30"/>
        <v>0</v>
      </c>
      <c r="I23" s="69" t="str">
        <f t="shared" si="31"/>
        <v>-</v>
      </c>
      <c r="J23" s="20"/>
      <c r="K23" s="89" t="s">
        <v>51</v>
      </c>
      <c r="L23" s="40">
        <f>VLOOKUP(K23,'CMB sales Variance(15-16)'!$D$246:$R$266,$L$2,0)</f>
        <v>487.82999999999976</v>
      </c>
      <c r="M23" s="40">
        <f>VLOOKUP(K23,'CMB_Sales volume summary'!$C$320:$AF$340,$M$2,0)</f>
        <v>375</v>
      </c>
      <c r="N23" s="40"/>
      <c r="O23" s="96">
        <f t="shared" ref="O23:O26" si="32">N23-M23</f>
        <v>-375</v>
      </c>
      <c r="P23" s="160">
        <f t="shared" si="18"/>
        <v>-1</v>
      </c>
      <c r="Q23" s="96">
        <f t="shared" si="1"/>
        <v>-487.82999999999976</v>
      </c>
      <c r="R23" s="162">
        <f t="shared" si="2"/>
        <v>-1</v>
      </c>
      <c r="T23" s="981"/>
      <c r="U23" s="89" t="s">
        <v>51</v>
      </c>
      <c r="V23" s="176"/>
      <c r="W23" s="176">
        <v>141</v>
      </c>
      <c r="X23" s="176">
        <v>0</v>
      </c>
      <c r="Y23" s="176"/>
      <c r="Z23" s="91"/>
      <c r="AA23" s="91">
        <f t="shared" si="20"/>
        <v>0</v>
      </c>
      <c r="AB23" s="96">
        <f t="shared" si="12"/>
        <v>-141</v>
      </c>
      <c r="AC23" s="90">
        <f t="shared" si="21"/>
        <v>-1</v>
      </c>
      <c r="AD23" s="96">
        <f t="shared" si="22"/>
        <v>0</v>
      </c>
      <c r="AE23" s="108">
        <f t="shared" si="13"/>
        <v>0</v>
      </c>
      <c r="AH23" s="89" t="s">
        <v>51</v>
      </c>
      <c r="AI23" s="176">
        <v>488</v>
      </c>
      <c r="AJ23" s="176">
        <v>375</v>
      </c>
      <c r="AK23" s="91"/>
      <c r="AL23" s="91"/>
      <c r="AM23" s="91">
        <v>0</v>
      </c>
      <c r="AN23" s="91">
        <f>AA23</f>
        <v>0</v>
      </c>
      <c r="AO23" s="91">
        <f t="shared" si="24"/>
        <v>0</v>
      </c>
      <c r="AP23" s="96">
        <f t="shared" si="14"/>
        <v>-375</v>
      </c>
      <c r="AQ23" s="160">
        <f t="shared" si="25"/>
        <v>-1</v>
      </c>
      <c r="AR23" s="96">
        <f t="shared" si="26"/>
        <v>-488</v>
      </c>
      <c r="AS23" s="162">
        <f t="shared" si="15"/>
        <v>-1</v>
      </c>
      <c r="AU23" s="981"/>
      <c r="AW23" s="89" t="s">
        <v>51</v>
      </c>
      <c r="AX23" s="176"/>
      <c r="AY23" s="176"/>
      <c r="AZ23" s="91"/>
      <c r="BA23" s="91">
        <f t="shared" si="27"/>
        <v>0</v>
      </c>
    </row>
    <row r="24" spans="2:53" ht="21.75" customHeight="1" thickBot="1">
      <c r="B24" s="114" t="s">
        <v>17</v>
      </c>
      <c r="C24" s="115">
        <f>VLOOKUP(B24,'CMB_Sales volume summary'!$C$295:$AF$315,$C$2,0)</f>
        <v>555.01999999999987</v>
      </c>
      <c r="D24" s="115">
        <v>370</v>
      </c>
      <c r="E24" s="115">
        <v>385</v>
      </c>
      <c r="F24" s="116">
        <f t="shared" si="28"/>
        <v>-170.01999999999987</v>
      </c>
      <c r="G24" s="117">
        <f t="shared" si="29"/>
        <v>-0.30633130337645476</v>
      </c>
      <c r="H24" s="116">
        <f t="shared" si="30"/>
        <v>15</v>
      </c>
      <c r="I24" s="118">
        <f t="shared" si="31"/>
        <v>4.0540540540540543E-2</v>
      </c>
      <c r="J24" s="20"/>
      <c r="K24" s="114" t="s">
        <v>17</v>
      </c>
      <c r="L24" s="115">
        <f>VLOOKUP(K24,'CMB sales Variance(15-16)'!$D$246:$R$266,$L$2,0)</f>
        <v>3990.998</v>
      </c>
      <c r="M24" s="115">
        <f>VLOOKUP(K24,'CMB_Sales volume summary'!$C$320:$AF$340,$M$2,0)</f>
        <v>6279.1880000000001</v>
      </c>
      <c r="N24" s="115">
        <f>AO24</f>
        <v>3783</v>
      </c>
      <c r="O24" s="119">
        <f t="shared" si="32"/>
        <v>-2496.1880000000001</v>
      </c>
      <c r="P24" s="158">
        <f t="shared" si="18"/>
        <v>-0.39753356644203042</v>
      </c>
      <c r="Q24" s="119">
        <f t="shared" si="1"/>
        <v>-207.99800000000005</v>
      </c>
      <c r="R24" s="118">
        <f t="shared" si="2"/>
        <v>-5.2116788833269284E-2</v>
      </c>
      <c r="T24" s="981"/>
      <c r="U24" s="114" t="s">
        <v>17</v>
      </c>
      <c r="V24" s="115">
        <v>1192</v>
      </c>
      <c r="W24" s="115">
        <v>1607.4559999999997</v>
      </c>
      <c r="X24" s="115">
        <v>435</v>
      </c>
      <c r="Y24" s="115">
        <v>311</v>
      </c>
      <c r="Z24" s="115">
        <f>E24</f>
        <v>385</v>
      </c>
      <c r="AA24" s="115">
        <f t="shared" si="20"/>
        <v>1131</v>
      </c>
      <c r="AB24" s="119">
        <f t="shared" si="12"/>
        <v>-476.45599999999968</v>
      </c>
      <c r="AC24" s="117">
        <f t="shared" si="21"/>
        <v>-0.29640375848545764</v>
      </c>
      <c r="AD24" s="119">
        <f t="shared" si="22"/>
        <v>-61</v>
      </c>
      <c r="AE24" s="120">
        <f t="shared" si="13"/>
        <v>-5.1174496644295298E-2</v>
      </c>
      <c r="AH24" s="114" t="s">
        <v>17</v>
      </c>
      <c r="AI24" s="115">
        <v>3991</v>
      </c>
      <c r="AJ24" s="115">
        <v>6279.1880000000001</v>
      </c>
      <c r="AK24" s="115">
        <v>1138.6949999999999</v>
      </c>
      <c r="AL24" s="115">
        <v>779.30500000000006</v>
      </c>
      <c r="AM24" s="115">
        <v>734</v>
      </c>
      <c r="AN24" s="115">
        <f>AA24</f>
        <v>1131</v>
      </c>
      <c r="AO24" s="115">
        <f t="shared" si="24"/>
        <v>3783</v>
      </c>
      <c r="AP24" s="119">
        <f t="shared" si="14"/>
        <v>-2496.1880000000001</v>
      </c>
      <c r="AQ24" s="158">
        <f t="shared" si="25"/>
        <v>-0.39753356644203042</v>
      </c>
      <c r="AR24" s="119">
        <f t="shared" si="26"/>
        <v>-208</v>
      </c>
      <c r="AS24" s="118">
        <f t="shared" si="15"/>
        <v>-5.2117263843648232E-2</v>
      </c>
      <c r="AU24" s="981"/>
      <c r="AW24" s="114" t="s">
        <v>17</v>
      </c>
      <c r="AX24" s="115">
        <v>364</v>
      </c>
      <c r="AY24" s="115">
        <v>432</v>
      </c>
      <c r="AZ24" s="115">
        <v>425</v>
      </c>
      <c r="BA24" s="115">
        <f t="shared" si="27"/>
        <v>1221</v>
      </c>
    </row>
    <row r="25" spans="2:53" ht="18.75" customHeight="1" thickBot="1">
      <c r="B25" s="65" t="s">
        <v>18</v>
      </c>
      <c r="C25" s="59">
        <f>VLOOKUP(B25,'CMB_Sales volume summary'!$C$295:$AF$315,$C$2,0)</f>
        <v>0</v>
      </c>
      <c r="D25" s="66"/>
      <c r="E25" s="66"/>
      <c r="F25" s="67">
        <f t="shared" si="28"/>
        <v>0</v>
      </c>
      <c r="G25" s="68" t="str">
        <f t="shared" si="29"/>
        <v>-</v>
      </c>
      <c r="H25" s="67">
        <f t="shared" si="30"/>
        <v>0</v>
      </c>
      <c r="I25" s="69" t="str">
        <f t="shared" si="31"/>
        <v>-</v>
      </c>
      <c r="J25" s="20"/>
      <c r="K25" s="65" t="s">
        <v>18</v>
      </c>
      <c r="L25" s="71">
        <f>VLOOKUP(K25,'CMB sales Variance(15-16)'!$D$246:$R$266,$L$2,0)</f>
        <v>223.35900000000004</v>
      </c>
      <c r="M25" s="71">
        <f>VLOOKUP(K25,'CMB_Sales volume summary'!$C$320:$AF$340,$M$2,0)</f>
        <v>0</v>
      </c>
      <c r="N25" s="71"/>
      <c r="O25" s="94">
        <f t="shared" si="32"/>
        <v>0</v>
      </c>
      <c r="P25" s="159" t="str">
        <f t="shared" si="18"/>
        <v>-</v>
      </c>
      <c r="Q25" s="94">
        <f t="shared" si="1"/>
        <v>-223.35900000000004</v>
      </c>
      <c r="R25" s="69">
        <f t="shared" si="2"/>
        <v>-1</v>
      </c>
      <c r="T25" s="981"/>
      <c r="U25" s="89" t="s">
        <v>18</v>
      </c>
      <c r="V25" s="176">
        <v>4.1100000000000003</v>
      </c>
      <c r="W25" s="176">
        <v>0</v>
      </c>
      <c r="X25" s="59">
        <v>0</v>
      </c>
      <c r="Y25" s="59"/>
      <c r="Z25" s="91"/>
      <c r="AA25" s="91">
        <f t="shared" si="20"/>
        <v>0</v>
      </c>
      <c r="AB25" s="96">
        <f t="shared" si="12"/>
        <v>0</v>
      </c>
      <c r="AC25" s="90" t="str">
        <f t="shared" si="21"/>
        <v>-</v>
      </c>
      <c r="AD25" s="96">
        <f t="shared" si="22"/>
        <v>-4.1100000000000003</v>
      </c>
      <c r="AE25" s="108">
        <f t="shared" si="13"/>
        <v>-1</v>
      </c>
      <c r="AH25" s="89" t="s">
        <v>18</v>
      </c>
      <c r="AI25" s="176">
        <v>223</v>
      </c>
      <c r="AJ25" s="176"/>
      <c r="AK25" s="91">
        <v>0</v>
      </c>
      <c r="AL25" s="91">
        <v>0</v>
      </c>
      <c r="AM25" s="40">
        <v>0</v>
      </c>
      <c r="AN25" s="91">
        <f>AA25</f>
        <v>0</v>
      </c>
      <c r="AO25" s="91">
        <f t="shared" si="24"/>
        <v>0</v>
      </c>
      <c r="AP25" s="96">
        <f t="shared" si="14"/>
        <v>0</v>
      </c>
      <c r="AQ25" s="160" t="str">
        <f t="shared" si="25"/>
        <v>-</v>
      </c>
      <c r="AR25" s="96">
        <f t="shared" si="26"/>
        <v>-223</v>
      </c>
      <c r="AS25" s="162">
        <f t="shared" si="15"/>
        <v>-1</v>
      </c>
      <c r="AU25" s="981"/>
      <c r="AW25" s="89" t="s">
        <v>18</v>
      </c>
      <c r="AX25" s="59"/>
      <c r="AY25" s="59"/>
      <c r="AZ25" s="91"/>
      <c r="BA25" s="91">
        <f t="shared" si="27"/>
        <v>0</v>
      </c>
    </row>
    <row r="26" spans="2:53" s="18" customFormat="1" ht="23.25" customHeight="1" thickBot="1">
      <c r="B26" s="65" t="s">
        <v>19</v>
      </c>
      <c r="C26" s="59">
        <f>VLOOKUP(B26,'CMB_Sales volume summary'!$C$295:$AF$315,$C$2,0)</f>
        <v>0</v>
      </c>
      <c r="D26" s="71"/>
      <c r="E26" s="66"/>
      <c r="F26" s="67">
        <f t="shared" si="28"/>
        <v>0</v>
      </c>
      <c r="G26" s="68" t="str">
        <f t="shared" si="29"/>
        <v>-</v>
      </c>
      <c r="H26" s="67">
        <f>E26-D26</f>
        <v>0</v>
      </c>
      <c r="I26" s="69" t="str">
        <f>IFERROR(H26/D26,"-")</f>
        <v>-</v>
      </c>
      <c r="J26" s="20"/>
      <c r="K26" s="89" t="s">
        <v>20</v>
      </c>
      <c r="L26" s="40"/>
      <c r="M26" s="40"/>
      <c r="N26" s="40"/>
      <c r="O26" s="96">
        <f t="shared" si="32"/>
        <v>0</v>
      </c>
      <c r="P26" s="160" t="str">
        <f t="shared" si="18"/>
        <v>-</v>
      </c>
      <c r="Q26" s="96">
        <f t="shared" si="1"/>
        <v>0</v>
      </c>
      <c r="R26" s="162" t="str">
        <f t="shared" si="2"/>
        <v>-</v>
      </c>
      <c r="T26" s="981"/>
      <c r="U26" s="65" t="s">
        <v>20</v>
      </c>
      <c r="V26" s="71">
        <v>0</v>
      </c>
      <c r="W26" s="71">
        <v>0</v>
      </c>
      <c r="X26" s="59">
        <v>0</v>
      </c>
      <c r="Y26" s="59"/>
      <c r="Z26" s="71">
        <f>E26</f>
        <v>0</v>
      </c>
      <c r="AA26" s="71">
        <f t="shared" si="20"/>
        <v>0</v>
      </c>
      <c r="AB26" s="94">
        <f t="shared" si="12"/>
        <v>0</v>
      </c>
      <c r="AC26" s="68" t="str">
        <f>IFERROR(AB26/W26,"-")</f>
        <v>-</v>
      </c>
      <c r="AD26" s="94">
        <f t="shared" si="22"/>
        <v>0</v>
      </c>
      <c r="AE26" s="95">
        <f t="shared" si="13"/>
        <v>0</v>
      </c>
      <c r="AH26" s="65" t="s">
        <v>20</v>
      </c>
      <c r="AI26" s="71">
        <v>543</v>
      </c>
      <c r="AJ26" s="71">
        <v>300</v>
      </c>
      <c r="AK26" s="71">
        <v>0</v>
      </c>
      <c r="AL26" s="71">
        <f t="shared" ref="AL26" si="33">AA26</f>
        <v>0</v>
      </c>
      <c r="AM26" s="40">
        <v>0</v>
      </c>
      <c r="AN26" s="71">
        <f>AA26</f>
        <v>0</v>
      </c>
      <c r="AO26" s="71">
        <f t="shared" si="24"/>
        <v>0</v>
      </c>
      <c r="AP26" s="94">
        <f t="shared" si="14"/>
        <v>-300</v>
      </c>
      <c r="AQ26" s="159">
        <f t="shared" si="25"/>
        <v>-1</v>
      </c>
      <c r="AR26" s="94">
        <f t="shared" si="26"/>
        <v>-543</v>
      </c>
      <c r="AS26" s="69">
        <f t="shared" si="15"/>
        <v>-1</v>
      </c>
      <c r="AU26" s="981"/>
      <c r="AW26" s="65" t="s">
        <v>20</v>
      </c>
      <c r="AX26" s="59"/>
      <c r="AY26" s="59"/>
      <c r="AZ26" s="71"/>
      <c r="BA26" s="71">
        <f t="shared" si="27"/>
        <v>0</v>
      </c>
    </row>
    <row r="27" spans="2:53" ht="21.75" customHeight="1" thickBot="1">
      <c r="B27" s="963" t="s">
        <v>21</v>
      </c>
      <c r="C27" s="965">
        <f>C12+C22+C23+C25+C26+C24</f>
        <v>3706.82</v>
      </c>
      <c r="D27" s="964">
        <f>D12+D22+D23+D25+D26+D24</f>
        <v>1992</v>
      </c>
      <c r="E27" s="72">
        <f>E12+E22+E23+E25+E26+E24</f>
        <v>2075</v>
      </c>
      <c r="F27" s="72">
        <f>F12+F22+F23+F25+F26+F24</f>
        <v>-1631.8199999999997</v>
      </c>
      <c r="G27" s="73">
        <f>IFERROR(F27/C27,"-")</f>
        <v>-0.44022099805223874</v>
      </c>
      <c r="H27" s="72">
        <f>H12+H22+H23+H25+H26+H24</f>
        <v>83</v>
      </c>
      <c r="I27" s="84">
        <f t="shared" si="31"/>
        <v>4.1666666666666664E-2</v>
      </c>
      <c r="J27" s="20"/>
      <c r="K27" s="97" t="s">
        <v>21</v>
      </c>
      <c r="L27" s="98">
        <f>L12+L22+L23+L25+L26+L24</f>
        <v>34338.535600000003</v>
      </c>
      <c r="M27" s="98">
        <f>M12+M22+M23+M25+M26+M24</f>
        <v>45187.087999999996</v>
      </c>
      <c r="N27" s="98">
        <f t="shared" ref="N27:Q27" si="34">N12+N22+N23+N25+N26+N24</f>
        <v>23473.989999999998</v>
      </c>
      <c r="O27" s="98">
        <f t="shared" si="34"/>
        <v>-21713.097999999998</v>
      </c>
      <c r="P27" s="100">
        <f t="shared" si="18"/>
        <v>-0.48051554019148124</v>
      </c>
      <c r="Q27" s="98">
        <f t="shared" si="34"/>
        <v>-10864.545600000001</v>
      </c>
      <c r="R27" s="124">
        <f t="shared" si="2"/>
        <v>-0.31639513480009906</v>
      </c>
      <c r="T27" s="981"/>
      <c r="U27" s="97" t="s">
        <v>21</v>
      </c>
      <c r="V27" s="98">
        <f>V12+V22+V23+V25+V26+V24</f>
        <v>9781.11</v>
      </c>
      <c r="W27" s="98">
        <f t="shared" ref="W27:Z27" si="35">W12+W22+W23+W25+W26+W24</f>
        <v>12415.056</v>
      </c>
      <c r="X27" s="98">
        <f t="shared" si="35"/>
        <v>1872</v>
      </c>
      <c r="Y27" s="98">
        <f t="shared" si="35"/>
        <v>2949</v>
      </c>
      <c r="Z27" s="98">
        <f t="shared" si="35"/>
        <v>2075</v>
      </c>
      <c r="AA27" s="98">
        <f t="shared" si="20"/>
        <v>6896</v>
      </c>
      <c r="AB27" s="98">
        <f t="shared" ref="AB27" si="36">AB12+AB22+AB23+AB25+AB26+AB24</f>
        <v>-5519.0560000000005</v>
      </c>
      <c r="AC27" s="100">
        <f>IFERROR(AB27/W27,"-")</f>
        <v>-0.44454539713715346</v>
      </c>
      <c r="AD27" s="98">
        <f t="shared" ref="AD27" si="37">AD12+AD22+AD23+AD25+AD26+AD24</f>
        <v>-2885.11</v>
      </c>
      <c r="AE27" s="101">
        <f t="shared" si="13"/>
        <v>-0.29496754458338581</v>
      </c>
      <c r="AH27" s="97" t="s">
        <v>21</v>
      </c>
      <c r="AI27" s="98">
        <f>AI12+AI22+AI23+AI25+AI26+AI24</f>
        <v>34882.5</v>
      </c>
      <c r="AJ27" s="98">
        <f t="shared" ref="AJ27:AN27" si="38">AJ12+AJ22+AJ23+AJ25+AJ26+AJ24</f>
        <v>45487.188000000002</v>
      </c>
      <c r="AK27" s="98">
        <f t="shared" si="38"/>
        <v>6750.9229999999998</v>
      </c>
      <c r="AL27" s="98">
        <f t="shared" si="38"/>
        <v>5179.9590000000007</v>
      </c>
      <c r="AM27" s="98">
        <f t="shared" si="38"/>
        <v>4647</v>
      </c>
      <c r="AN27" s="98">
        <f t="shared" si="38"/>
        <v>6896</v>
      </c>
      <c r="AO27" s="98">
        <f t="shared" si="24"/>
        <v>23473.882000000001</v>
      </c>
      <c r="AP27" s="98">
        <f t="shared" ref="AP27" si="39">AP12+AP22+AP23+AP25+AP26+AP24</f>
        <v>-22013.306000000004</v>
      </c>
      <c r="AQ27" s="100">
        <f t="shared" si="25"/>
        <v>-0.483945193534496</v>
      </c>
      <c r="AR27" s="98">
        <f t="shared" ref="AR27" si="40">AR12+AR22+AR23+AR25+AR26+AR24</f>
        <v>-11408.618</v>
      </c>
      <c r="AS27" s="124">
        <f t="shared" si="15"/>
        <v>-0.32705849638070661</v>
      </c>
      <c r="AU27" s="981"/>
      <c r="AW27" s="97" t="s">
        <v>21</v>
      </c>
      <c r="AX27" s="98">
        <f t="shared" ref="AX27:AZ27" si="41">AX12+AX22+AX23+AX25+AX26+AX24</f>
        <v>1315</v>
      </c>
      <c r="AY27" s="98">
        <f t="shared" si="41"/>
        <v>2022</v>
      </c>
      <c r="AZ27" s="98">
        <f t="shared" si="41"/>
        <v>2044</v>
      </c>
      <c r="BA27" s="98">
        <f t="shared" si="27"/>
        <v>5381</v>
      </c>
    </row>
    <row r="28" spans="2:53" ht="15" thickBot="1">
      <c r="B28" s="74" t="s">
        <v>22</v>
      </c>
      <c r="C28" s="59">
        <f>VLOOKUP(B28,'CMB_Sales volume summary'!$C$295:$AF$315,$C$2,0)</f>
        <v>52.933333333333337</v>
      </c>
      <c r="D28" s="66">
        <v>54.974119999999999</v>
      </c>
      <c r="E28" s="66">
        <v>69.094200000000001</v>
      </c>
      <c r="F28" s="67">
        <f t="shared" ref="F28" si="42">E28-C28</f>
        <v>16.160866666666664</v>
      </c>
      <c r="G28" s="68">
        <f t="shared" si="29"/>
        <v>0.30530604534005029</v>
      </c>
      <c r="H28" s="67">
        <f t="shared" ref="H28" si="43">E28-D28</f>
        <v>14.120080000000002</v>
      </c>
      <c r="I28" s="69">
        <f t="shared" si="31"/>
        <v>0.25684958667824065</v>
      </c>
      <c r="J28" s="20"/>
      <c r="K28" s="956" t="s">
        <v>22</v>
      </c>
      <c r="L28" s="40">
        <f>VLOOKUP(K28,'CMB sales Variance(15-16)'!$D$246:$R$266,$L$2,0)</f>
        <v>617.22632000000021</v>
      </c>
      <c r="M28" s="40">
        <f>VLOOKUP(K28,'CMB_Sales volume summary'!$C$320:$AF$340,$M$2,0)</f>
        <v>697.27639999999997</v>
      </c>
      <c r="N28" s="71">
        <f>AO28</f>
        <v>527.49062000000004</v>
      </c>
      <c r="O28" s="93">
        <f>N28-M28</f>
        <v>-169.78577999999993</v>
      </c>
      <c r="P28" s="157">
        <f>IFERROR(O28/M28,"-")</f>
        <v>-0.24349853228934742</v>
      </c>
      <c r="Q28" s="93">
        <f>N28-L28</f>
        <v>-89.735700000000179</v>
      </c>
      <c r="R28" s="79">
        <f t="shared" si="2"/>
        <v>-0.1453854074142531</v>
      </c>
      <c r="T28" s="981"/>
      <c r="U28" s="177" t="s">
        <v>50</v>
      </c>
      <c r="V28" s="176">
        <v>182.17516000000001</v>
      </c>
      <c r="W28" s="91">
        <v>185.42000000000002</v>
      </c>
      <c r="X28" s="71">
        <v>46.030900000000003</v>
      </c>
      <c r="Y28" s="59">
        <v>33.85</v>
      </c>
      <c r="Z28" s="66">
        <f>E28</f>
        <v>69.094200000000001</v>
      </c>
      <c r="AA28" s="91">
        <f t="shared" si="20"/>
        <v>148.9751</v>
      </c>
      <c r="AB28" s="96">
        <f>AA28-W28</f>
        <v>-36.444900000000018</v>
      </c>
      <c r="AC28" s="90">
        <f>IFERROR(AB28/W28,"-")</f>
        <v>-0.19655323050372137</v>
      </c>
      <c r="AD28" s="96">
        <f t="shared" si="22"/>
        <v>-33.200060000000008</v>
      </c>
      <c r="AE28" s="108">
        <f t="shared" si="13"/>
        <v>-0.18224251868366692</v>
      </c>
      <c r="AH28" s="177" t="s">
        <v>50</v>
      </c>
      <c r="AI28" s="176">
        <v>617</v>
      </c>
      <c r="AJ28" s="91">
        <v>697</v>
      </c>
      <c r="AK28" s="91">
        <v>109.95486</v>
      </c>
      <c r="AL28" s="71">
        <v>130.04514</v>
      </c>
      <c r="AM28" s="91">
        <v>138.51551999999998</v>
      </c>
      <c r="AN28" s="91">
        <f>AA28</f>
        <v>148.9751</v>
      </c>
      <c r="AO28" s="91">
        <f t="shared" si="24"/>
        <v>527.49062000000004</v>
      </c>
      <c r="AP28" s="96">
        <f>AO28-AJ28</f>
        <v>-169.50937999999996</v>
      </c>
      <c r="AQ28" s="160">
        <f t="shared" si="25"/>
        <v>-0.2431985365853658</v>
      </c>
      <c r="AR28" s="96">
        <f t="shared" ref="AR28" si="44">AO28-AI28</f>
        <v>-89.509379999999965</v>
      </c>
      <c r="AS28" s="162">
        <f t="shared" si="15"/>
        <v>-0.14507192868719609</v>
      </c>
      <c r="AU28" s="981"/>
      <c r="AW28" s="177" t="s">
        <v>50</v>
      </c>
      <c r="AX28" s="71">
        <f>5533984/10^5</f>
        <v>55.339840000000002</v>
      </c>
      <c r="AY28" s="59">
        <f>1646000/10^5</f>
        <v>16.46</v>
      </c>
      <c r="AZ28" s="66">
        <f>1440000/10^5</f>
        <v>14.4</v>
      </c>
      <c r="BA28" s="91">
        <f t="shared" si="27"/>
        <v>86.199840000000009</v>
      </c>
    </row>
    <row r="29" spans="2:53" ht="21" customHeight="1" thickBot="1">
      <c r="B29" s="85" t="s">
        <v>21</v>
      </c>
      <c r="C29" s="86">
        <f>SUM(C28:C28)</f>
        <v>52.933333333333337</v>
      </c>
      <c r="D29" s="86">
        <f>SUM(D28:D28)</f>
        <v>54.974119999999999</v>
      </c>
      <c r="E29" s="86">
        <f>SUM(E28:E28)</f>
        <v>69.094200000000001</v>
      </c>
      <c r="F29" s="86">
        <f>SUM(F28:F28)</f>
        <v>16.160866666666664</v>
      </c>
      <c r="G29" s="87">
        <f t="shared" si="29"/>
        <v>0.30530604534005029</v>
      </c>
      <c r="H29" s="86">
        <f>SUM(H28:H28)</f>
        <v>14.120080000000002</v>
      </c>
      <c r="I29" s="88">
        <f t="shared" ref="I29" si="45">IFERROR(H29/D29,"-")</f>
        <v>0.25684958667824065</v>
      </c>
      <c r="J29" s="20"/>
      <c r="K29" s="110" t="s">
        <v>21</v>
      </c>
      <c r="L29" s="111">
        <f>SUM(L28:L28)</f>
        <v>617.22632000000021</v>
      </c>
      <c r="M29" s="111">
        <f>SUM(M28:M28)</f>
        <v>697.27639999999997</v>
      </c>
      <c r="N29" s="111">
        <f>SUM(N28:N28)</f>
        <v>527.49062000000004</v>
      </c>
      <c r="O29" s="111">
        <f>SUM(O28:O28)</f>
        <v>-169.78577999999993</v>
      </c>
      <c r="P29" s="112">
        <f t="shared" si="18"/>
        <v>-0.24349853228934742</v>
      </c>
      <c r="Q29" s="111">
        <f>SUM(Q28:Q28)</f>
        <v>-89.735700000000179</v>
      </c>
      <c r="R29" s="163">
        <f t="shared" si="2"/>
        <v>-0.1453854074142531</v>
      </c>
      <c r="T29" s="981"/>
      <c r="U29" s="97" t="s">
        <v>21</v>
      </c>
      <c r="V29" s="98">
        <f>SUM(V28:V28)</f>
        <v>182.17516000000001</v>
      </c>
      <c r="W29" s="98">
        <f>SUM(W28:W28)</f>
        <v>185.42000000000002</v>
      </c>
      <c r="X29" s="98">
        <f t="shared" ref="X29:Z29" si="46">SUM(X28:X28)</f>
        <v>46.030900000000003</v>
      </c>
      <c r="Y29" s="98">
        <f t="shared" si="46"/>
        <v>33.85</v>
      </c>
      <c r="Z29" s="98">
        <f t="shared" si="46"/>
        <v>69.094200000000001</v>
      </c>
      <c r="AA29" s="98">
        <f t="shared" si="20"/>
        <v>148.9751</v>
      </c>
      <c r="AB29" s="98">
        <f>SUM(AB28:AB28)</f>
        <v>-36.444900000000018</v>
      </c>
      <c r="AC29" s="100">
        <f t="shared" si="21"/>
        <v>-0.19655323050372137</v>
      </c>
      <c r="AD29" s="98">
        <f>SUM(AD28:AD28)</f>
        <v>-33.200060000000008</v>
      </c>
      <c r="AE29" s="178">
        <f t="shared" si="13"/>
        <v>-0.18224251868366692</v>
      </c>
      <c r="AH29" s="97" t="s">
        <v>21</v>
      </c>
      <c r="AI29" s="98">
        <f>SUM(AI28:AI28)</f>
        <v>617</v>
      </c>
      <c r="AJ29" s="98">
        <f>SUM(AJ28:AJ28)</f>
        <v>697</v>
      </c>
      <c r="AK29" s="98">
        <f t="shared" ref="AK29:AN29" si="47">SUM(AK28:AK28)</f>
        <v>109.95486</v>
      </c>
      <c r="AL29" s="98">
        <f t="shared" si="47"/>
        <v>130.04514</v>
      </c>
      <c r="AM29" s="98">
        <f t="shared" si="47"/>
        <v>138.51551999999998</v>
      </c>
      <c r="AN29" s="98">
        <f t="shared" si="47"/>
        <v>148.9751</v>
      </c>
      <c r="AO29" s="98">
        <f t="shared" si="24"/>
        <v>527.49062000000004</v>
      </c>
      <c r="AP29" s="98">
        <f>SUM(AP28:AP28)</f>
        <v>-169.50937999999996</v>
      </c>
      <c r="AQ29" s="100">
        <f t="shared" si="25"/>
        <v>-0.2431985365853658</v>
      </c>
      <c r="AR29" s="98">
        <f>SUM(AR28:AR28)</f>
        <v>-89.509379999999965</v>
      </c>
      <c r="AS29" s="676">
        <f t="shared" si="15"/>
        <v>-0.14507192868719609</v>
      </c>
      <c r="AU29" s="981"/>
      <c r="AW29" s="97" t="s">
        <v>21</v>
      </c>
      <c r="AX29" s="98">
        <f t="shared" ref="AX29:AZ29" si="48">SUM(AX28:AX28)</f>
        <v>55.339840000000002</v>
      </c>
      <c r="AY29" s="98">
        <f t="shared" si="48"/>
        <v>16.46</v>
      </c>
      <c r="AZ29" s="98">
        <f t="shared" si="48"/>
        <v>14.4</v>
      </c>
      <c r="BA29" s="98">
        <f t="shared" si="27"/>
        <v>86.199840000000009</v>
      </c>
    </row>
    <row r="30" spans="2:53">
      <c r="B30" s="20"/>
      <c r="C30" s="20"/>
      <c r="D30" s="20"/>
      <c r="E30" s="20"/>
      <c r="F30" s="22"/>
      <c r="G30" s="20"/>
      <c r="H30" s="22"/>
      <c r="I30" s="22"/>
      <c r="J30" s="20">
        <f t="shared" ref="J30" si="49">N30</f>
        <v>0</v>
      </c>
      <c r="K30" s="20"/>
      <c r="L30" s="4"/>
      <c r="N30" s="4"/>
      <c r="O30" s="4"/>
      <c r="P30" s="45"/>
      <c r="Q30" s="21"/>
      <c r="R30" s="45"/>
      <c r="T30" s="981"/>
      <c r="AU30" s="981"/>
    </row>
    <row r="31" spans="2:53">
      <c r="B31" s="1028" t="s">
        <v>23</v>
      </c>
      <c r="C31" s="58">
        <f>VLOOKUP(B31,'CMB_Sales volume summary'!$C$295:$AF$315,$C$2,0)</f>
        <v>25</v>
      </c>
      <c r="D31" s="58"/>
      <c r="E31" s="58">
        <v>76.440000000000012</v>
      </c>
      <c r="F31" s="58">
        <f>E31-C31</f>
        <v>51.440000000000012</v>
      </c>
      <c r="G31" s="58">
        <f t="shared" ref="G31" si="50">IFERROR(F31/C31,"-")</f>
        <v>2.0576000000000003</v>
      </c>
      <c r="H31" s="58">
        <f>E31-D31</f>
        <v>76.440000000000012</v>
      </c>
      <c r="I31" s="58" t="str">
        <f>IFERROR(H31/D31,"-")</f>
        <v>-</v>
      </c>
      <c r="J31" s="20"/>
      <c r="K31" s="39" t="s">
        <v>23</v>
      </c>
      <c r="L31" s="53">
        <f>VLOOKUP(K31,'CMB sales Variance(15-16)'!$D$246:$R$266,$L$2,0)</f>
        <v>543.14599999999996</v>
      </c>
      <c r="M31" s="53">
        <f>VLOOKUP(K31,'CMB_Sales volume summary'!$C$320:$AF$340,$M$2,0)</f>
        <v>300</v>
      </c>
      <c r="N31" s="53">
        <v>468.21999999999997</v>
      </c>
      <c r="O31" s="53">
        <f>N31-M31</f>
        <v>168.21999999999997</v>
      </c>
      <c r="P31" s="966">
        <f>O31/M31</f>
        <v>0.56073333333333319</v>
      </c>
      <c r="Q31" s="53">
        <f>N31-L31</f>
        <v>-74.925999999999988</v>
      </c>
      <c r="R31" s="966">
        <f>Q31/L31</f>
        <v>-0.13794817599687745</v>
      </c>
      <c r="S31" s="24"/>
      <c r="AU31" s="981"/>
    </row>
    <row r="32" spans="2:53" ht="15" thickBot="1">
      <c r="B32" s="20"/>
      <c r="C32" s="20"/>
      <c r="D32" s="20"/>
      <c r="E32" s="20"/>
      <c r="F32" s="22"/>
      <c r="G32" s="20"/>
      <c r="H32" s="22"/>
      <c r="I32" s="22"/>
      <c r="J32" s="20"/>
      <c r="K32" s="20"/>
      <c r="M32" s="21"/>
      <c r="N32" s="21"/>
      <c r="O32" s="21"/>
      <c r="P32" s="22"/>
      <c r="Q32" s="21"/>
      <c r="R32" s="22"/>
      <c r="AU32" s="981"/>
    </row>
    <row r="33" spans="2:53" ht="15" thickBot="1">
      <c r="B33" s="673" t="s">
        <v>575</v>
      </c>
      <c r="C33" s="972">
        <v>491</v>
      </c>
      <c r="D33" s="972">
        <v>150</v>
      </c>
      <c r="E33" s="972">
        <v>200</v>
      </c>
      <c r="F33" s="1003">
        <f>E33-D33</f>
        <v>50</v>
      </c>
      <c r="J33" s="20"/>
      <c r="K33" s="673" t="s">
        <v>575</v>
      </c>
      <c r="L33" s="972"/>
      <c r="M33" s="975">
        <v>5729</v>
      </c>
      <c r="N33" s="999">
        <v>2711</v>
      </c>
      <c r="O33" s="1001">
        <f t="shared" ref="O33:O36" si="51">N33-M33</f>
        <v>-3018</v>
      </c>
      <c r="U33" s="203" t="s">
        <v>78</v>
      </c>
      <c r="Z33" s="71">
        <f t="shared" ref="Z33" si="52">E33</f>
        <v>200</v>
      </c>
      <c r="AH33" s="203" t="s">
        <v>78</v>
      </c>
      <c r="AI33" s="2">
        <v>194</v>
      </c>
      <c r="AU33" s="981"/>
      <c r="AW33" s="203"/>
      <c r="AZ33" s="71">
        <f>AG33</f>
        <v>0</v>
      </c>
    </row>
    <row r="34" spans="2:53">
      <c r="B34" s="674" t="s">
        <v>576</v>
      </c>
      <c r="C34" s="973">
        <v>25</v>
      </c>
      <c r="D34" s="973">
        <v>91</v>
      </c>
      <c r="E34" s="973">
        <v>42</v>
      </c>
      <c r="F34" s="1004">
        <f t="shared" ref="F34:F37" si="53">E34-D34</f>
        <v>-49</v>
      </c>
      <c r="K34" s="674" t="s">
        <v>576</v>
      </c>
      <c r="L34" s="973"/>
      <c r="M34" s="976">
        <f>175+C34</f>
        <v>200</v>
      </c>
      <c r="N34" s="998">
        <v>269</v>
      </c>
      <c r="O34" s="1002">
        <f t="shared" si="51"/>
        <v>69</v>
      </c>
      <c r="U34" s="203" t="s">
        <v>79</v>
      </c>
      <c r="AH34" s="203" t="s">
        <v>79</v>
      </c>
      <c r="AI34" s="2">
        <v>306</v>
      </c>
      <c r="AU34" s="981"/>
      <c r="AW34" s="203"/>
    </row>
    <row r="35" spans="2:53">
      <c r="B35" s="674" t="s">
        <v>80</v>
      </c>
      <c r="C35" s="973">
        <v>24</v>
      </c>
      <c r="D35" s="973">
        <v>62</v>
      </c>
      <c r="E35" s="973">
        <v>84</v>
      </c>
      <c r="F35" s="1004">
        <f t="shared" si="53"/>
        <v>22</v>
      </c>
      <c r="K35" s="674" t="s">
        <v>80</v>
      </c>
      <c r="L35" s="973"/>
      <c r="M35" s="976">
        <v>350</v>
      </c>
      <c r="N35" s="998">
        <v>610</v>
      </c>
      <c r="O35" s="1002">
        <f t="shared" si="51"/>
        <v>260</v>
      </c>
      <c r="U35" s="203"/>
      <c r="AH35" s="203"/>
      <c r="AU35" s="981"/>
      <c r="AW35" s="203"/>
    </row>
    <row r="36" spans="2:53">
      <c r="B36" s="674" t="s">
        <v>79</v>
      </c>
      <c r="C36" s="973">
        <v>0</v>
      </c>
      <c r="D36" s="973">
        <v>67</v>
      </c>
      <c r="E36" s="973">
        <v>59</v>
      </c>
      <c r="F36" s="1004">
        <f t="shared" si="53"/>
        <v>-8</v>
      </c>
      <c r="K36" s="674" t="s">
        <v>79</v>
      </c>
      <c r="L36" s="973"/>
      <c r="M36" s="976"/>
      <c r="N36" s="998">
        <v>194</v>
      </c>
      <c r="O36" s="1002">
        <f t="shared" si="51"/>
        <v>194</v>
      </c>
      <c r="U36" s="203"/>
      <c r="AH36" s="203"/>
      <c r="AU36" s="981"/>
      <c r="AW36" s="203"/>
    </row>
    <row r="37" spans="2:53">
      <c r="B37" s="675" t="s">
        <v>372</v>
      </c>
      <c r="C37" s="974"/>
      <c r="D37" s="974"/>
      <c r="E37" s="974"/>
      <c r="F37" s="1005">
        <f t="shared" si="53"/>
        <v>0</v>
      </c>
      <c r="K37" s="675" t="s">
        <v>372</v>
      </c>
      <c r="L37" s="974"/>
      <c r="M37" s="974">
        <v>360.10075000000001</v>
      </c>
      <c r="N37" s="974">
        <v>433.64299999999997</v>
      </c>
      <c r="O37" s="1000"/>
      <c r="U37" s="203"/>
      <c r="AH37" s="203"/>
      <c r="AU37" s="981"/>
      <c r="AW37" s="203"/>
    </row>
    <row r="38" spans="2:53" ht="15" thickBot="1">
      <c r="AU38" s="981"/>
    </row>
    <row r="39" spans="2:53" ht="15.75" customHeight="1" thickBot="1">
      <c r="B39" s="1034" t="str">
        <f>B8</f>
        <v>FTM  March'17</v>
      </c>
      <c r="C39" s="1035"/>
      <c r="D39" s="1035"/>
      <c r="E39" s="1035"/>
      <c r="F39" s="1035"/>
      <c r="G39" s="1035"/>
      <c r="H39" s="1035"/>
      <c r="I39" s="1036"/>
      <c r="J39" s="8"/>
      <c r="K39" s="1031" t="str">
        <f>K8</f>
        <v>YTD March '17</v>
      </c>
      <c r="L39" s="1032"/>
      <c r="M39" s="1032"/>
      <c r="N39" s="1032"/>
      <c r="O39" s="1032"/>
      <c r="P39" s="1032"/>
      <c r="Q39" s="1032"/>
      <c r="R39" s="1033"/>
      <c r="U39" s="1031" t="str">
        <f>U8</f>
        <v>Estimates ( Jan'17 to Mar'17)</v>
      </c>
      <c r="V39" s="1032"/>
      <c r="W39" s="1032"/>
      <c r="X39" s="1032"/>
      <c r="Y39" s="1032"/>
      <c r="Z39" s="1032"/>
      <c r="AA39" s="1032"/>
      <c r="AB39" s="1032"/>
      <c r="AC39" s="1032"/>
      <c r="AD39" s="1032"/>
      <c r="AE39" s="1033"/>
      <c r="AH39" s="1031" t="str">
        <f>AH8</f>
        <v>Estimates ( April 16 to March 17)</v>
      </c>
      <c r="AI39" s="1032"/>
      <c r="AJ39" s="1032"/>
      <c r="AK39" s="1032"/>
      <c r="AL39" s="1032"/>
      <c r="AM39" s="1032"/>
      <c r="AN39" s="1032"/>
      <c r="AO39" s="1032"/>
      <c r="AP39" s="1032"/>
      <c r="AQ39" s="1032"/>
      <c r="AR39" s="1032"/>
      <c r="AS39" s="1033"/>
      <c r="AU39" s="981"/>
      <c r="AW39" s="1031" t="str">
        <f>AW8</f>
        <v>Estimates ( Apr'17 to Jun'17)</v>
      </c>
      <c r="AX39" s="1032"/>
      <c r="AY39" s="1032"/>
      <c r="AZ39" s="1032"/>
      <c r="BA39" s="1033"/>
    </row>
    <row r="40" spans="2:53">
      <c r="B40" s="8"/>
      <c r="C40" s="8"/>
      <c r="D40" s="8"/>
      <c r="E40" s="8"/>
      <c r="F40" s="9"/>
      <c r="G40" s="8"/>
      <c r="H40" s="9"/>
      <c r="I40" s="9"/>
      <c r="J40" s="8"/>
      <c r="K40" s="8"/>
      <c r="L40" s="180"/>
      <c r="M40" s="10"/>
      <c r="N40" s="11"/>
      <c r="O40" s="11"/>
      <c r="P40" s="9"/>
      <c r="Q40" s="11"/>
      <c r="R40" s="9"/>
      <c r="U40" s="8"/>
      <c r="V40" s="8"/>
      <c r="W40" s="10"/>
      <c r="X40" s="10"/>
      <c r="Y40" s="10"/>
      <c r="Z40" s="10"/>
      <c r="AA40" s="11"/>
      <c r="AB40" s="11"/>
      <c r="AC40" s="9"/>
      <c r="AD40" s="9"/>
      <c r="AE40" s="11"/>
      <c r="AH40" s="8"/>
      <c r="AI40" s="8"/>
      <c r="AJ40" s="10"/>
      <c r="AK40" s="10"/>
      <c r="AL40" s="10"/>
      <c r="AM40" s="10"/>
      <c r="AN40" s="10"/>
      <c r="AO40" s="11"/>
      <c r="AP40" s="11"/>
      <c r="AQ40" s="9"/>
      <c r="AR40" s="9"/>
      <c r="AS40" s="11"/>
      <c r="AU40" s="981"/>
      <c r="AW40" s="8"/>
      <c r="AX40" s="10"/>
      <c r="AY40" s="10"/>
      <c r="AZ40" s="10"/>
      <c r="BA40" s="11"/>
    </row>
    <row r="41" spans="2:53" ht="15.75" thickBot="1">
      <c r="B41" s="12" t="s">
        <v>24</v>
      </c>
      <c r="C41" s="8"/>
      <c r="D41" s="8"/>
      <c r="E41" s="8"/>
      <c r="F41" s="9"/>
      <c r="G41" s="8"/>
      <c r="H41" s="13" t="s">
        <v>5</v>
      </c>
      <c r="I41" s="125"/>
      <c r="J41" s="8"/>
      <c r="K41" s="12" t="s">
        <v>24</v>
      </c>
      <c r="L41" s="180"/>
      <c r="M41" s="10"/>
      <c r="N41" s="11"/>
      <c r="O41" s="11"/>
      <c r="P41" s="164"/>
      <c r="Q41" s="11"/>
      <c r="R41" s="125" t="s">
        <v>58</v>
      </c>
      <c r="U41" s="12" t="s">
        <v>24</v>
      </c>
      <c r="V41" s="8"/>
      <c r="W41" s="10"/>
      <c r="X41" s="10"/>
      <c r="Y41" s="10"/>
      <c r="Z41" s="10"/>
      <c r="AA41" s="11"/>
      <c r="AB41" s="11"/>
      <c r="AC41" s="14" t="s">
        <v>67</v>
      </c>
      <c r="AD41" s="14"/>
      <c r="AE41" s="5"/>
      <c r="AH41" s="12" t="s">
        <v>24</v>
      </c>
      <c r="AI41" s="8"/>
      <c r="AJ41" s="10"/>
      <c r="AK41" s="10"/>
      <c r="AL41" s="10"/>
      <c r="AM41" s="10"/>
      <c r="AN41" s="10"/>
      <c r="AO41" s="11"/>
      <c r="AP41" s="11"/>
      <c r="AQ41" s="14" t="s">
        <v>67</v>
      </c>
      <c r="AR41" s="14"/>
      <c r="AS41" s="5"/>
      <c r="AU41" s="981"/>
      <c r="AW41" s="12" t="s">
        <v>24</v>
      </c>
      <c r="AX41" s="10"/>
      <c r="AY41" s="10"/>
      <c r="AZ41" s="10"/>
      <c r="BA41" s="11"/>
    </row>
    <row r="42" spans="2:53" ht="45" customHeight="1" thickBot="1">
      <c r="B42" s="75" t="s">
        <v>6</v>
      </c>
      <c r="C42" s="76" t="s">
        <v>7</v>
      </c>
      <c r="D42" s="76" t="s">
        <v>8</v>
      </c>
      <c r="E42" s="76" t="s">
        <v>0</v>
      </c>
      <c r="F42" s="76" t="s">
        <v>9</v>
      </c>
      <c r="G42" s="76" t="s">
        <v>10</v>
      </c>
      <c r="H42" s="76" t="s">
        <v>11</v>
      </c>
      <c r="I42" s="77" t="s">
        <v>10</v>
      </c>
      <c r="K42" s="75" t="s">
        <v>6</v>
      </c>
      <c r="L42" s="103" t="s">
        <v>12</v>
      </c>
      <c r="M42" s="103" t="s">
        <v>7</v>
      </c>
      <c r="N42" s="103" t="s">
        <v>0</v>
      </c>
      <c r="O42" s="102" t="s">
        <v>9</v>
      </c>
      <c r="P42" s="104" t="s">
        <v>10</v>
      </c>
      <c r="Q42" s="102" t="s">
        <v>13</v>
      </c>
      <c r="R42" s="104" t="s">
        <v>14</v>
      </c>
      <c r="U42" s="148" t="s">
        <v>6</v>
      </c>
      <c r="V42" s="149" t="str">
        <f>V11</f>
        <v>P.Y</v>
      </c>
      <c r="W42" s="149" t="str">
        <f t="shared" ref="W42:AE42" si="54">W11</f>
        <v>ABP</v>
      </c>
      <c r="X42" s="149" t="str">
        <f t="shared" si="54"/>
        <v>JAN (ACT)</v>
      </c>
      <c r="Y42" s="149" t="str">
        <f t="shared" si="54"/>
        <v>FEB (ACT)</v>
      </c>
      <c r="Z42" s="149" t="str">
        <f t="shared" si="54"/>
        <v>MAR (Actual)</v>
      </c>
      <c r="AA42" s="149" t="str">
        <f t="shared" si="54"/>
        <v>DQ                   ( EST)</v>
      </c>
      <c r="AB42" s="149" t="str">
        <f t="shared" si="54"/>
        <v>Variance             ( ABP  Vs SNOP)</v>
      </c>
      <c r="AC42" s="149" t="str">
        <f t="shared" si="54"/>
        <v>%</v>
      </c>
      <c r="AD42" s="149" t="str">
        <f t="shared" si="54"/>
        <v>Variance           ( PY Vs SNOP)</v>
      </c>
      <c r="AE42" s="149" t="str">
        <f t="shared" si="54"/>
        <v>% of Change over P.Y</v>
      </c>
      <c r="AH42" s="148" t="s">
        <v>6</v>
      </c>
      <c r="AI42" s="149" t="str">
        <f>AI11</f>
        <v>P.Y ( 15-16)</v>
      </c>
      <c r="AJ42" s="149" t="str">
        <f t="shared" ref="AJ42:AS42" si="55">AJ11</f>
        <v>ABP ( 16-17)</v>
      </c>
      <c r="AK42" s="149" t="str">
        <f t="shared" si="55"/>
        <v>Q1</v>
      </c>
      <c r="AL42" s="149" t="str">
        <f t="shared" si="55"/>
        <v>Q2</v>
      </c>
      <c r="AM42" s="149" t="str">
        <f t="shared" si="55"/>
        <v>Q3</v>
      </c>
      <c r="AN42" s="149" t="str">
        <f t="shared" si="55"/>
        <v>Q4</v>
      </c>
      <c r="AO42" s="149" t="str">
        <f t="shared" si="55"/>
        <v>ACT 16-17</v>
      </c>
      <c r="AP42" s="149" t="str">
        <f t="shared" si="55"/>
        <v>Variance             ( ABP  Vs ACT)</v>
      </c>
      <c r="AQ42" s="149" t="str">
        <f t="shared" si="55"/>
        <v>%</v>
      </c>
      <c r="AR42" s="149" t="str">
        <f t="shared" si="55"/>
        <v>Variance           ( PY Vs ACT)</v>
      </c>
      <c r="AS42" s="149" t="str">
        <f t="shared" si="55"/>
        <v>% of Change over P.Y</v>
      </c>
      <c r="AU42" s="981"/>
      <c r="AW42" s="148" t="s">
        <v>6</v>
      </c>
      <c r="AX42" s="149" t="str">
        <f t="shared" ref="AX42:BA42" si="56">AX11</f>
        <v>Apr (SNOP)</v>
      </c>
      <c r="AY42" s="149" t="str">
        <f t="shared" si="56"/>
        <v>May (SNOP)</v>
      </c>
      <c r="AZ42" s="149" t="str">
        <f t="shared" si="56"/>
        <v>June (SNOP)</v>
      </c>
      <c r="BA42" s="149" t="str">
        <f t="shared" si="56"/>
        <v>DQ                   ( EST)</v>
      </c>
    </row>
    <row r="43" spans="2:53" s="18" customFormat="1" ht="18.75" customHeight="1" thickBot="1">
      <c r="B43" s="70" t="s">
        <v>55</v>
      </c>
      <c r="C43" s="127">
        <f>SUM(C44:C52)</f>
        <v>18.619575606630946</v>
      </c>
      <c r="D43" s="127">
        <f>SUM(D44:D52)</f>
        <v>19.82</v>
      </c>
      <c r="E43" s="127">
        <f>SUM(E44:E52)</f>
        <v>19.07</v>
      </c>
      <c r="F43" s="128">
        <f>E43-C43</f>
        <v>0.4504243933690546</v>
      </c>
      <c r="G43" s="123">
        <f>IFERROR(F43/C43,"-")</f>
        <v>2.4190905468793069E-2</v>
      </c>
      <c r="H43" s="128">
        <f>E43-D43</f>
        <v>-0.75</v>
      </c>
      <c r="I43" s="124">
        <f>IFERROR(H43/D43,"-")</f>
        <v>-3.7840565085771945E-2</v>
      </c>
      <c r="J43" s="23"/>
      <c r="K43" s="70" t="s">
        <v>55</v>
      </c>
      <c r="L43" s="127">
        <f>SUM(L44:L52)</f>
        <v>203.83445655999998</v>
      </c>
      <c r="M43" s="127">
        <f t="shared" ref="M43" si="57">SUM(M44:M52)</f>
        <v>222.36137464832944</v>
      </c>
      <c r="N43" s="127">
        <f t="shared" ref="N43" si="58">SUM(N44:N52)</f>
        <v>192.56</v>
      </c>
      <c r="O43" s="139">
        <f>N43-M43</f>
        <v>-29.801374648329443</v>
      </c>
      <c r="P43" s="124">
        <f>IFERROR(O43/M43,"-")</f>
        <v>-0.13402226306372286</v>
      </c>
      <c r="Q43" s="139">
        <f t="shared" ref="Q43:Q60" si="59">N43-L43</f>
        <v>-11.274456559999976</v>
      </c>
      <c r="R43" s="124">
        <f t="shared" ref="R43:R61" si="60">IFERROR(Q43/L43,"-")</f>
        <v>-5.5311828776511432E-2</v>
      </c>
      <c r="U43" s="152" t="s">
        <v>15</v>
      </c>
      <c r="V43" s="169">
        <f>SUM(V44:V52)</f>
        <v>42.623224456999992</v>
      </c>
      <c r="W43" s="169">
        <f t="shared" ref="W43:AB43" si="61">SUM(W44:W52)</f>
        <v>56.722946832260583</v>
      </c>
      <c r="X43" s="169">
        <f t="shared" si="61"/>
        <v>18.149999999999999</v>
      </c>
      <c r="Y43" s="169">
        <f t="shared" si="61"/>
        <v>15.88</v>
      </c>
      <c r="Z43" s="169">
        <f t="shared" si="61"/>
        <v>19.07</v>
      </c>
      <c r="AA43" s="169">
        <f t="shared" si="61"/>
        <v>53.1</v>
      </c>
      <c r="AB43" s="169">
        <f t="shared" si="61"/>
        <v>-3.6229468322605847</v>
      </c>
      <c r="AC43" s="154">
        <f>IFERROR(AB43/W43,"-")</f>
        <v>-6.3870920581299409E-2</v>
      </c>
      <c r="AD43" s="169">
        <f t="shared" ref="AD43" si="62">SUM(AD44:AD52)</f>
        <v>10.476775543000002</v>
      </c>
      <c r="AE43" s="155">
        <f>IFERROR(AA43/V43-1,0)</f>
        <v>0.24579969433259086</v>
      </c>
      <c r="AH43" s="152" t="s">
        <v>15</v>
      </c>
      <c r="AI43" s="169">
        <f>SUM(AI44:AI52)</f>
        <v>203.83000000000004</v>
      </c>
      <c r="AJ43" s="169">
        <f t="shared" ref="AJ43:AP43" si="63">SUM(AJ44:AJ52)</f>
        <v>222.36434733213792</v>
      </c>
      <c r="AK43" s="169">
        <f t="shared" si="63"/>
        <v>48.847117680190337</v>
      </c>
      <c r="AL43" s="169">
        <f t="shared" si="63"/>
        <v>45.686272200060365</v>
      </c>
      <c r="AM43" s="169">
        <f t="shared" si="63"/>
        <v>44.945395044000001</v>
      </c>
      <c r="AN43" s="169">
        <f t="shared" si="63"/>
        <v>53.082189166000006</v>
      </c>
      <c r="AO43" s="169">
        <f t="shared" si="63"/>
        <v>192.56097409025068</v>
      </c>
      <c r="AP43" s="169">
        <f t="shared" si="63"/>
        <v>-29.803373241887162</v>
      </c>
      <c r="AQ43" s="156">
        <f>IFERROR(AP43/AJ43,"-")</f>
        <v>-0.134029459306131</v>
      </c>
      <c r="AR43" s="169">
        <f t="shared" ref="AR43" si="64">SUM(AR44:AR52)</f>
        <v>-11.269025909749292</v>
      </c>
      <c r="AS43" s="161">
        <f>IFERROR(AO43/AI43-1,0)</f>
        <v>-5.5286395082909112E-2</v>
      </c>
      <c r="AU43" s="981"/>
      <c r="AW43" s="152" t="s">
        <v>15</v>
      </c>
      <c r="AX43" s="169">
        <f t="shared" ref="AX43:BA43" si="65">SUM(AX44:AX52)</f>
        <v>9.07</v>
      </c>
      <c r="AY43" s="169">
        <f t="shared" si="65"/>
        <v>16.86</v>
      </c>
      <c r="AZ43" s="169">
        <f t="shared" si="65"/>
        <v>10.66</v>
      </c>
      <c r="BA43" s="169">
        <f t="shared" si="65"/>
        <v>36.590000000000011</v>
      </c>
    </row>
    <row r="44" spans="2:53" ht="18.75" customHeight="1">
      <c r="B44" s="78" t="s">
        <v>26</v>
      </c>
      <c r="C44" s="129">
        <f>VLOOKUP(B44,'CMB_Sales volume summary'!$C$295:$BE$315,$C$3,0)</f>
        <v>11.60581579626357</v>
      </c>
      <c r="D44" s="129">
        <v>10.3</v>
      </c>
      <c r="E44" s="165">
        <v>10.4</v>
      </c>
      <c r="F44" s="130">
        <f t="shared" ref="F44:F56" si="66">E44-C44</f>
        <v>-1.20581579626357</v>
      </c>
      <c r="G44" s="64">
        <f t="shared" ref="G44:G56" si="67">IFERROR(F44/C44,"-")</f>
        <v>-0.10389754735309309</v>
      </c>
      <c r="H44" s="130">
        <f t="shared" ref="H44:H56" si="68">E44-D44</f>
        <v>9.9999999999999645E-2</v>
      </c>
      <c r="I44" s="79">
        <f>IFERROR(H44/D44,"-")</f>
        <v>9.7087378640776344E-3</v>
      </c>
      <c r="J44" s="20"/>
      <c r="K44" s="78" t="s">
        <v>26</v>
      </c>
      <c r="L44" s="129">
        <f>VLOOKUP(K44,'CMB sales Variance(15-16)'!$D$246:$CR$266,$L$3,0)</f>
        <v>116.451875063</v>
      </c>
      <c r="M44" s="129">
        <f>VLOOKUP(K44,'CMB_Sales volume summary'!$C$320:$AY$340,$M$3,0)</f>
        <v>127.86342137176305</v>
      </c>
      <c r="N44" s="48">
        <f>AO44</f>
        <v>98.164909650250706</v>
      </c>
      <c r="O44" s="140">
        <f t="shared" ref="O44" si="69">N44-M44</f>
        <v>-29.698511721512347</v>
      </c>
      <c r="P44" s="79">
        <f>IFERROR(O44/M44,"-")</f>
        <v>-0.23226745697007348</v>
      </c>
      <c r="Q44" s="140">
        <f t="shared" si="59"/>
        <v>-18.286965412749296</v>
      </c>
      <c r="R44" s="79">
        <f t="shared" si="60"/>
        <v>-0.15703452952437322</v>
      </c>
      <c r="S44" s="54"/>
      <c r="T44" s="54"/>
      <c r="U44" s="78" t="s">
        <v>26</v>
      </c>
      <c r="V44" s="129">
        <v>27.130244181999998</v>
      </c>
      <c r="W44" s="129">
        <v>30.536515634798487</v>
      </c>
      <c r="X44" s="48">
        <v>6.75</v>
      </c>
      <c r="Y44" s="48">
        <v>7.41</v>
      </c>
      <c r="Z44" s="48">
        <f>E44</f>
        <v>10.4</v>
      </c>
      <c r="AA44" s="48">
        <f>SUM(X44:Z44)</f>
        <v>24.560000000000002</v>
      </c>
      <c r="AB44" s="140">
        <f t="shared" ref="AB44:AB56" si="70">AA44-W44</f>
        <v>-5.9765156347984849</v>
      </c>
      <c r="AC44" s="64">
        <f>IFERROR(AB44/W44,"-")</f>
        <v>-0.19571701323997256</v>
      </c>
      <c r="AD44" s="140">
        <f>AA44-V44</f>
        <v>-2.5702441819999962</v>
      </c>
      <c r="AE44" s="105">
        <f t="shared" ref="AE44:AE56" si="71">IFERROR(AA44/V44-1,0)</f>
        <v>-9.4737229962171376E-2</v>
      </c>
      <c r="AH44" s="78" t="s">
        <v>26</v>
      </c>
      <c r="AI44" s="129">
        <f>116.11+0.18</f>
        <v>116.29</v>
      </c>
      <c r="AJ44" s="129">
        <v>127.86</v>
      </c>
      <c r="AK44" s="48">
        <v>29.41</v>
      </c>
      <c r="AL44" s="48">
        <v>25.643929968250699</v>
      </c>
      <c r="AM44" s="48">
        <v>18.550979681999998</v>
      </c>
      <c r="AN44" s="48">
        <f>AA44</f>
        <v>24.560000000000002</v>
      </c>
      <c r="AO44" s="48">
        <f>SUM(AK44:AN44)</f>
        <v>98.164909650250706</v>
      </c>
      <c r="AP44" s="140">
        <f t="shared" ref="AP44:AP57" si="72">AO44-AJ44</f>
        <v>-29.695090349749293</v>
      </c>
      <c r="AQ44" s="157">
        <f>IFERROR(AP44/AJ44,"-")</f>
        <v>-0.23224691341896836</v>
      </c>
      <c r="AR44" s="140">
        <f>AO44-AI44</f>
        <v>-18.1250903497493</v>
      </c>
      <c r="AS44" s="79">
        <f t="shared" ref="AS44:AS60" si="73">IFERROR(AO44/AI44-1,0)</f>
        <v>-0.15586112606199409</v>
      </c>
      <c r="AU44" s="49"/>
      <c r="AW44" s="78" t="s">
        <v>26</v>
      </c>
      <c r="AX44" s="48">
        <v>4.04</v>
      </c>
      <c r="AY44" s="48">
        <v>11.310255150103783</v>
      </c>
      <c r="AZ44" s="48">
        <v>8.0214938756468364</v>
      </c>
      <c r="BA44" s="48">
        <f>SUM(AX44:AZ44)</f>
        <v>23.371749025750621</v>
      </c>
    </row>
    <row r="45" spans="2:53" ht="18.75" customHeight="1">
      <c r="B45" s="80" t="s">
        <v>49</v>
      </c>
      <c r="C45" s="46">
        <f>VLOOKUP(B45,'CMB_Sales volume summary'!$C$295:$BE$315,$C$3,0)</f>
        <v>7.1999999999999995E-2</v>
      </c>
      <c r="D45" s="46">
        <v>8.2500000000000004E-2</v>
      </c>
      <c r="E45" s="46">
        <v>9.8866350000000033E-2</v>
      </c>
      <c r="F45" s="47">
        <f t="shared" si="66"/>
        <v>2.6866350000000039E-2</v>
      </c>
      <c r="G45" s="16">
        <f t="shared" si="67"/>
        <v>0.37314375000000055</v>
      </c>
      <c r="H45" s="47">
        <f t="shared" si="68"/>
        <v>1.6366350000000029E-2</v>
      </c>
      <c r="I45" s="81">
        <f t="shared" ref="I45:I56" si="74">IFERROR(H45/D45,"-")</f>
        <v>0.19838000000000036</v>
      </c>
      <c r="J45" s="20"/>
      <c r="K45" s="80" t="s">
        <v>49</v>
      </c>
      <c r="L45" s="129">
        <f>VLOOKUP(K45,'CMB sales Variance(15-16)'!$D$246:$CR$266,$L$3,0)</f>
        <v>8.9489208140000009</v>
      </c>
      <c r="M45" s="129">
        <f>VLOOKUP(K45,'CMB_Sales volume summary'!$C$320:$AY$340,$M$3,0)</f>
        <v>0.71999999999999986</v>
      </c>
      <c r="N45" s="48">
        <f t="shared" ref="N45:N51" si="75">AO45</f>
        <v>0.15354680000000004</v>
      </c>
      <c r="O45" s="50">
        <f t="shared" ref="O45:O52" si="76">N45-M45</f>
        <v>-0.56645319999999977</v>
      </c>
      <c r="P45" s="79">
        <f t="shared" ref="P45:P52" si="77">IFERROR(O45/M45,"-")</f>
        <v>-0.78674055555555533</v>
      </c>
      <c r="Q45" s="50">
        <f t="shared" si="59"/>
        <v>-8.7953740140000001</v>
      </c>
      <c r="R45" s="79">
        <f t="shared" si="60"/>
        <v>-0.98284186404244556</v>
      </c>
      <c r="S45" s="54"/>
      <c r="T45" s="54"/>
      <c r="U45" s="80" t="s">
        <v>49</v>
      </c>
      <c r="V45" s="129">
        <v>0.294335232</v>
      </c>
      <c r="W45" s="129">
        <v>0.21599999999999997</v>
      </c>
      <c r="X45" s="48">
        <v>0</v>
      </c>
      <c r="Y45" s="48">
        <v>5.4680449999999992E-2</v>
      </c>
      <c r="Z45" s="48">
        <f t="shared" ref="Z45:Z52" si="78">E45</f>
        <v>9.8866350000000033E-2</v>
      </c>
      <c r="AA45" s="48">
        <f t="shared" ref="AA45:AA56" si="79">SUM(X45:Z45)</f>
        <v>0.15354680000000004</v>
      </c>
      <c r="AB45" s="140">
        <f t="shared" si="70"/>
        <v>-6.2453199999999931E-2</v>
      </c>
      <c r="AC45" s="64">
        <f t="shared" ref="AC45:AC56" si="80">IFERROR(AB45/W45,"-")</f>
        <v>-0.28913518518518488</v>
      </c>
      <c r="AD45" s="140">
        <f t="shared" ref="AD45:AD56" si="81">AA45-V45</f>
        <v>-0.14078843199999996</v>
      </c>
      <c r="AE45" s="106">
        <f t="shared" si="71"/>
        <v>-0.47832680798471305</v>
      </c>
      <c r="AH45" s="80" t="s">
        <v>49</v>
      </c>
      <c r="AI45" s="129">
        <v>8.9499999999999993</v>
      </c>
      <c r="AJ45" s="129">
        <v>0.72</v>
      </c>
      <c r="AK45" s="48">
        <v>0</v>
      </c>
      <c r="AL45" s="48">
        <v>0</v>
      </c>
      <c r="AM45" s="48">
        <v>0</v>
      </c>
      <c r="AN45" s="48">
        <f t="shared" ref="AN45:AN51" si="82">AA45</f>
        <v>0.15354680000000004</v>
      </c>
      <c r="AO45" s="48">
        <f t="shared" ref="AO45:AO59" si="83">SUM(AK45:AN45)</f>
        <v>0.15354680000000004</v>
      </c>
      <c r="AP45" s="140">
        <f t="shared" si="72"/>
        <v>-0.56645319999999999</v>
      </c>
      <c r="AQ45" s="157">
        <f t="shared" ref="AQ45:AQ60" si="84">IFERROR(AP45/AJ45,"-")</f>
        <v>-0.78674055555555555</v>
      </c>
      <c r="AR45" s="140">
        <f t="shared" ref="AR45:AR57" si="85">AO45-AI45</f>
        <v>-8.7964531999999984</v>
      </c>
      <c r="AS45" s="81">
        <f t="shared" si="73"/>
        <v>-0.9828439329608939</v>
      </c>
      <c r="AU45" s="49"/>
      <c r="AW45" s="80" t="s">
        <v>49</v>
      </c>
      <c r="AX45" s="48">
        <v>6.6133649999999961E-2</v>
      </c>
      <c r="AY45" s="48">
        <v>0.16500000000000001</v>
      </c>
      <c r="AZ45" s="48">
        <v>0.41249999999999998</v>
      </c>
      <c r="BA45" s="48">
        <f t="shared" ref="BA45:BA50" si="86">SUM(AX45:AZ45)</f>
        <v>0.64363364999999995</v>
      </c>
    </row>
    <row r="46" spans="2:53" ht="18.75" customHeight="1">
      <c r="B46" s="80" t="s">
        <v>27</v>
      </c>
      <c r="C46" s="46">
        <f>VLOOKUP(B46,'CMB_Sales volume summary'!$C$295:$BE$315,$C$3,0)</f>
        <v>2.2134235580970101</v>
      </c>
      <c r="D46" s="46">
        <v>0.1082704</v>
      </c>
      <c r="E46" s="46">
        <v>0.1311264</v>
      </c>
      <c r="F46" s="47">
        <f t="shared" si="66"/>
        <v>-2.0822971580970102</v>
      </c>
      <c r="G46" s="16">
        <f t="shared" si="67"/>
        <v>-0.94075855950826881</v>
      </c>
      <c r="H46" s="47">
        <f t="shared" si="68"/>
        <v>2.2856000000000001E-2</v>
      </c>
      <c r="I46" s="81">
        <f t="shared" si="74"/>
        <v>0.21110109503613175</v>
      </c>
      <c r="J46" s="20"/>
      <c r="K46" s="80" t="s">
        <v>27</v>
      </c>
      <c r="L46" s="129">
        <f>VLOOKUP(K46,'CMB sales Variance(15-16)'!$D$246:$CR$266,$L$3,0)</f>
        <v>13.360641503999998</v>
      </c>
      <c r="M46" s="129">
        <f>VLOOKUP(K46,'CMB_Sales volume summary'!$C$320:$AY$340,$M$3,0)</f>
        <v>11.931093528775705</v>
      </c>
      <c r="N46" s="48">
        <f t="shared" si="75"/>
        <v>4.8011415459999993</v>
      </c>
      <c r="O46" s="50">
        <f t="shared" si="76"/>
        <v>-7.1299519827757054</v>
      </c>
      <c r="P46" s="79">
        <f t="shared" si="77"/>
        <v>-0.59759417404444215</v>
      </c>
      <c r="Q46" s="50">
        <f t="shared" si="59"/>
        <v>-8.559499958</v>
      </c>
      <c r="R46" s="79">
        <f t="shared" si="60"/>
        <v>-0.64065037262150915</v>
      </c>
      <c r="S46" s="54"/>
      <c r="T46" s="54"/>
      <c r="U46" s="80" t="s">
        <v>27</v>
      </c>
      <c r="V46" s="129">
        <v>1.1332619999999998</v>
      </c>
      <c r="W46" s="129">
        <v>6.1383419120459832</v>
      </c>
      <c r="X46" s="48">
        <v>8.5315679999999991E-2</v>
      </c>
      <c r="Y46" s="48">
        <v>1.01116816</v>
      </c>
      <c r="Z46" s="48">
        <f t="shared" si="78"/>
        <v>0.1311264</v>
      </c>
      <c r="AA46" s="48">
        <f t="shared" si="79"/>
        <v>1.22761024</v>
      </c>
      <c r="AB46" s="140">
        <f t="shared" si="70"/>
        <v>-4.9107316720459835</v>
      </c>
      <c r="AC46" s="64">
        <f t="shared" si="80"/>
        <v>-0.80000947200563766</v>
      </c>
      <c r="AD46" s="140">
        <f t="shared" si="81"/>
        <v>9.4348240000000194E-2</v>
      </c>
      <c r="AE46" s="106">
        <f t="shared" si="71"/>
        <v>8.3253687143838073E-2</v>
      </c>
      <c r="AH46" s="80" t="s">
        <v>27</v>
      </c>
      <c r="AI46" s="129">
        <v>13.36</v>
      </c>
      <c r="AJ46" s="129">
        <v>11.93</v>
      </c>
      <c r="AK46" s="48">
        <v>0.96</v>
      </c>
      <c r="AL46" s="48">
        <v>1.05</v>
      </c>
      <c r="AM46" s="48">
        <v>1.563531306</v>
      </c>
      <c r="AN46" s="48">
        <f t="shared" si="82"/>
        <v>1.22761024</v>
      </c>
      <c r="AO46" s="48">
        <f t="shared" si="83"/>
        <v>4.8011415459999993</v>
      </c>
      <c r="AP46" s="140">
        <f t="shared" si="72"/>
        <v>-7.1288584540000004</v>
      </c>
      <c r="AQ46" s="157">
        <f t="shared" si="84"/>
        <v>-0.59755728868398994</v>
      </c>
      <c r="AR46" s="140">
        <f t="shared" si="85"/>
        <v>-8.5588584539999992</v>
      </c>
      <c r="AS46" s="81">
        <f t="shared" si="73"/>
        <v>-0.64063311781437127</v>
      </c>
      <c r="AU46" s="49"/>
      <c r="AW46" s="80" t="s">
        <v>27</v>
      </c>
      <c r="AX46" s="48">
        <v>0.81525599999999998</v>
      </c>
      <c r="AY46" s="48">
        <v>0.50953499999999996</v>
      </c>
      <c r="AZ46" s="48">
        <v>0.61144200000000004</v>
      </c>
      <c r="BA46" s="48">
        <f t="shared" si="86"/>
        <v>1.9362329999999999</v>
      </c>
    </row>
    <row r="47" spans="2:53" ht="18.75" customHeight="1">
      <c r="B47" s="80" t="s">
        <v>53</v>
      </c>
      <c r="C47" s="46">
        <f>VLOOKUP(B47,'CMB_Sales volume summary'!$C$295:$BE$315,$C$3,0)</f>
        <v>0.60700484540187749</v>
      </c>
      <c r="D47" s="46">
        <v>2.4303313553910395</v>
      </c>
      <c r="E47" s="46">
        <v>2.6373999019999999</v>
      </c>
      <c r="F47" s="47">
        <f t="shared" si="66"/>
        <v>2.0303950565981221</v>
      </c>
      <c r="G47" s="16">
        <f t="shared" si="67"/>
        <v>3.3449404431917933</v>
      </c>
      <c r="H47" s="47">
        <f t="shared" si="68"/>
        <v>0.20706854660896035</v>
      </c>
      <c r="I47" s="81">
        <f t="shared" si="74"/>
        <v>8.5201775531404067E-2</v>
      </c>
      <c r="J47" s="20"/>
      <c r="K47" s="80" t="s">
        <v>53</v>
      </c>
      <c r="L47" s="129">
        <f>VLOOKUP(K47,'CMB sales Variance(15-16)'!$D$246:$CR$266,$L$3,0)</f>
        <v>14.85148577</v>
      </c>
      <c r="M47" s="129">
        <f>VLOOKUP(K47,'CMB_Sales volume summary'!$C$320:$AY$340,$M$3,0)</f>
        <v>12.998099363035994</v>
      </c>
      <c r="N47" s="48">
        <f t="shared" si="75"/>
        <v>15.778283957999999</v>
      </c>
      <c r="O47" s="50">
        <f t="shared" si="76"/>
        <v>2.7801845949640054</v>
      </c>
      <c r="P47" s="79">
        <f t="shared" si="77"/>
        <v>0.21389162502252418</v>
      </c>
      <c r="Q47" s="50">
        <f t="shared" si="59"/>
        <v>0.92679818799999936</v>
      </c>
      <c r="R47" s="79">
        <f t="shared" si="60"/>
        <v>6.2404408713916802E-2</v>
      </c>
      <c r="S47" s="54"/>
      <c r="T47" s="54"/>
      <c r="U47" s="80" t="s">
        <v>53</v>
      </c>
      <c r="V47" s="129">
        <v>1.987168284</v>
      </c>
      <c r="W47" s="129">
        <v>2.0190104916252114</v>
      </c>
      <c r="X47" s="48">
        <v>1.73</v>
      </c>
      <c r="Y47" s="48">
        <v>1.32</v>
      </c>
      <c r="Z47" s="48">
        <f t="shared" si="78"/>
        <v>2.6373999019999999</v>
      </c>
      <c r="AA47" s="48">
        <f t="shared" si="79"/>
        <v>5.6873999019999992</v>
      </c>
      <c r="AB47" s="140">
        <f t="shared" si="70"/>
        <v>3.6683894103747878</v>
      </c>
      <c r="AC47" s="64">
        <f t="shared" si="80"/>
        <v>1.8169243922164573</v>
      </c>
      <c r="AD47" s="140">
        <f t="shared" si="81"/>
        <v>3.7002316179999992</v>
      </c>
      <c r="AE47" s="106">
        <f t="shared" si="71"/>
        <v>1.8620625378298357</v>
      </c>
      <c r="AH47" s="80" t="s">
        <v>53</v>
      </c>
      <c r="AI47" s="129">
        <v>14.85</v>
      </c>
      <c r="AJ47" s="129">
        <v>13</v>
      </c>
      <c r="AK47" s="48">
        <v>3.5296349291388105</v>
      </c>
      <c r="AL47" s="48">
        <v>3.6203650708611899</v>
      </c>
      <c r="AM47" s="48">
        <v>2.9408840559999998</v>
      </c>
      <c r="AN47" s="48">
        <f t="shared" si="82"/>
        <v>5.6873999019999992</v>
      </c>
      <c r="AO47" s="48">
        <f t="shared" si="83"/>
        <v>15.778283957999999</v>
      </c>
      <c r="AP47" s="140">
        <f t="shared" si="72"/>
        <v>2.7782839579999994</v>
      </c>
      <c r="AQ47" s="157">
        <f t="shared" si="84"/>
        <v>0.21371415061538457</v>
      </c>
      <c r="AR47" s="140">
        <f t="shared" si="85"/>
        <v>0.92828395799999974</v>
      </c>
      <c r="AS47" s="81">
        <f t="shared" si="73"/>
        <v>6.251070424242422E-2</v>
      </c>
      <c r="AU47" s="49"/>
      <c r="AW47" s="80" t="s">
        <v>53</v>
      </c>
      <c r="AX47" s="48"/>
      <c r="AY47" s="48">
        <v>1.8910419647778278</v>
      </c>
      <c r="AZ47" s="48">
        <v>1.4237325630591582</v>
      </c>
      <c r="BA47" s="48">
        <f t="shared" si="86"/>
        <v>3.314774527836986</v>
      </c>
    </row>
    <row r="48" spans="2:53" ht="18.75" customHeight="1">
      <c r="B48" s="80" t="s">
        <v>54</v>
      </c>
      <c r="C48" s="46">
        <f>VLOOKUP(B48,'CMB_Sales volume summary'!$C$295:$BE$315,$C$3,0)</f>
        <v>1.3545034153997153</v>
      </c>
      <c r="D48" s="46">
        <v>4.4241878255829272</v>
      </c>
      <c r="E48" s="46">
        <v>4.2472632960000016</v>
      </c>
      <c r="F48" s="47">
        <f t="shared" si="66"/>
        <v>2.8927598806002863</v>
      </c>
      <c r="G48" s="16">
        <f t="shared" si="67"/>
        <v>2.1356608242635033</v>
      </c>
      <c r="H48" s="47">
        <f t="shared" si="68"/>
        <v>-0.17692452958292559</v>
      </c>
      <c r="I48" s="81">
        <f t="shared" si="74"/>
        <v>-3.9990284444945366E-2</v>
      </c>
      <c r="J48" s="20"/>
      <c r="K48" s="80" t="s">
        <v>54</v>
      </c>
      <c r="L48" s="129">
        <f>VLOOKUP(K48,'CMB sales Variance(15-16)'!$D$246:$CR$266,$L$3,0)</f>
        <v>17.328448001999998</v>
      </c>
      <c r="M48" s="129">
        <f>VLOOKUP(K48,'CMB_Sales volume summary'!$C$320:$AY$340,$M$3,0)</f>
        <v>18.060045538662873</v>
      </c>
      <c r="N48" s="48">
        <f t="shared" si="75"/>
        <v>29.813866624000003</v>
      </c>
      <c r="O48" s="50">
        <f t="shared" si="76"/>
        <v>11.75382108533713</v>
      </c>
      <c r="P48" s="79">
        <f t="shared" si="77"/>
        <v>0.65081901704924261</v>
      </c>
      <c r="Q48" s="50">
        <f t="shared" si="59"/>
        <v>12.485418622000005</v>
      </c>
      <c r="R48" s="79">
        <f t="shared" si="60"/>
        <v>0.72051568729980753</v>
      </c>
      <c r="S48" s="54"/>
      <c r="T48" s="54"/>
      <c r="U48" s="80" t="s">
        <v>54</v>
      </c>
      <c r="V48" s="129">
        <v>5.2052211840000009</v>
      </c>
      <c r="W48" s="129">
        <v>4.6655117641545747</v>
      </c>
      <c r="X48" s="48">
        <v>2.372549952</v>
      </c>
      <c r="Y48" s="48">
        <v>5.034053376000001</v>
      </c>
      <c r="Z48" s="48">
        <f t="shared" si="78"/>
        <v>4.2472632960000016</v>
      </c>
      <c r="AA48" s="48">
        <f t="shared" si="79"/>
        <v>11.653866624000003</v>
      </c>
      <c r="AB48" s="140">
        <f t="shared" si="70"/>
        <v>6.9883548598454279</v>
      </c>
      <c r="AC48" s="64">
        <f t="shared" si="80"/>
        <v>1.4978753056711602</v>
      </c>
      <c r="AD48" s="140">
        <f t="shared" si="81"/>
        <v>6.4486454400000017</v>
      </c>
      <c r="AE48" s="106">
        <f t="shared" si="71"/>
        <v>1.2388801958737283</v>
      </c>
      <c r="AH48" s="80" t="s">
        <v>54</v>
      </c>
      <c r="AI48" s="129">
        <v>17.329999999999998</v>
      </c>
      <c r="AJ48" s="129">
        <v>18.06004553866287</v>
      </c>
      <c r="AK48" s="48">
        <v>5.3490183983617241</v>
      </c>
      <c r="AL48" s="48">
        <v>6.1409816016382761</v>
      </c>
      <c r="AM48" s="48">
        <v>6.67</v>
      </c>
      <c r="AN48" s="48">
        <f t="shared" si="82"/>
        <v>11.653866624000003</v>
      </c>
      <c r="AO48" s="48">
        <f t="shared" si="83"/>
        <v>29.813866624000003</v>
      </c>
      <c r="AP48" s="140">
        <f t="shared" si="72"/>
        <v>11.753821085337133</v>
      </c>
      <c r="AQ48" s="157">
        <f t="shared" si="84"/>
        <v>0.65081901704924294</v>
      </c>
      <c r="AR48" s="140">
        <f t="shared" si="85"/>
        <v>12.483866624000004</v>
      </c>
      <c r="AS48" s="81">
        <f t="shared" si="73"/>
        <v>0.72036160553952722</v>
      </c>
      <c r="AU48" s="49"/>
      <c r="AW48" s="80" t="s">
        <v>54</v>
      </c>
      <c r="AX48" s="48">
        <v>2.2871429999999999</v>
      </c>
      <c r="AY48" s="48">
        <v>1.7782979999999999</v>
      </c>
      <c r="AZ48" s="48">
        <v>0</v>
      </c>
      <c r="BA48" s="48">
        <f t="shared" si="86"/>
        <v>4.0654409999999999</v>
      </c>
    </row>
    <row r="49" spans="2:53" ht="18.75" customHeight="1">
      <c r="B49" s="80" t="s">
        <v>52</v>
      </c>
      <c r="C49" s="46">
        <f>VLOOKUP(B49,'CMB_Sales volume summary'!$C$295:$BE$315,$C$3,0)</f>
        <v>1.1453216532211989</v>
      </c>
      <c r="D49" s="46">
        <v>0.25707622965976334</v>
      </c>
      <c r="E49" s="46"/>
      <c r="F49" s="47">
        <f t="shared" si="66"/>
        <v>-1.1453216532211989</v>
      </c>
      <c r="G49" s="16">
        <f t="shared" si="67"/>
        <v>-1</v>
      </c>
      <c r="H49" s="47">
        <f t="shared" si="68"/>
        <v>-0.25707622965976334</v>
      </c>
      <c r="I49" s="81">
        <f t="shared" si="74"/>
        <v>-1</v>
      </c>
      <c r="J49" s="20"/>
      <c r="K49" s="80" t="s">
        <v>52</v>
      </c>
      <c r="L49" s="129">
        <f>VLOOKUP(K49,'CMB sales Variance(15-16)'!$D$246:$CR$266,$L$3,0)</f>
        <v>13.554248599999999</v>
      </c>
      <c r="M49" s="129">
        <f>VLOOKUP(K49,'CMB_Sales volume summary'!$C$320:$AY$340,$M$3,0)</f>
        <v>13.743859838654387</v>
      </c>
      <c r="N49" s="48">
        <f t="shared" si="75"/>
        <v>18.265247000000002</v>
      </c>
      <c r="O49" s="50">
        <f t="shared" si="76"/>
        <v>4.5213871613456149</v>
      </c>
      <c r="P49" s="79">
        <f t="shared" si="77"/>
        <v>0.32897506336824578</v>
      </c>
      <c r="Q49" s="50">
        <f t="shared" si="59"/>
        <v>4.7109984000000029</v>
      </c>
      <c r="R49" s="79">
        <f t="shared" si="60"/>
        <v>0.34756617936017514</v>
      </c>
      <c r="S49" s="54"/>
      <c r="T49" s="54"/>
      <c r="U49" s="80" t="s">
        <v>52</v>
      </c>
      <c r="V49" s="129">
        <v>2.8751716500000004</v>
      </c>
      <c r="W49" s="129">
        <v>3.4359649596635968</v>
      </c>
      <c r="X49" s="48">
        <v>3.92</v>
      </c>
      <c r="Y49" s="48">
        <v>0.20524699999999999</v>
      </c>
      <c r="Z49" s="48">
        <f t="shared" si="78"/>
        <v>0</v>
      </c>
      <c r="AA49" s="48">
        <f t="shared" ref="AA49" si="87">SUM(X49:Z49)</f>
        <v>4.1252469999999999</v>
      </c>
      <c r="AB49" s="140">
        <f t="shared" si="70"/>
        <v>0.68928204033640306</v>
      </c>
      <c r="AC49" s="64">
        <f t="shared" si="80"/>
        <v>0.20060799467637419</v>
      </c>
      <c r="AD49" s="140">
        <f t="shared" si="81"/>
        <v>1.2500753499999995</v>
      </c>
      <c r="AE49" s="106">
        <f t="shared" si="71"/>
        <v>0.43478285896426372</v>
      </c>
      <c r="AH49" s="80" t="s">
        <v>52</v>
      </c>
      <c r="AI49" s="129">
        <v>13.55</v>
      </c>
      <c r="AJ49" s="129">
        <v>13.74</v>
      </c>
      <c r="AK49" s="48">
        <v>2.7699999999999996</v>
      </c>
      <c r="AL49" s="48">
        <v>4.04</v>
      </c>
      <c r="AM49" s="48">
        <v>7.33</v>
      </c>
      <c r="AN49" s="48">
        <f t="shared" si="82"/>
        <v>4.1252469999999999</v>
      </c>
      <c r="AO49" s="48">
        <f t="shared" si="83"/>
        <v>18.265247000000002</v>
      </c>
      <c r="AP49" s="140">
        <f t="shared" si="72"/>
        <v>4.525247000000002</v>
      </c>
      <c r="AQ49" s="157">
        <f t="shared" si="84"/>
        <v>0.32934839883551686</v>
      </c>
      <c r="AR49" s="140">
        <f t="shared" si="85"/>
        <v>4.7152470000000015</v>
      </c>
      <c r="AS49" s="81">
        <f t="shared" si="73"/>
        <v>0.34798870848708496</v>
      </c>
      <c r="AU49" s="49"/>
      <c r="AW49" s="80" t="s">
        <v>52</v>
      </c>
      <c r="AX49" s="48">
        <v>0</v>
      </c>
      <c r="AY49" s="48">
        <v>0</v>
      </c>
      <c r="AZ49" s="48">
        <v>0</v>
      </c>
      <c r="BA49" s="48">
        <f t="shared" si="86"/>
        <v>0</v>
      </c>
    </row>
    <row r="50" spans="2:53" ht="18.75" customHeight="1">
      <c r="B50" s="80" t="s">
        <v>56</v>
      </c>
      <c r="C50" s="46">
        <f>VLOOKUP(B50,'CMB_Sales volume summary'!$C$295:$BE$315,$C$3,0)</f>
        <v>0.59822013201660429</v>
      </c>
      <c r="D50" s="46">
        <v>0.16</v>
      </c>
      <c r="E50" s="46">
        <v>0.1245216</v>
      </c>
      <c r="F50" s="47">
        <f t="shared" si="66"/>
        <v>-0.47369853201660428</v>
      </c>
      <c r="G50" s="16">
        <f t="shared" si="67"/>
        <v>-0.79184652382019172</v>
      </c>
      <c r="H50" s="47">
        <f t="shared" si="68"/>
        <v>-3.5478400000000007E-2</v>
      </c>
      <c r="I50" s="81">
        <f t="shared" si="74"/>
        <v>-0.22174000000000005</v>
      </c>
      <c r="J50" s="20"/>
      <c r="K50" s="80" t="s">
        <v>56</v>
      </c>
      <c r="L50" s="129">
        <f>VLOOKUP(K50,'CMB sales Variance(15-16)'!$D$246:$CR$266,$L$3,0)</f>
        <v>2.7375089999999997</v>
      </c>
      <c r="M50" s="129">
        <f>VLOOKUP(K50,'CMB_Sales volume summary'!$C$320:$AY$340,$M$3,0)</f>
        <v>7.3959740683107933</v>
      </c>
      <c r="N50" s="48">
        <f t="shared" si="75"/>
        <v>5.0245186000000004</v>
      </c>
      <c r="O50" s="50">
        <f t="shared" si="76"/>
        <v>-2.3714554683107929</v>
      </c>
      <c r="P50" s="79">
        <f t="shared" si="77"/>
        <v>-0.3206413984699682</v>
      </c>
      <c r="Q50" s="50">
        <f t="shared" si="59"/>
        <v>2.2870096000000006</v>
      </c>
      <c r="R50" s="79">
        <f t="shared" si="60"/>
        <v>0.83543455016951573</v>
      </c>
      <c r="S50" s="54"/>
      <c r="T50" s="54"/>
      <c r="U50" s="80" t="s">
        <v>56</v>
      </c>
      <c r="V50" s="129">
        <v>0.44895731999999999</v>
      </c>
      <c r="W50" s="129">
        <v>2.1410823444711546</v>
      </c>
      <c r="X50" s="48">
        <v>1.01</v>
      </c>
      <c r="Y50" s="48">
        <v>0.29999700000000001</v>
      </c>
      <c r="Z50" s="48">
        <f t="shared" si="78"/>
        <v>0.1245216</v>
      </c>
      <c r="AA50" s="48">
        <f t="shared" si="79"/>
        <v>1.4345186000000001</v>
      </c>
      <c r="AB50" s="140">
        <f t="shared" si="70"/>
        <v>-0.70656374447115455</v>
      </c>
      <c r="AC50" s="64">
        <f t="shared" si="80"/>
        <v>-0.3300030689131086</v>
      </c>
      <c r="AD50" s="140">
        <f t="shared" si="81"/>
        <v>0.9855612800000001</v>
      </c>
      <c r="AE50" s="106">
        <f t="shared" si="71"/>
        <v>2.195222655017631</v>
      </c>
      <c r="AH50" s="80" t="s">
        <v>56</v>
      </c>
      <c r="AI50" s="129">
        <v>2.74</v>
      </c>
      <c r="AJ50" s="129">
        <v>7.4</v>
      </c>
      <c r="AK50" s="48">
        <v>0.65846435268980508</v>
      </c>
      <c r="AL50" s="48">
        <v>1.7615356473101949</v>
      </c>
      <c r="AM50" s="48">
        <v>1.17</v>
      </c>
      <c r="AN50" s="48">
        <f t="shared" si="82"/>
        <v>1.4345186000000001</v>
      </c>
      <c r="AO50" s="48">
        <f t="shared" si="83"/>
        <v>5.0245186000000004</v>
      </c>
      <c r="AP50" s="140">
        <f t="shared" si="72"/>
        <v>-2.3754814</v>
      </c>
      <c r="AQ50" s="157">
        <f t="shared" si="84"/>
        <v>-0.32101099999999999</v>
      </c>
      <c r="AR50" s="140">
        <f t="shared" si="85"/>
        <v>2.2845186000000002</v>
      </c>
      <c r="AS50" s="81">
        <f t="shared" si="73"/>
        <v>0.83376591240875908</v>
      </c>
      <c r="AU50" s="49"/>
      <c r="AW50" s="80" t="s">
        <v>56</v>
      </c>
      <c r="AX50" s="48">
        <v>0</v>
      </c>
      <c r="AY50" s="48">
        <v>0.58529922255439781</v>
      </c>
      <c r="AZ50" s="48">
        <v>0</v>
      </c>
      <c r="BA50" s="48">
        <f t="shared" si="86"/>
        <v>0.58529922255439781</v>
      </c>
    </row>
    <row r="51" spans="2:53" ht="18.75" customHeight="1">
      <c r="B51" s="82" t="s">
        <v>57</v>
      </c>
      <c r="C51" s="131">
        <f>VLOOKUP(B51,'CMB_Sales volume summary'!$C$295:$BE$315,$C$3,0)</f>
        <v>0</v>
      </c>
      <c r="D51" s="131"/>
      <c r="E51" s="131"/>
      <c r="F51" s="132">
        <f>E51-C51</f>
        <v>0</v>
      </c>
      <c r="G51" s="62" t="str">
        <f>IFERROR(F51/C51,"-")</f>
        <v>-</v>
      </c>
      <c r="H51" s="132">
        <f>E51-D51</f>
        <v>0</v>
      </c>
      <c r="I51" s="83" t="str">
        <f>IFERROR(H51/D51,"-")</f>
        <v>-</v>
      </c>
      <c r="J51" s="20"/>
      <c r="K51" s="82" t="s">
        <v>57</v>
      </c>
      <c r="L51" s="129">
        <f>VLOOKUP(K51,'CMB sales Variance(15-16)'!$D$246:$CR$266,$L$3,0)</f>
        <v>3.3061902759999997</v>
      </c>
      <c r="M51" s="129">
        <f>VLOOKUP(K51,'CMB_Sales volume summary'!$C$320:$AY$340,$M$3,0)</f>
        <v>2.7843017934750005</v>
      </c>
      <c r="N51" s="48">
        <f t="shared" si="75"/>
        <v>1.0494599120000001</v>
      </c>
      <c r="O51" s="50">
        <f t="shared" si="76"/>
        <v>-1.7348418814750004</v>
      </c>
      <c r="P51" s="79">
        <f t="shared" si="77"/>
        <v>-0.62307968394108537</v>
      </c>
      <c r="Q51" s="50">
        <f t="shared" si="59"/>
        <v>-2.2567303639999996</v>
      </c>
      <c r="R51" s="79">
        <f t="shared" si="60"/>
        <v>-0.6825772794693199</v>
      </c>
      <c r="S51" s="54"/>
      <c r="T51" s="54"/>
      <c r="U51" s="82" t="s">
        <v>57</v>
      </c>
      <c r="V51" s="129">
        <v>0.6755383880000001</v>
      </c>
      <c r="W51" s="129">
        <v>0.9281005978250001</v>
      </c>
      <c r="X51" s="48">
        <v>0</v>
      </c>
      <c r="Y51" s="48">
        <v>0</v>
      </c>
      <c r="Z51" s="48">
        <f t="shared" si="78"/>
        <v>0</v>
      </c>
      <c r="AA51" s="48">
        <f t="shared" si="79"/>
        <v>0</v>
      </c>
      <c r="AB51" s="140">
        <f t="shared" si="70"/>
        <v>-0.9281005978250001</v>
      </c>
      <c r="AC51" s="64">
        <f t="shared" si="80"/>
        <v>-1</v>
      </c>
      <c r="AD51" s="140">
        <f t="shared" si="81"/>
        <v>-0.6755383880000001</v>
      </c>
      <c r="AE51" s="106">
        <f t="shared" si="71"/>
        <v>-1</v>
      </c>
      <c r="AH51" s="82" t="s">
        <v>57</v>
      </c>
      <c r="AI51" s="129">
        <v>3.31</v>
      </c>
      <c r="AJ51" s="129">
        <v>2.7843017934750005</v>
      </c>
      <c r="AK51" s="48">
        <v>0</v>
      </c>
      <c r="AL51" s="48">
        <v>1.0494599120000001</v>
      </c>
      <c r="AM51" s="48">
        <v>0</v>
      </c>
      <c r="AN51" s="48">
        <f t="shared" si="82"/>
        <v>0</v>
      </c>
      <c r="AO51" s="48">
        <f t="shared" si="83"/>
        <v>1.0494599120000001</v>
      </c>
      <c r="AP51" s="140">
        <f t="shared" si="72"/>
        <v>-1.7348418814750004</v>
      </c>
      <c r="AQ51" s="157">
        <f t="shared" si="84"/>
        <v>-0.62307968394108537</v>
      </c>
      <c r="AR51" s="140">
        <f t="shared" si="85"/>
        <v>-2.2605400879999999</v>
      </c>
      <c r="AS51" s="81">
        <f t="shared" si="73"/>
        <v>-0.68294262477341383</v>
      </c>
      <c r="AU51" s="49"/>
      <c r="AW51" s="82" t="s">
        <v>57</v>
      </c>
      <c r="AX51" s="48">
        <v>0.96629577464788707</v>
      </c>
      <c r="AY51" s="48">
        <v>0</v>
      </c>
      <c r="AZ51" s="48">
        <v>0</v>
      </c>
      <c r="BA51" s="48">
        <f t="shared" ref="BA51:BA56" si="88">SUM(AX51:AZ51)</f>
        <v>0.96629577464788707</v>
      </c>
    </row>
    <row r="52" spans="2:53" ht="18.75" customHeight="1" thickBot="1">
      <c r="B52" s="82" t="s">
        <v>28</v>
      </c>
      <c r="C52" s="131">
        <f>VLOOKUP(B52,'CMB_Sales volume summary'!$C$295:$BE$315,$C$3,0)</f>
        <v>1.0232862062309724</v>
      </c>
      <c r="D52" s="131">
        <f>19.82-SUM(D44:D51)</f>
        <v>2.0576341893662686</v>
      </c>
      <c r="E52" s="131">
        <f>19.07-SUM(E44:E51)</f>
        <v>1.4308224519999975</v>
      </c>
      <c r="F52" s="132">
        <f>E52-C52</f>
        <v>0.40753624576902503</v>
      </c>
      <c r="G52" s="62">
        <f>IFERROR(F52/C52,"-")</f>
        <v>0.39826222936209249</v>
      </c>
      <c r="H52" s="132">
        <f>E52-D52</f>
        <v>-0.62681173736627116</v>
      </c>
      <c r="I52" s="83">
        <f>IFERROR(H52/D52,"-")</f>
        <v>-0.30462739227681823</v>
      </c>
      <c r="J52" s="20"/>
      <c r="K52" s="82" t="s">
        <v>28</v>
      </c>
      <c r="L52" s="179">
        <f>VLOOKUP(K52,'CMB sales Variance(15-16)'!$D$246:$CR$266,$L$3,0)</f>
        <v>13.295137531</v>
      </c>
      <c r="M52" s="179">
        <f>VLOOKUP(K52,'CMB_Sales volume summary'!$C$320:$AY$340,$M$3,0)</f>
        <v>26.864579145651632</v>
      </c>
      <c r="N52" s="48">
        <f>192.56-SUM(N44:N51)</f>
        <v>19.509025909749312</v>
      </c>
      <c r="O52" s="146">
        <f t="shared" si="76"/>
        <v>-7.3555532359023204</v>
      </c>
      <c r="P52" s="162">
        <f t="shared" si="77"/>
        <v>-0.27380117127548259</v>
      </c>
      <c r="Q52" s="146">
        <f t="shared" si="59"/>
        <v>6.2138883787493118</v>
      </c>
      <c r="R52" s="162">
        <f t="shared" si="60"/>
        <v>0.46738052647146489</v>
      </c>
      <c r="S52" s="54"/>
      <c r="T52" s="54"/>
      <c r="U52" s="82" t="s">
        <v>28</v>
      </c>
      <c r="V52" s="129">
        <v>2.8733262169999998</v>
      </c>
      <c r="W52" s="129">
        <v>6.6424191276765772</v>
      </c>
      <c r="X52" s="48">
        <v>2.2821343679999995</v>
      </c>
      <c r="Y52" s="48">
        <v>0.54485401400000022</v>
      </c>
      <c r="Z52" s="48">
        <f t="shared" si="78"/>
        <v>1.4308224519999975</v>
      </c>
      <c r="AA52" s="48">
        <f t="shared" si="79"/>
        <v>4.2578108339999972</v>
      </c>
      <c r="AB52" s="140">
        <f t="shared" si="70"/>
        <v>-2.38460829367658</v>
      </c>
      <c r="AC52" s="64">
        <f t="shared" si="80"/>
        <v>-0.35899696298006445</v>
      </c>
      <c r="AD52" s="140">
        <f t="shared" si="81"/>
        <v>1.3844846169999974</v>
      </c>
      <c r="AE52" s="106">
        <f t="shared" si="71"/>
        <v>0.48184038721698608</v>
      </c>
      <c r="AH52" s="82" t="s">
        <v>28</v>
      </c>
      <c r="AI52" s="141">
        <f>13.45</f>
        <v>13.45</v>
      </c>
      <c r="AJ52" s="141">
        <v>26.87</v>
      </c>
      <c r="AK52" s="141">
        <v>6.17</v>
      </c>
      <c r="AL52" s="48">
        <v>2.38</v>
      </c>
      <c r="AM52" s="48">
        <v>6.72</v>
      </c>
      <c r="AN52" s="48">
        <v>4.24</v>
      </c>
      <c r="AO52" s="141">
        <f t="shared" si="83"/>
        <v>19.509999999999998</v>
      </c>
      <c r="AP52" s="175">
        <f t="shared" si="72"/>
        <v>-7.360000000000003</v>
      </c>
      <c r="AQ52" s="160">
        <f t="shared" si="84"/>
        <v>-0.2739114253814664</v>
      </c>
      <c r="AR52" s="175">
        <f t="shared" si="85"/>
        <v>6.0599999999999987</v>
      </c>
      <c r="AS52" s="83">
        <f t="shared" si="73"/>
        <v>0.4505576208178439</v>
      </c>
      <c r="AU52" s="49"/>
      <c r="AW52" s="82" t="s">
        <v>28</v>
      </c>
      <c r="AX52" s="48">
        <f>9.07-SUM(AX44:AX51)</f>
        <v>0.89517157535211211</v>
      </c>
      <c r="AY52" s="48">
        <f>16.86-SUM(AY44:AY51)</f>
        <v>0.62057066256399196</v>
      </c>
      <c r="AZ52" s="48">
        <f>10.66-SUM(AZ44:AZ51)</f>
        <v>0.19083156129400614</v>
      </c>
      <c r="BA52" s="48">
        <f t="shared" si="88"/>
        <v>1.7065737992101102</v>
      </c>
    </row>
    <row r="53" spans="2:53" ht="21.75" customHeight="1" thickBot="1">
      <c r="B53" s="114" t="s">
        <v>16</v>
      </c>
      <c r="C53" s="133">
        <f>VLOOKUP(B53,'CMB_Sales volume summary'!$C$295:$BE$315,$C$3,0)</f>
        <v>8.0849999999999991</v>
      </c>
      <c r="D53" s="133">
        <v>1.1978</v>
      </c>
      <c r="E53" s="133">
        <v>1.6149779999999998</v>
      </c>
      <c r="F53" s="134">
        <f t="shared" si="66"/>
        <v>-6.4700219999999993</v>
      </c>
      <c r="G53" s="117">
        <f t="shared" si="67"/>
        <v>-0.80025009276437853</v>
      </c>
      <c r="H53" s="134">
        <f t="shared" si="68"/>
        <v>0.41717799999999983</v>
      </c>
      <c r="I53" s="118">
        <f t="shared" si="74"/>
        <v>0.34828685924194341</v>
      </c>
      <c r="J53" s="20"/>
      <c r="K53" s="114" t="s">
        <v>16</v>
      </c>
      <c r="L53" s="133">
        <f>VLOOKUP(K53,'CMB sales Variance(15-16)'!$D$246:$CR$266,$L$3,0)</f>
        <v>76.726481660999994</v>
      </c>
      <c r="M53" s="133">
        <f>VLOOKUP(K53,'CMB_Sales volume summary'!$C$320:$AY$340,$M$3,0)</f>
        <v>109.83999999999999</v>
      </c>
      <c r="N53" s="133">
        <f>AO53</f>
        <v>35.682215888000002</v>
      </c>
      <c r="O53" s="142">
        <f t="shared" ref="O53:O60" si="89">N53-M53</f>
        <v>-74.157784111999987</v>
      </c>
      <c r="P53" s="118">
        <f t="shared" ref="P53:P60" si="90">IFERROR(O53/M53,"-")</f>
        <v>-0.67514370094683174</v>
      </c>
      <c r="Q53" s="142">
        <f t="shared" si="59"/>
        <v>-41.044265772999992</v>
      </c>
      <c r="R53" s="118">
        <f t="shared" si="60"/>
        <v>-0.53494262847012253</v>
      </c>
      <c r="S53" s="54"/>
      <c r="T53" s="54"/>
      <c r="U53" s="114" t="s">
        <v>16</v>
      </c>
      <c r="V53" s="133">
        <v>24.605171716999994</v>
      </c>
      <c r="W53" s="133">
        <f>33.4841-W54</f>
        <v>31.704099999999997</v>
      </c>
      <c r="X53" s="133">
        <v>1.84</v>
      </c>
      <c r="Y53" s="133">
        <v>10.76</v>
      </c>
      <c r="Z53" s="133">
        <f>E53</f>
        <v>1.6149779999999998</v>
      </c>
      <c r="AA53" s="133">
        <f t="shared" si="79"/>
        <v>14.214977999999999</v>
      </c>
      <c r="AB53" s="142">
        <f t="shared" si="70"/>
        <v>-17.489121999999998</v>
      </c>
      <c r="AC53" s="117">
        <f t="shared" si="80"/>
        <v>-0.55163597137278775</v>
      </c>
      <c r="AD53" s="142">
        <f t="shared" si="81"/>
        <v>-10.390193716999995</v>
      </c>
      <c r="AE53" s="120">
        <f t="shared" si="71"/>
        <v>-0.42227682198296923</v>
      </c>
      <c r="AH53" s="114" t="s">
        <v>16</v>
      </c>
      <c r="AI53" s="133">
        <v>77</v>
      </c>
      <c r="AJ53" s="133">
        <f>114.565-AJ54</f>
        <v>109.84</v>
      </c>
      <c r="AK53" s="133">
        <v>9.8546578880000002</v>
      </c>
      <c r="AL53" s="170">
        <v>6.57944</v>
      </c>
      <c r="AM53" s="170">
        <v>5.0331400000000004</v>
      </c>
      <c r="AN53" s="171">
        <f>AA53</f>
        <v>14.214977999999999</v>
      </c>
      <c r="AO53" s="172">
        <f t="shared" si="83"/>
        <v>35.682215888000002</v>
      </c>
      <c r="AP53" s="142">
        <f t="shared" si="72"/>
        <v>-74.157784112000002</v>
      </c>
      <c r="AQ53" s="158">
        <f t="shared" si="84"/>
        <v>-0.67514370094683174</v>
      </c>
      <c r="AR53" s="142">
        <f t="shared" si="85"/>
        <v>-41.317784111999998</v>
      </c>
      <c r="AS53" s="118">
        <f t="shared" si="73"/>
        <v>-0.53659459885714278</v>
      </c>
      <c r="AU53" s="49"/>
      <c r="AW53" s="114" t="s">
        <v>16</v>
      </c>
      <c r="AX53" s="133">
        <v>0.71867999999999999</v>
      </c>
      <c r="AY53" s="133">
        <v>1.1978</v>
      </c>
      <c r="AZ53" s="133">
        <v>1.1978</v>
      </c>
      <c r="BA53" s="133">
        <f t="shared" si="88"/>
        <v>3.1142799999999999</v>
      </c>
    </row>
    <row r="54" spans="2:53" ht="21.75" customHeight="1" thickBot="1">
      <c r="B54" s="65" t="s">
        <v>51</v>
      </c>
      <c r="C54" s="135">
        <f>VLOOKUP(B54,'CMB_Sales volume summary'!$C$295:$BE$315,$C$3,0)</f>
        <v>0.4158</v>
      </c>
      <c r="D54" s="135"/>
      <c r="E54" s="135"/>
      <c r="F54" s="136">
        <f t="shared" si="66"/>
        <v>-0.4158</v>
      </c>
      <c r="G54" s="68">
        <f t="shared" si="67"/>
        <v>-1</v>
      </c>
      <c r="H54" s="136">
        <f t="shared" si="68"/>
        <v>0</v>
      </c>
      <c r="I54" s="69" t="str">
        <f t="shared" si="74"/>
        <v>-</v>
      </c>
      <c r="J54" s="20"/>
      <c r="K54" s="89" t="s">
        <v>51</v>
      </c>
      <c r="L54" s="179">
        <f>VLOOKUP(K54,'CMB sales Variance(15-16)'!$D$246:$CR$266,$L$3,0)</f>
        <v>6.9209392680000068</v>
      </c>
      <c r="M54" s="179">
        <f>VLOOKUP(K54,'CMB_Sales volume summary'!$C$320:$AY$340,$M$3,0)</f>
        <v>4.7250000000000005</v>
      </c>
      <c r="N54" s="179"/>
      <c r="O54" s="175">
        <f t="shared" si="89"/>
        <v>-4.7250000000000005</v>
      </c>
      <c r="P54" s="162">
        <f t="shared" si="90"/>
        <v>-1</v>
      </c>
      <c r="Q54" s="175">
        <f t="shared" si="59"/>
        <v>-6.9209392680000068</v>
      </c>
      <c r="R54" s="162">
        <f t="shared" si="60"/>
        <v>-1</v>
      </c>
      <c r="S54" s="54"/>
      <c r="T54" s="54"/>
      <c r="U54" s="89" t="s">
        <v>51</v>
      </c>
      <c r="V54" s="129">
        <v>0</v>
      </c>
      <c r="W54" s="179">
        <v>1.78</v>
      </c>
      <c r="X54" s="179">
        <v>0</v>
      </c>
      <c r="Y54" s="179"/>
      <c r="Z54" s="141"/>
      <c r="AA54" s="141">
        <f t="shared" si="79"/>
        <v>0</v>
      </c>
      <c r="AB54" s="175">
        <f t="shared" si="70"/>
        <v>-1.78</v>
      </c>
      <c r="AC54" s="90">
        <f t="shared" si="80"/>
        <v>-1</v>
      </c>
      <c r="AD54" s="175">
        <f t="shared" si="81"/>
        <v>0</v>
      </c>
      <c r="AE54" s="108">
        <f t="shared" si="71"/>
        <v>0</v>
      </c>
      <c r="AH54" s="89" t="s">
        <v>51</v>
      </c>
      <c r="AI54" s="179">
        <v>6.92</v>
      </c>
      <c r="AJ54" s="179">
        <v>4.7250000000000005</v>
      </c>
      <c r="AK54" s="141"/>
      <c r="AL54" s="141">
        <v>0</v>
      </c>
      <c r="AM54" s="141">
        <v>0</v>
      </c>
      <c r="AN54" s="141">
        <f>AA54</f>
        <v>0</v>
      </c>
      <c r="AO54" s="141">
        <f t="shared" si="83"/>
        <v>0</v>
      </c>
      <c r="AP54" s="175">
        <f t="shared" si="72"/>
        <v>-4.7250000000000005</v>
      </c>
      <c r="AQ54" s="160">
        <f t="shared" si="84"/>
        <v>-1</v>
      </c>
      <c r="AR54" s="175">
        <f t="shared" si="85"/>
        <v>-6.92</v>
      </c>
      <c r="AS54" s="162">
        <f t="shared" si="73"/>
        <v>-1</v>
      </c>
      <c r="AU54" s="49"/>
      <c r="AW54" s="89" t="s">
        <v>51</v>
      </c>
      <c r="AX54" s="179"/>
      <c r="AY54" s="179"/>
      <c r="AZ54" s="141"/>
      <c r="BA54" s="141">
        <f t="shared" si="88"/>
        <v>0</v>
      </c>
    </row>
    <row r="55" spans="2:53" ht="21.75" customHeight="1" thickBot="1">
      <c r="B55" s="114" t="s">
        <v>17</v>
      </c>
      <c r="C55" s="133">
        <f>VLOOKUP(B55,'CMB_Sales volume summary'!$C$295:$BE$315,$C$3,0)</f>
        <v>4.6483426871201354</v>
      </c>
      <c r="D55" s="133">
        <v>3.35</v>
      </c>
      <c r="E55" s="133">
        <v>3.17</v>
      </c>
      <c r="F55" s="134">
        <f t="shared" si="66"/>
        <v>-1.4783426871201355</v>
      </c>
      <c r="G55" s="117">
        <f t="shared" si="67"/>
        <v>-0.3180365103494634</v>
      </c>
      <c r="H55" s="134">
        <f t="shared" si="68"/>
        <v>-0.18000000000000016</v>
      </c>
      <c r="I55" s="118">
        <f t="shared" si="74"/>
        <v>-5.3731343283582138E-2</v>
      </c>
      <c r="J55" s="20"/>
      <c r="K55" s="114" t="s">
        <v>17</v>
      </c>
      <c r="L55" s="133">
        <f>VLOOKUP(K55,'CMB sales Variance(15-16)'!$D$246:$CR$266,$L$3,0)</f>
        <v>35.754795434999991</v>
      </c>
      <c r="M55" s="133">
        <f>VLOOKUP(K55,'CMB_Sales volume summary'!$C$320:$AY$340,$M$3,0)</f>
        <v>51.71196495234792</v>
      </c>
      <c r="N55" s="133">
        <f>AO55</f>
        <v>31.880000000000003</v>
      </c>
      <c r="O55" s="142">
        <f t="shared" si="89"/>
        <v>-19.831964952347917</v>
      </c>
      <c r="P55" s="118">
        <f t="shared" si="90"/>
        <v>-0.38350824554090884</v>
      </c>
      <c r="Q55" s="142">
        <f t="shared" si="59"/>
        <v>-3.8747954349999887</v>
      </c>
      <c r="R55" s="118">
        <f t="shared" si="60"/>
        <v>-0.10837134957306992</v>
      </c>
      <c r="S55" s="54"/>
      <c r="T55" s="54"/>
      <c r="U55" s="114" t="s">
        <v>17</v>
      </c>
      <c r="V55" s="133">
        <v>10.077701453999998</v>
      </c>
      <c r="W55" s="133">
        <v>13.371138523340186</v>
      </c>
      <c r="X55" s="133">
        <v>4.07</v>
      </c>
      <c r="Y55" s="133">
        <v>2.59</v>
      </c>
      <c r="Z55" s="133">
        <f>E55</f>
        <v>3.17</v>
      </c>
      <c r="AA55" s="133">
        <f t="shared" si="79"/>
        <v>9.83</v>
      </c>
      <c r="AB55" s="142">
        <f t="shared" si="70"/>
        <v>-3.5411385233401855</v>
      </c>
      <c r="AC55" s="117">
        <f t="shared" si="80"/>
        <v>-0.26483448041158947</v>
      </c>
      <c r="AD55" s="142">
        <f t="shared" si="81"/>
        <v>-0.24770145399999777</v>
      </c>
      <c r="AE55" s="120">
        <f t="shared" si="71"/>
        <v>-2.4579161739473943E-2</v>
      </c>
      <c r="AH55" s="114" t="s">
        <v>17</v>
      </c>
      <c r="AI55" s="133">
        <v>35.75</v>
      </c>
      <c r="AJ55" s="133">
        <v>51.71196495234792</v>
      </c>
      <c r="AK55" s="133">
        <v>8.8389115223609807</v>
      </c>
      <c r="AL55" s="133">
        <v>6.6410884776390198</v>
      </c>
      <c r="AM55" s="133">
        <v>6.57</v>
      </c>
      <c r="AN55" s="133">
        <f>AA55</f>
        <v>9.83</v>
      </c>
      <c r="AO55" s="133">
        <f t="shared" si="83"/>
        <v>31.880000000000003</v>
      </c>
      <c r="AP55" s="142">
        <f t="shared" si="72"/>
        <v>-19.831964952347917</v>
      </c>
      <c r="AQ55" s="158">
        <f t="shared" si="84"/>
        <v>-0.38350824554090884</v>
      </c>
      <c r="AR55" s="142">
        <f t="shared" si="85"/>
        <v>-3.8699999999999974</v>
      </c>
      <c r="AS55" s="118">
        <f t="shared" si="73"/>
        <v>-0.10825174825174821</v>
      </c>
      <c r="AU55" s="49"/>
      <c r="AW55" s="114" t="s">
        <v>17</v>
      </c>
      <c r="AX55" s="133">
        <v>3.55</v>
      </c>
      <c r="AY55" s="133">
        <v>3.54</v>
      </c>
      <c r="AZ55" s="133">
        <v>2.84</v>
      </c>
      <c r="BA55" s="133">
        <f t="shared" si="88"/>
        <v>9.93</v>
      </c>
    </row>
    <row r="56" spans="2:53" ht="18.75" customHeight="1" thickBot="1">
      <c r="B56" s="65" t="s">
        <v>18</v>
      </c>
      <c r="C56" s="135">
        <f>VLOOKUP(B56,'CMB_Sales volume summary'!$C$295:$BE$315,$C$3,0)</f>
        <v>0</v>
      </c>
      <c r="D56" s="135"/>
      <c r="E56" s="135"/>
      <c r="F56" s="136">
        <f t="shared" si="66"/>
        <v>0</v>
      </c>
      <c r="G56" s="68" t="str">
        <f t="shared" si="67"/>
        <v>-</v>
      </c>
      <c r="H56" s="136">
        <f t="shared" si="68"/>
        <v>0</v>
      </c>
      <c r="I56" s="69" t="str">
        <f t="shared" si="74"/>
        <v>-</v>
      </c>
      <c r="J56" s="20"/>
      <c r="K56" s="166" t="s">
        <v>18</v>
      </c>
      <c r="L56" s="129">
        <f>VLOOKUP(K56,'CMB sales Variance(15-16)'!$D$246:$CR$266,$L$3,0)</f>
        <v>2.5027197569999999</v>
      </c>
      <c r="M56" s="129">
        <f>VLOOKUP(K56,'CMB_Sales volume summary'!$C$320:$AY$340,$M$3,0)</f>
        <v>0</v>
      </c>
      <c r="N56" s="129"/>
      <c r="O56" s="174">
        <f t="shared" si="89"/>
        <v>0</v>
      </c>
      <c r="P56" s="167" t="str">
        <f t="shared" si="90"/>
        <v>-</v>
      </c>
      <c r="Q56" s="174">
        <f t="shared" si="59"/>
        <v>-2.5027197569999999</v>
      </c>
      <c r="R56" s="167">
        <f t="shared" si="60"/>
        <v>-1</v>
      </c>
      <c r="S56" s="54"/>
      <c r="T56" s="54"/>
      <c r="U56" s="89" t="s">
        <v>18</v>
      </c>
      <c r="V56" s="179">
        <v>4.9148749999999998E-2</v>
      </c>
      <c r="W56" s="179">
        <v>0</v>
      </c>
      <c r="X56" s="141">
        <v>0</v>
      </c>
      <c r="Y56" s="141"/>
      <c r="Z56" s="141"/>
      <c r="AA56" s="141">
        <f t="shared" si="79"/>
        <v>0</v>
      </c>
      <c r="AB56" s="175">
        <f t="shared" si="70"/>
        <v>0</v>
      </c>
      <c r="AC56" s="90" t="str">
        <f t="shared" si="80"/>
        <v>-</v>
      </c>
      <c r="AD56" s="175">
        <f t="shared" si="81"/>
        <v>-4.9148749999999998E-2</v>
      </c>
      <c r="AE56" s="108">
        <f t="shared" si="71"/>
        <v>-1</v>
      </c>
      <c r="AH56" s="89" t="s">
        <v>18</v>
      </c>
      <c r="AI56" s="179">
        <v>2.5</v>
      </c>
      <c r="AJ56" s="179"/>
      <c r="AK56" s="141">
        <v>0</v>
      </c>
      <c r="AL56" s="141">
        <v>0</v>
      </c>
      <c r="AM56" s="48">
        <v>0</v>
      </c>
      <c r="AN56" s="141">
        <f>AA56</f>
        <v>0</v>
      </c>
      <c r="AO56" s="141">
        <f t="shared" si="83"/>
        <v>0</v>
      </c>
      <c r="AP56" s="175">
        <f t="shared" si="72"/>
        <v>0</v>
      </c>
      <c r="AQ56" s="160" t="str">
        <f t="shared" si="84"/>
        <v>-</v>
      </c>
      <c r="AR56" s="175">
        <f t="shared" si="85"/>
        <v>-2.5</v>
      </c>
      <c r="AS56" s="162">
        <f t="shared" si="73"/>
        <v>-1</v>
      </c>
      <c r="AU56" s="49"/>
      <c r="AW56" s="89" t="s">
        <v>18</v>
      </c>
      <c r="AX56" s="141">
        <v>0</v>
      </c>
      <c r="AY56" s="141">
        <v>0</v>
      </c>
      <c r="AZ56" s="141">
        <v>0</v>
      </c>
      <c r="BA56" s="141">
        <f t="shared" si="88"/>
        <v>0</v>
      </c>
    </row>
    <row r="57" spans="2:53" ht="19.5" customHeight="1" thickBot="1">
      <c r="B57" s="74" t="s">
        <v>22</v>
      </c>
      <c r="C57" s="135">
        <f>VLOOKUP(B57,'CMB_Sales volume summary'!$C$295:$BE$315,$C$3,0)</f>
        <v>3.0628662203734782</v>
      </c>
      <c r="D57" s="137">
        <v>5.0271450006666667</v>
      </c>
      <c r="E57" s="135">
        <v>6.5841939059999994</v>
      </c>
      <c r="F57" s="136">
        <f t="shared" ref="F57" si="91">E57-C57</f>
        <v>3.5213276856265212</v>
      </c>
      <c r="G57" s="68">
        <f t="shared" ref="G57:G61" si="92">IFERROR(F57/C57,"-")</f>
        <v>1.149683803426824</v>
      </c>
      <c r="H57" s="136">
        <f t="shared" ref="H57" si="93">E57-D57</f>
        <v>1.5570489053333327</v>
      </c>
      <c r="I57" s="69">
        <f t="shared" ref="I57:I61" si="94">IFERROR(H57/D57,"-")</f>
        <v>0.30972826626780153</v>
      </c>
      <c r="J57" s="20"/>
      <c r="K57" s="956" t="s">
        <v>22</v>
      </c>
      <c r="L57" s="135">
        <f>VLOOKUP(K57,'CMB sales Variance(15-16)'!$D$246:$CR$266,$L$3,0)</f>
        <v>39.252475519000001</v>
      </c>
      <c r="M57" s="135">
        <f>VLOOKUP(K57,'CMB_Sales volume summary'!$C$320:$AY$340,$M$3,0)</f>
        <v>46.502791671355688</v>
      </c>
      <c r="N57" s="135">
        <f>AO59</f>
        <v>41.965214180999993</v>
      </c>
      <c r="O57" s="144">
        <f t="shared" si="89"/>
        <v>-4.5375774903556945</v>
      </c>
      <c r="P57" s="69">
        <f t="shared" si="90"/>
        <v>-9.7576453526137544E-2</v>
      </c>
      <c r="Q57" s="144">
        <f t="shared" si="59"/>
        <v>2.7127386619999925</v>
      </c>
      <c r="R57" s="69">
        <f t="shared" si="60"/>
        <v>6.9110002009603252E-2</v>
      </c>
      <c r="S57" s="54"/>
      <c r="T57" s="54"/>
      <c r="U57" s="65" t="s">
        <v>20</v>
      </c>
      <c r="V57" s="143">
        <v>0</v>
      </c>
      <c r="W57" s="143">
        <v>0.15000000000000002</v>
      </c>
      <c r="X57" s="143">
        <v>0</v>
      </c>
      <c r="Y57" s="143"/>
      <c r="Z57" s="143">
        <f>E59</f>
        <v>0.19204141499999999</v>
      </c>
      <c r="AA57" s="143">
        <f>SUM(X57:Z57)</f>
        <v>0.19204141499999999</v>
      </c>
      <c r="AB57" s="144">
        <f>AA57-W57</f>
        <v>4.2041414999999971E-2</v>
      </c>
      <c r="AC57" s="68">
        <f>IFERROR(AB57/W57,"-")</f>
        <v>0.28027609999999975</v>
      </c>
      <c r="AD57" s="144">
        <f>AA57-V57</f>
        <v>0.19204141499999999</v>
      </c>
      <c r="AE57" s="95">
        <f>IFERROR(AA57/V57-1,0)</f>
        <v>0</v>
      </c>
      <c r="AH57" s="65" t="s">
        <v>20</v>
      </c>
      <c r="AI57" s="143">
        <v>1.07</v>
      </c>
      <c r="AJ57" s="143">
        <v>0.60000000000000009</v>
      </c>
      <c r="AK57" s="143">
        <v>0.22717753800000001</v>
      </c>
      <c r="AL57" s="143">
        <v>0.28046195899999998</v>
      </c>
      <c r="AM57" s="143">
        <v>0.14000000000000001</v>
      </c>
      <c r="AN57" s="143">
        <v>0.28000000000000003</v>
      </c>
      <c r="AO57" s="143">
        <f t="shared" si="83"/>
        <v>0.92763949700000004</v>
      </c>
      <c r="AP57" s="144">
        <f t="shared" si="72"/>
        <v>0.32763949699999995</v>
      </c>
      <c r="AQ57" s="159">
        <f t="shared" si="84"/>
        <v>0.54606582833333317</v>
      </c>
      <c r="AR57" s="989">
        <f t="shared" si="85"/>
        <v>-0.14236050300000003</v>
      </c>
      <c r="AS57" s="988">
        <f t="shared" si="73"/>
        <v>-0.13304719906542062</v>
      </c>
      <c r="AU57" s="49"/>
      <c r="AW57" s="65" t="s">
        <v>20</v>
      </c>
      <c r="AX57" s="143">
        <v>0</v>
      </c>
      <c r="AY57" s="143">
        <v>0</v>
      </c>
      <c r="AZ57" s="143">
        <v>0</v>
      </c>
      <c r="BA57" s="143">
        <f>SUM(AX57:AZ57)</f>
        <v>0</v>
      </c>
    </row>
    <row r="58" spans="2:53" ht="15" thickBot="1">
      <c r="B58" s="126" t="s">
        <v>59</v>
      </c>
      <c r="C58" s="137">
        <f>VLOOKUP(B58,'CMB_Sales volume summary'!$C$295:$BE$315,$C$3,0)</f>
        <v>0</v>
      </c>
      <c r="D58" s="137"/>
      <c r="E58" s="137"/>
      <c r="F58" s="136">
        <f t="shared" ref="F58:F60" si="95">E58-C58</f>
        <v>0</v>
      </c>
      <c r="G58" s="68" t="str">
        <f t="shared" ref="G58:G60" si="96">IFERROR(F58/C58,"-")</f>
        <v>-</v>
      </c>
      <c r="H58" s="136">
        <f t="shared" ref="H58:H60" si="97">E58-D58</f>
        <v>0</v>
      </c>
      <c r="I58" s="69" t="str">
        <f t="shared" ref="I58:I60" si="98">IFERROR(H58/D58,"-")</f>
        <v>-</v>
      </c>
      <c r="J58" s="20"/>
      <c r="K58" s="126" t="s">
        <v>59</v>
      </c>
      <c r="L58" s="137">
        <f>VLOOKUP(K58,'CMB sales Variance(15-16)'!$D$246:$CR$266,$L$3,0)</f>
        <v>2.1833027869999997</v>
      </c>
      <c r="M58" s="137">
        <v>0.34901672467375</v>
      </c>
      <c r="N58" s="137">
        <v>2.7307425530000002</v>
      </c>
      <c r="O58" s="144">
        <f t="shared" si="89"/>
        <v>2.3817258283262501</v>
      </c>
      <c r="P58" s="69">
        <f t="shared" si="90"/>
        <v>6.8241022849338053</v>
      </c>
      <c r="Q58" s="144">
        <f t="shared" si="59"/>
        <v>0.54743976600000055</v>
      </c>
      <c r="R58" s="69">
        <f t="shared" si="60"/>
        <v>0.25073927870179585</v>
      </c>
      <c r="S58" s="54"/>
      <c r="T58" s="54"/>
      <c r="U58" s="97" t="s">
        <v>21</v>
      </c>
      <c r="V58" s="127">
        <f>V43+V53+V54+V56+V57+V55</f>
        <v>77.355246377999975</v>
      </c>
      <c r="W58" s="127">
        <f>W43+W53+W54+W56+W57+W55</f>
        <v>103.72818535560077</v>
      </c>
      <c r="X58" s="127">
        <f>X43+X53+X54+X56+X57+X55</f>
        <v>24.06</v>
      </c>
      <c r="Y58" s="127">
        <f>Y43+Y53+Y54+Y56+Y57+Y55</f>
        <v>29.23</v>
      </c>
      <c r="Z58" s="127">
        <f>Z43+Z53+Z54+Z56+Z57+Z55</f>
        <v>24.047019415000001</v>
      </c>
      <c r="AA58" s="127">
        <f>SUM(X58:Z58)</f>
        <v>77.337019415</v>
      </c>
      <c r="AB58" s="127">
        <f>AB43+AB53+AB54+AB56+AB57+AB55</f>
        <v>-26.391165940600771</v>
      </c>
      <c r="AC58" s="100">
        <f>IFERROR(AB58/W58,"-")</f>
        <v>-0.25442617982881532</v>
      </c>
      <c r="AD58" s="127">
        <f>AD43+AD53+AD54+AD56+AD57+AD55</f>
        <v>-1.8226962999990909E-2</v>
      </c>
      <c r="AE58" s="101">
        <f>IFERROR(AA58/V58-1,0)</f>
        <v>-2.3562672027321874E-4</v>
      </c>
      <c r="AH58" s="97" t="s">
        <v>21</v>
      </c>
      <c r="AI58" s="127">
        <f>AI43+AI53+AI54+AI56+AI57+AI55</f>
        <v>327.07000000000005</v>
      </c>
      <c r="AJ58" s="127">
        <f t="shared" ref="AJ58:AN58" si="99">AJ43+AJ53+AJ54+AJ56+AJ57+AJ55</f>
        <v>389.24131228448584</v>
      </c>
      <c r="AK58" s="127">
        <f t="shared" si="99"/>
        <v>67.767864628551308</v>
      </c>
      <c r="AL58" s="127">
        <f t="shared" si="99"/>
        <v>59.187262636699387</v>
      </c>
      <c r="AM58" s="127">
        <f t="shared" si="99"/>
        <v>56.688535044000005</v>
      </c>
      <c r="AN58" s="127">
        <f t="shared" si="99"/>
        <v>77.407167166000008</v>
      </c>
      <c r="AO58" s="127">
        <f t="shared" si="83"/>
        <v>261.05082947525074</v>
      </c>
      <c r="AP58" s="127">
        <f t="shared" ref="AP58" si="100">AP43+AP53+AP54+AP56+AP57+AP55</f>
        <v>-128.19048280923505</v>
      </c>
      <c r="AQ58" s="100">
        <f t="shared" si="84"/>
        <v>-0.32933421701020299</v>
      </c>
      <c r="AR58" s="127">
        <f t="shared" ref="AR58" si="101">AR43+AR53+AR54+AR56+AR57+AR55</f>
        <v>-66.019170524749285</v>
      </c>
      <c r="AS58" s="124">
        <f t="shared" si="73"/>
        <v>-0.20185027830357205</v>
      </c>
      <c r="AU58" s="49"/>
      <c r="AW58" s="97" t="s">
        <v>21</v>
      </c>
      <c r="AX58" s="127">
        <f>AX43+AX53+AX54+AX56+AX57+AX55</f>
        <v>13.33868</v>
      </c>
      <c r="AY58" s="127">
        <f>AY43+AY53+AY54+AY56+AY57+AY55</f>
        <v>21.597799999999999</v>
      </c>
      <c r="AZ58" s="127">
        <f>AZ43+AZ53+AZ54+AZ56+AZ57+AZ55</f>
        <v>14.697800000000001</v>
      </c>
      <c r="BA58" s="127">
        <f>SUM(AX58:AZ58)</f>
        <v>49.634280000000004</v>
      </c>
    </row>
    <row r="59" spans="2:53" ht="15" thickBot="1">
      <c r="B59" s="994" t="s">
        <v>23</v>
      </c>
      <c r="C59" s="1021">
        <f>VLOOKUP(B59,'CMB_Sales volume summary'!$C$295:$BE$315,$C$3,0)</f>
        <v>0.05</v>
      </c>
      <c r="D59" s="994"/>
      <c r="E59" s="1021">
        <v>0.19204141499999999</v>
      </c>
      <c r="F59" s="994">
        <f t="shared" si="95"/>
        <v>0.142041415</v>
      </c>
      <c r="G59" s="994">
        <f t="shared" si="96"/>
        <v>2.8408283000000001</v>
      </c>
      <c r="H59" s="994">
        <f t="shared" si="97"/>
        <v>0.19204141499999999</v>
      </c>
      <c r="I59" s="1022" t="str">
        <f t="shared" si="98"/>
        <v>-</v>
      </c>
      <c r="J59" s="20"/>
      <c r="K59" s="994" t="s">
        <v>23</v>
      </c>
      <c r="L59" s="995">
        <f>VLOOKUP(K59,'CMB sales Variance(15-16)'!$D$246:$CR$266,$L$3,0)</f>
        <v>1.074579916</v>
      </c>
      <c r="M59" s="997">
        <f>VLOOKUP(K59,'CMB_Sales volume summary'!$C$320:$AY$340,$M$3,0)</f>
        <v>0.6</v>
      </c>
      <c r="N59" s="997">
        <v>0.929772979</v>
      </c>
      <c r="O59" s="995">
        <f t="shared" si="89"/>
        <v>0.32977297900000002</v>
      </c>
      <c r="P59" s="995">
        <f t="shared" si="90"/>
        <v>0.54962163166666678</v>
      </c>
      <c r="Q59" s="995">
        <f t="shared" si="59"/>
        <v>-0.14480693700000002</v>
      </c>
      <c r="R59" s="996">
        <f t="shared" si="60"/>
        <v>-0.13475678713503894</v>
      </c>
      <c r="S59" s="54"/>
      <c r="T59" s="54"/>
      <c r="U59" s="109" t="s">
        <v>50</v>
      </c>
      <c r="V59" s="129">
        <v>11.989935227999998</v>
      </c>
      <c r="W59" s="48">
        <v>11.709622185932862</v>
      </c>
      <c r="X59" s="48">
        <v>4.8974335869999992</v>
      </c>
      <c r="Y59" s="48">
        <v>4.67</v>
      </c>
      <c r="Z59" s="143">
        <f>E57</f>
        <v>6.5841939059999994</v>
      </c>
      <c r="AA59" s="48">
        <f>SUM(X59:Z59)</f>
        <v>16.151627492999999</v>
      </c>
      <c r="AB59" s="140">
        <f>AA59-W59</f>
        <v>4.4420053070671379</v>
      </c>
      <c r="AC59" s="64">
        <f>IFERROR(AB59/W59,"-")</f>
        <v>0.37934659517908775</v>
      </c>
      <c r="AD59" s="175">
        <f>AA59-V59</f>
        <v>4.161692265000001</v>
      </c>
      <c r="AE59" s="105">
        <f>IFERROR(AA59/V59-1,0)</f>
        <v>0.34709881128308639</v>
      </c>
      <c r="AH59" s="177" t="s">
        <v>68</v>
      </c>
      <c r="AI59" s="179">
        <v>39.25</v>
      </c>
      <c r="AJ59" s="141">
        <v>46.5</v>
      </c>
      <c r="AK59" s="141">
        <v>6.0092061742120269</v>
      </c>
      <c r="AL59" s="141">
        <v>8.0307938257879723</v>
      </c>
      <c r="AM59" s="173">
        <v>11.773586687999998</v>
      </c>
      <c r="AN59" s="141">
        <f>AA59</f>
        <v>16.151627492999999</v>
      </c>
      <c r="AO59" s="141">
        <f t="shared" si="83"/>
        <v>41.965214180999993</v>
      </c>
      <c r="AP59" s="175">
        <f>AO59-AJ59</f>
        <v>-4.5347858190000068</v>
      </c>
      <c r="AQ59" s="160">
        <f t="shared" si="84"/>
        <v>-9.7522275677419501E-2</v>
      </c>
      <c r="AR59" s="175">
        <f t="shared" ref="AR59" si="102">AO59-AI59</f>
        <v>2.7152141809999932</v>
      </c>
      <c r="AS59" s="162">
        <f t="shared" si="73"/>
        <v>6.9177431363057096E-2</v>
      </c>
      <c r="AU59" s="49"/>
      <c r="AW59" s="109" t="s">
        <v>50</v>
      </c>
      <c r="AX59" s="48">
        <v>5.950294656333333</v>
      </c>
      <c r="AY59" s="48">
        <v>1.4893105499999997</v>
      </c>
      <c r="AZ59" s="143">
        <v>0.31967999999999996</v>
      </c>
      <c r="BA59" s="48">
        <f>SUM(AX59:AZ59)</f>
        <v>7.7592852063333329</v>
      </c>
    </row>
    <row r="60" spans="2:53" ht="15" thickBot="1">
      <c r="B60" s="126" t="s">
        <v>25</v>
      </c>
      <c r="C60" s="137">
        <f>VLOOKUP(B60,'CMB_Sales volume summary'!$C$295:$BE$315,$C$3,0)</f>
        <v>0</v>
      </c>
      <c r="D60" s="137"/>
      <c r="E60" s="137"/>
      <c r="F60" s="1019">
        <f t="shared" si="95"/>
        <v>0</v>
      </c>
      <c r="G60" s="1020" t="str">
        <f t="shared" si="96"/>
        <v>-</v>
      </c>
      <c r="H60" s="1019">
        <f t="shared" si="97"/>
        <v>0</v>
      </c>
      <c r="I60" s="167" t="str">
        <f t="shared" si="98"/>
        <v>-</v>
      </c>
      <c r="J60" s="20"/>
      <c r="K60" s="126" t="s">
        <v>25</v>
      </c>
      <c r="L60" s="137">
        <f>VLOOKUP(K60,'CMB sales Variance(15-16)'!$D$246:$CR$266,$L$3,0)</f>
        <v>-0.47990055700000006</v>
      </c>
      <c r="M60" s="137">
        <f>VLOOKUP(K60,'CMB_Sales volume summary'!$C$320:$AY$340,$M$3,0)</f>
        <v>0</v>
      </c>
      <c r="N60" s="137">
        <v>-2.6564083569999997</v>
      </c>
      <c r="O60" s="174">
        <f t="shared" si="89"/>
        <v>-2.6564083569999997</v>
      </c>
      <c r="P60" s="167" t="str">
        <f t="shared" si="90"/>
        <v>-</v>
      </c>
      <c r="Q60" s="174">
        <f t="shared" si="59"/>
        <v>-2.1765077999999995</v>
      </c>
      <c r="R60" s="167">
        <f t="shared" si="60"/>
        <v>4.5353308477197691</v>
      </c>
      <c r="S60" s="54"/>
      <c r="T60" s="54"/>
      <c r="U60" s="110" t="s">
        <v>21</v>
      </c>
      <c r="V60" s="145">
        <f t="shared" ref="V60:AB60" si="103">SUM(V58:V59)</f>
        <v>89.345181605999969</v>
      </c>
      <c r="W60" s="145">
        <f t="shared" si="103"/>
        <v>115.43780754153363</v>
      </c>
      <c r="X60" s="145">
        <f t="shared" si="103"/>
        <v>28.957433586999997</v>
      </c>
      <c r="Y60" s="145">
        <f t="shared" si="103"/>
        <v>33.9</v>
      </c>
      <c r="Z60" s="145">
        <f t="shared" si="103"/>
        <v>30.631213321000001</v>
      </c>
      <c r="AA60" s="145">
        <f t="shared" si="103"/>
        <v>93.488646907999993</v>
      </c>
      <c r="AB60" s="145">
        <f t="shared" si="103"/>
        <v>-21.949160633533634</v>
      </c>
      <c r="AC60" s="112">
        <f>IFERROR(AB60/W60,"-")</f>
        <v>-0.19013840526758527</v>
      </c>
      <c r="AD60" s="145">
        <f>SUM(AD58:AD59)</f>
        <v>4.1434653020000098</v>
      </c>
      <c r="AE60" s="113">
        <f>IFERROR(AA60/V60-1,0)</f>
        <v>4.6375923441200673E-2</v>
      </c>
      <c r="AH60" s="97" t="s">
        <v>21</v>
      </c>
      <c r="AI60" s="127">
        <f t="shared" ref="AI60:AP60" si="104">AI58+AI59</f>
        <v>366.32000000000005</v>
      </c>
      <c r="AJ60" s="127">
        <f t="shared" si="104"/>
        <v>435.74131228448584</v>
      </c>
      <c r="AK60" s="127">
        <f t="shared" si="104"/>
        <v>73.777070802763333</v>
      </c>
      <c r="AL60" s="127">
        <f t="shared" si="104"/>
        <v>67.218056462487354</v>
      </c>
      <c r="AM60" s="127">
        <f t="shared" si="104"/>
        <v>68.462121732</v>
      </c>
      <c r="AN60" s="127">
        <f t="shared" si="104"/>
        <v>93.558794659</v>
      </c>
      <c r="AO60" s="127">
        <f t="shared" si="104"/>
        <v>303.01604365625076</v>
      </c>
      <c r="AP60" s="127">
        <f t="shared" si="104"/>
        <v>-132.72526862823506</v>
      </c>
      <c r="AQ60" s="100">
        <f t="shared" si="84"/>
        <v>-0.30459647705283832</v>
      </c>
      <c r="AR60" s="127">
        <f>AR58+AR59</f>
        <v>-63.303956343749292</v>
      </c>
      <c r="AS60" s="676">
        <f t="shared" si="73"/>
        <v>-0.17281053817358949</v>
      </c>
      <c r="AU60" s="49"/>
      <c r="AW60" s="110" t="s">
        <v>21</v>
      </c>
      <c r="AX60" s="145">
        <f t="shared" ref="AX60:BA60" si="105">SUM(AX58:AX59)</f>
        <v>19.288974656333334</v>
      </c>
      <c r="AY60" s="145">
        <f t="shared" si="105"/>
        <v>23.087110549999998</v>
      </c>
      <c r="AZ60" s="145">
        <f t="shared" si="105"/>
        <v>15.017480000000001</v>
      </c>
      <c r="BA60" s="145">
        <f t="shared" si="105"/>
        <v>57.393565206333335</v>
      </c>
    </row>
    <row r="61" spans="2:53" ht="21.75" customHeight="1" thickBot="1">
      <c r="B61" s="85" t="s">
        <v>21</v>
      </c>
      <c r="C61" s="138">
        <f>SUM(C53:C60)+C43</f>
        <v>34.881584514124562</v>
      </c>
      <c r="D61" s="138">
        <f t="shared" ref="D61:H61" si="106">SUM(D53:D60)+D43</f>
        <v>29.394945000666667</v>
      </c>
      <c r="E61" s="138">
        <f t="shared" si="106"/>
        <v>30.631213320999997</v>
      </c>
      <c r="F61" s="138">
        <f t="shared" si="106"/>
        <v>-4.2503711931245576</v>
      </c>
      <c r="G61" s="147">
        <f t="shared" si="92"/>
        <v>-0.12185143686358225</v>
      </c>
      <c r="H61" s="138">
        <f t="shared" si="106"/>
        <v>1.2362683203333324</v>
      </c>
      <c r="I61" s="88">
        <f t="shared" si="94"/>
        <v>4.2057174126547754E-2</v>
      </c>
      <c r="J61" s="20"/>
      <c r="K61" s="110" t="s">
        <v>21</v>
      </c>
      <c r="L61" s="145">
        <f t="shared" ref="L61" si="107">SUM(L53:L60)+L43</f>
        <v>367.769850346</v>
      </c>
      <c r="M61" s="145">
        <f t="shared" ref="M61" si="108">SUM(M53:M60)+M43</f>
        <v>436.09014799670678</v>
      </c>
      <c r="N61" s="145">
        <f t="shared" ref="N61" si="109">SUM(N53:N60)+N43</f>
        <v>303.09153724399999</v>
      </c>
      <c r="O61" s="145">
        <f t="shared" ref="O61:Q61" si="110">SUM(O53:O60)+O43</f>
        <v>-132.99861075270678</v>
      </c>
      <c r="P61" s="163">
        <f t="shared" ref="P61" si="111">IFERROR(O61/M61,"-")</f>
        <v>-0.30497962717954169</v>
      </c>
      <c r="Q61" s="145">
        <f t="shared" si="110"/>
        <v>-64.678313101999962</v>
      </c>
      <c r="R61" s="163">
        <f t="shared" si="60"/>
        <v>-0.17586627354349529</v>
      </c>
      <c r="S61" s="54"/>
      <c r="T61" s="54"/>
      <c r="V61" s="49"/>
      <c r="W61" s="49"/>
      <c r="X61" s="49"/>
      <c r="Y61" s="49"/>
      <c r="Z61" s="49"/>
      <c r="AA61" s="49"/>
      <c r="AB61" s="49"/>
      <c r="AI61" s="49"/>
      <c r="AJ61" s="49"/>
      <c r="AK61" s="49"/>
      <c r="AL61" s="49"/>
      <c r="AM61" s="49"/>
      <c r="AN61" s="49"/>
      <c r="AO61" s="49"/>
      <c r="AP61" s="49"/>
      <c r="AU61" s="49"/>
    </row>
    <row r="62" spans="2:53" ht="15" thickBot="1">
      <c r="B62" s="20"/>
      <c r="C62" s="20"/>
      <c r="D62" s="20"/>
      <c r="E62" s="20"/>
      <c r="F62" s="22"/>
      <c r="G62" s="20"/>
      <c r="H62" s="52"/>
      <c r="I62" s="22"/>
      <c r="J62" s="20"/>
      <c r="K62" s="20"/>
      <c r="M62" s="24"/>
      <c r="N62" s="49"/>
      <c r="O62" s="49"/>
      <c r="P62" s="45"/>
      <c r="Q62" s="51"/>
      <c r="R62" s="45"/>
      <c r="V62" s="49"/>
      <c r="W62" s="49"/>
      <c r="X62" s="49"/>
      <c r="Y62" s="49"/>
      <c r="Z62" s="49"/>
      <c r="AA62" s="49"/>
      <c r="AB62" s="49"/>
      <c r="AI62" s="49"/>
      <c r="AJ62" s="49"/>
      <c r="AK62" s="49"/>
      <c r="AL62" s="49"/>
      <c r="AM62" s="49"/>
      <c r="AN62" s="49"/>
      <c r="AO62" s="49"/>
      <c r="AP62" s="49"/>
      <c r="AU62" s="49"/>
    </row>
    <row r="63" spans="2:53" ht="15" thickBot="1">
      <c r="B63" s="114" t="s">
        <v>60</v>
      </c>
      <c r="C63" s="133">
        <f t="shared" ref="C63:E63" si="112">C43+C53+C54+C55+C56</f>
        <v>31.768718293751082</v>
      </c>
      <c r="D63" s="133">
        <f t="shared" si="112"/>
        <v>24.367800000000003</v>
      </c>
      <c r="E63" s="133">
        <f t="shared" si="112"/>
        <v>23.854978000000003</v>
      </c>
      <c r="F63" s="134">
        <f t="shared" ref="F63" si="113">E63-C63</f>
        <v>-7.9137402937510792</v>
      </c>
      <c r="G63" s="117">
        <f t="shared" ref="G63" si="114">IFERROR(F63/C63,"-")</f>
        <v>-0.24910480242156055</v>
      </c>
      <c r="H63" s="134">
        <f t="shared" ref="H63" si="115">E63-D63</f>
        <v>-0.51282199999999989</v>
      </c>
      <c r="I63" s="118">
        <f t="shared" ref="I63" si="116">IFERROR(H63/D63,"-")</f>
        <v>-2.1045067671271098E-2</v>
      </c>
      <c r="K63" s="114" t="s">
        <v>60</v>
      </c>
      <c r="L63" s="133">
        <f>L43+L53+L54+L55+L56</f>
        <v>325.73939268099997</v>
      </c>
      <c r="M63" s="133">
        <f>M43+M53+M54+M55+M56</f>
        <v>388.63833960067734</v>
      </c>
      <c r="N63" s="133">
        <f>N43+N53+N54+N55+N56</f>
        <v>260.12221588800003</v>
      </c>
      <c r="O63" s="134">
        <f>O43+O53+O54+O55+O56</f>
        <v>-128.51612371267734</v>
      </c>
      <c r="P63" s="117">
        <f t="shared" ref="P63" si="117">IFERROR(O63/L63,"-")</f>
        <v>-0.39453663450074195</v>
      </c>
      <c r="Q63" s="134">
        <f>Q43+Q53+Q54+Q55+Q56</f>
        <v>-65.617176792999956</v>
      </c>
      <c r="R63" s="118">
        <f t="shared" ref="R63" si="118">IFERROR(Q63/M63,"-")</f>
        <v>-0.16883866079816279</v>
      </c>
      <c r="V63" s="49"/>
      <c r="W63" s="49"/>
      <c r="X63" s="49"/>
      <c r="Y63" s="49"/>
      <c r="Z63" s="49"/>
      <c r="AA63" s="49"/>
      <c r="AB63" s="49"/>
      <c r="AI63" s="49"/>
      <c r="AJ63" s="49"/>
      <c r="AK63" s="49"/>
      <c r="AL63" s="49"/>
      <c r="AM63" s="49"/>
      <c r="AN63" s="49"/>
      <c r="AO63" s="49"/>
      <c r="AP63" s="49"/>
      <c r="AU63" s="49"/>
    </row>
    <row r="64" spans="2:53" s="1012" customFormat="1">
      <c r="B64" s="1006"/>
      <c r="C64" s="1007"/>
      <c r="D64" s="1007"/>
      <c r="E64" s="1008"/>
      <c r="F64" s="1009"/>
      <c r="G64" s="1010"/>
      <c r="H64" s="1009"/>
      <c r="I64" s="1011"/>
      <c r="K64" s="1006"/>
      <c r="L64" s="1007"/>
      <c r="M64" s="1007"/>
      <c r="N64" s="1007"/>
      <c r="O64" s="1009"/>
      <c r="P64" s="1010"/>
      <c r="Q64" s="1009"/>
      <c r="R64" s="1011"/>
      <c r="V64" s="1013"/>
      <c r="W64" s="1013"/>
      <c r="X64" s="1013"/>
      <c r="Y64" s="1013"/>
      <c r="Z64" s="1013"/>
      <c r="AA64" s="1013"/>
      <c r="AB64" s="1013"/>
      <c r="AI64" s="1013"/>
      <c r="AJ64" s="1013"/>
      <c r="AK64" s="1013"/>
      <c r="AL64" s="1013"/>
      <c r="AM64" s="1013"/>
      <c r="AN64" s="1013"/>
      <c r="AO64" s="1013"/>
      <c r="AP64" s="1013"/>
      <c r="AU64" s="1013"/>
    </row>
    <row r="65" spans="2:47" s="1012" customFormat="1">
      <c r="B65" s="1006"/>
      <c r="C65" s="1007"/>
      <c r="D65" s="1007"/>
      <c r="E65" s="1007"/>
      <c r="F65" s="1009"/>
      <c r="G65" s="1010"/>
      <c r="H65" s="1009"/>
      <c r="I65" s="1011"/>
      <c r="K65" s="1006"/>
      <c r="L65" s="1007"/>
      <c r="M65" s="1007"/>
      <c r="N65" s="1007"/>
      <c r="O65" s="1009"/>
      <c r="P65" s="1010"/>
      <c r="Q65" s="1009"/>
      <c r="R65" s="1011"/>
      <c r="V65" s="1013"/>
      <c r="W65" s="1013"/>
      <c r="X65" s="1013"/>
      <c r="Y65" s="1013"/>
      <c r="Z65" s="1013"/>
      <c r="AA65" s="1013"/>
      <c r="AB65" s="1013"/>
      <c r="AI65" s="1013"/>
      <c r="AJ65" s="1013"/>
      <c r="AK65" s="1013"/>
      <c r="AL65" s="1013"/>
      <c r="AM65" s="1013"/>
      <c r="AN65" s="1013"/>
      <c r="AO65" s="1013"/>
      <c r="AP65" s="1013"/>
      <c r="AU65" s="1013"/>
    </row>
    <row r="66" spans="2:47" s="1012" customFormat="1">
      <c r="B66" s="673" t="s">
        <v>575</v>
      </c>
      <c r="C66" s="1015">
        <v>3.97</v>
      </c>
      <c r="D66" s="1015">
        <v>1.27</v>
      </c>
      <c r="E66" s="1015">
        <v>1.56</v>
      </c>
      <c r="F66" s="1016">
        <f>E66-D66</f>
        <v>0.29000000000000004</v>
      </c>
      <c r="G66" s="1010"/>
      <c r="H66" s="1009"/>
      <c r="I66" s="1011"/>
      <c r="K66" s="673" t="s">
        <v>575</v>
      </c>
      <c r="L66" s="1015"/>
      <c r="M66" s="1015">
        <v>46.02</v>
      </c>
      <c r="N66" s="1015">
        <v>21.81</v>
      </c>
      <c r="O66" s="1016">
        <f>N66-M66</f>
        <v>-24.210000000000004</v>
      </c>
      <c r="P66" s="1010"/>
      <c r="Q66" s="1009"/>
      <c r="R66" s="1011"/>
      <c r="V66" s="1013"/>
      <c r="W66" s="1013"/>
      <c r="X66" s="1013"/>
      <c r="Y66" s="1013"/>
      <c r="Z66" s="1013"/>
      <c r="AA66" s="1013"/>
      <c r="AB66" s="1013"/>
      <c r="AI66" s="1013"/>
      <c r="AJ66" s="1013"/>
      <c r="AK66" s="1013"/>
      <c r="AL66" s="1013"/>
      <c r="AM66" s="1013"/>
      <c r="AN66" s="1013"/>
      <c r="AO66" s="1013"/>
      <c r="AP66" s="1013"/>
      <c r="AU66" s="1013"/>
    </row>
    <row r="67" spans="2:47" s="1012" customFormat="1">
      <c r="B67" s="674" t="s">
        <v>576</v>
      </c>
      <c r="C67" s="1007">
        <v>0.18525683724645001</v>
      </c>
      <c r="D67" s="1007">
        <v>1.32</v>
      </c>
      <c r="E67" s="1007">
        <v>0.61</v>
      </c>
      <c r="F67" s="1017">
        <f t="shared" ref="F67:F68" si="119">E67-D67</f>
        <v>-0.71000000000000008</v>
      </c>
      <c r="G67" s="1010"/>
      <c r="H67" s="1009"/>
      <c r="I67" s="1011"/>
      <c r="K67" s="674" t="s">
        <v>576</v>
      </c>
      <c r="L67" s="1007"/>
      <c r="M67" s="1007">
        <v>1.48</v>
      </c>
      <c r="N67" s="1007">
        <v>3.57</v>
      </c>
      <c r="O67" s="1017">
        <f t="shared" ref="O67:O70" si="120">N67-M67</f>
        <v>2.09</v>
      </c>
      <c r="P67" s="1010"/>
      <c r="Q67" s="1009"/>
      <c r="R67" s="1011"/>
      <c r="V67" s="1013"/>
      <c r="W67" s="1013"/>
      <c r="X67" s="1013"/>
      <c r="Y67" s="1013"/>
      <c r="Z67" s="1013"/>
      <c r="AA67" s="1013"/>
      <c r="AB67" s="1013"/>
      <c r="AI67" s="1013"/>
      <c r="AJ67" s="1013"/>
      <c r="AK67" s="1013"/>
      <c r="AL67" s="1013"/>
      <c r="AM67" s="1013"/>
      <c r="AN67" s="1013"/>
      <c r="AO67" s="1013"/>
      <c r="AP67" s="1013"/>
      <c r="AU67" s="1013"/>
    </row>
    <row r="68" spans="2:47" s="1012" customFormat="1">
      <c r="B68" s="674" t="s">
        <v>80</v>
      </c>
      <c r="C68" s="1007">
        <v>0.28999999999999998</v>
      </c>
      <c r="D68" s="1007">
        <v>0.59</v>
      </c>
      <c r="E68" s="1007">
        <v>0.85</v>
      </c>
      <c r="F68" s="1017">
        <f t="shared" si="119"/>
        <v>0.26</v>
      </c>
      <c r="G68" s="1010"/>
      <c r="H68" s="1009"/>
      <c r="I68" s="1011"/>
      <c r="K68" s="674" t="s">
        <v>80</v>
      </c>
      <c r="L68" s="1007"/>
      <c r="M68" s="1007">
        <v>4.21</v>
      </c>
      <c r="N68" s="1007">
        <v>5.95</v>
      </c>
      <c r="O68" s="1017">
        <f t="shared" si="120"/>
        <v>1.7400000000000002</v>
      </c>
      <c r="P68" s="1010"/>
      <c r="Q68" s="1009"/>
      <c r="R68" s="1011"/>
      <c r="V68" s="1013"/>
      <c r="W68" s="1013"/>
      <c r="X68" s="1013"/>
      <c r="Y68" s="1013"/>
      <c r="Z68" s="1013"/>
      <c r="AA68" s="1013"/>
      <c r="AB68" s="1013"/>
      <c r="AI68" s="1013"/>
      <c r="AJ68" s="1013"/>
      <c r="AK68" s="1013"/>
      <c r="AL68" s="1013"/>
      <c r="AM68" s="1013"/>
      <c r="AN68" s="1013"/>
      <c r="AO68" s="1013"/>
      <c r="AP68" s="1013"/>
      <c r="AU68" s="1013"/>
    </row>
    <row r="69" spans="2:47" s="1012" customFormat="1">
      <c r="B69" s="674" t="s">
        <v>79</v>
      </c>
      <c r="C69" s="1007"/>
      <c r="D69" s="1007">
        <v>0.17</v>
      </c>
      <c r="E69" s="1007">
        <v>0.15</v>
      </c>
      <c r="F69" s="1017"/>
      <c r="G69" s="1010"/>
      <c r="H69" s="1009"/>
      <c r="I69" s="1011"/>
      <c r="K69" s="674" t="s">
        <v>79</v>
      </c>
      <c r="L69" s="1007"/>
      <c r="M69" s="1007">
        <v>0</v>
      </c>
      <c r="N69" s="1007">
        <v>0.56000000000000005</v>
      </c>
      <c r="O69" s="1017">
        <f t="shared" si="120"/>
        <v>0.56000000000000005</v>
      </c>
      <c r="P69" s="1010"/>
      <c r="Q69" s="1009"/>
      <c r="R69" s="1011"/>
      <c r="V69" s="1013"/>
      <c r="W69" s="1013"/>
      <c r="X69" s="1013"/>
      <c r="Y69" s="1013"/>
      <c r="Z69" s="1013"/>
      <c r="AA69" s="1013"/>
      <c r="AB69" s="1013"/>
      <c r="AI69" s="1013"/>
      <c r="AJ69" s="1013"/>
      <c r="AK69" s="1013"/>
      <c r="AL69" s="1013"/>
      <c r="AM69" s="1013"/>
      <c r="AN69" s="1013"/>
      <c r="AO69" s="1013"/>
      <c r="AP69" s="1013"/>
      <c r="AU69" s="1013"/>
    </row>
    <row r="70" spans="2:47">
      <c r="B70" s="675" t="s">
        <v>372</v>
      </c>
      <c r="C70" s="974"/>
      <c r="D70" s="1014"/>
      <c r="E70" s="1014"/>
      <c r="F70" s="1018"/>
      <c r="K70" s="675" t="s">
        <v>372</v>
      </c>
      <c r="L70" s="974"/>
      <c r="M70" s="1014">
        <v>1.75</v>
      </c>
      <c r="N70" s="1014">
        <v>3.55</v>
      </c>
      <c r="O70" s="1000">
        <f t="shared" si="120"/>
        <v>1.7999999999999998</v>
      </c>
      <c r="V70" s="49"/>
      <c r="W70" s="49"/>
      <c r="X70" s="49"/>
      <c r="Y70" s="49"/>
      <c r="Z70" s="49"/>
      <c r="AA70" s="49"/>
      <c r="AB70" s="49"/>
      <c r="AI70" s="49"/>
      <c r="AJ70" s="49"/>
      <c r="AK70" s="49"/>
      <c r="AL70" s="49"/>
      <c r="AM70" s="49"/>
      <c r="AN70" s="49"/>
      <c r="AO70" s="49"/>
      <c r="AP70" s="49"/>
      <c r="AU70" s="49"/>
    </row>
    <row r="71" spans="2:47">
      <c r="V71" s="49"/>
      <c r="W71" s="49"/>
      <c r="X71" s="49"/>
      <c r="Y71" s="49"/>
      <c r="Z71" s="49"/>
      <c r="AA71" s="49"/>
      <c r="AB71" s="49"/>
      <c r="AI71" s="49"/>
      <c r="AJ71" s="49"/>
      <c r="AK71" s="49"/>
      <c r="AL71" s="49"/>
      <c r="AM71" s="49"/>
      <c r="AN71" s="49"/>
      <c r="AO71" s="49"/>
      <c r="AP71" s="49"/>
      <c r="AU71" s="981"/>
    </row>
    <row r="72" spans="2:47" ht="15" thickBot="1"/>
    <row r="73" spans="2:47" ht="15">
      <c r="B73" s="181" t="s">
        <v>75</v>
      </c>
      <c r="C73" s="182"/>
      <c r="D73" s="182"/>
      <c r="E73" s="182"/>
      <c r="F73" s="183"/>
      <c r="G73" s="184"/>
      <c r="L73" s="2"/>
      <c r="M73" s="2"/>
      <c r="N73" s="2"/>
      <c r="O73" s="2"/>
      <c r="P73" s="2"/>
      <c r="Q73" s="2"/>
      <c r="R73" s="2"/>
    </row>
    <row r="74" spans="2:47">
      <c r="B74" s="185"/>
      <c r="C74" s="186"/>
      <c r="D74" s="186"/>
      <c r="E74" s="186"/>
      <c r="F74" s="187"/>
      <c r="G74" s="188"/>
      <c r="L74" s="2"/>
      <c r="M74" s="2"/>
      <c r="N74" s="2"/>
      <c r="O74" s="2"/>
      <c r="P74" s="2"/>
      <c r="Q74" s="2"/>
      <c r="R74" s="2"/>
    </row>
    <row r="75" spans="2:47" ht="15">
      <c r="B75" s="185"/>
      <c r="C75" s="186"/>
      <c r="D75" s="186"/>
      <c r="E75" s="186"/>
      <c r="F75" s="189" t="s">
        <v>69</v>
      </c>
      <c r="G75" s="188"/>
      <c r="L75" s="2"/>
      <c r="M75" s="2"/>
      <c r="N75" s="2"/>
      <c r="O75" s="2"/>
      <c r="P75" s="2"/>
      <c r="Q75" s="2"/>
      <c r="R75" s="2"/>
    </row>
    <row r="76" spans="2:47" ht="15">
      <c r="B76" s="185"/>
      <c r="C76" s="186"/>
      <c r="D76" s="186"/>
      <c r="E76" s="186"/>
      <c r="F76" s="189"/>
      <c r="G76" s="188"/>
      <c r="L76" s="2"/>
      <c r="M76" s="2"/>
      <c r="N76" s="2"/>
      <c r="O76" s="2"/>
      <c r="P76" s="2"/>
      <c r="Q76" s="2"/>
      <c r="R76" s="2"/>
    </row>
    <row r="77" spans="2:47" ht="15">
      <c r="B77" s="190" t="s">
        <v>595</v>
      </c>
      <c r="C77" s="186"/>
      <c r="D77" s="186"/>
      <c r="E77" s="186"/>
      <c r="F77" s="199">
        <f>M61</f>
        <v>436.09014799670678</v>
      </c>
      <c r="G77" s="188"/>
      <c r="L77" s="2"/>
      <c r="M77" s="2"/>
      <c r="N77" s="2"/>
      <c r="O77" s="2"/>
      <c r="P77" s="2"/>
      <c r="Q77" s="2"/>
      <c r="R77" s="2"/>
    </row>
    <row r="78" spans="2:47">
      <c r="B78" s="185"/>
      <c r="C78" s="186"/>
      <c r="D78" s="186"/>
      <c r="E78" s="192"/>
      <c r="F78" s="200"/>
      <c r="G78" s="188"/>
      <c r="L78" s="2"/>
      <c r="M78" s="2"/>
      <c r="N78" s="2"/>
      <c r="O78" s="2"/>
      <c r="P78" s="2"/>
      <c r="Q78" s="2"/>
      <c r="R78" s="2"/>
    </row>
    <row r="79" spans="2:47" ht="15">
      <c r="B79" s="193" t="s">
        <v>70</v>
      </c>
      <c r="C79" s="186"/>
      <c r="D79" s="186"/>
      <c r="E79" s="192"/>
      <c r="F79" s="200"/>
      <c r="G79" s="188"/>
      <c r="L79" s="2"/>
      <c r="M79" s="2"/>
      <c r="N79" s="2"/>
      <c r="O79" s="2"/>
      <c r="P79" s="2"/>
      <c r="Q79" s="2"/>
      <c r="R79" s="2"/>
    </row>
    <row r="80" spans="2:47" ht="15">
      <c r="B80" s="194" t="s">
        <v>26</v>
      </c>
      <c r="C80" s="186"/>
      <c r="D80" s="201">
        <v>-60.970809800364648</v>
      </c>
      <c r="E80" s="192"/>
      <c r="F80" s="191">
        <f>SUM(D80:D88)</f>
        <v>-151.12</v>
      </c>
      <c r="G80" s="188"/>
      <c r="J80" s="54"/>
      <c r="L80" s="2"/>
      <c r="M80" s="2"/>
      <c r="N80" s="2"/>
      <c r="O80" s="2"/>
      <c r="P80" s="2"/>
      <c r="Q80" s="2"/>
      <c r="R80" s="2"/>
    </row>
    <row r="81" spans="2:18" ht="15">
      <c r="B81" s="194" t="s">
        <v>49</v>
      </c>
      <c r="C81" s="186"/>
      <c r="D81" s="201">
        <v>-9.6265599999999996</v>
      </c>
      <c r="E81" s="192"/>
      <c r="F81" s="191"/>
      <c r="G81" s="188"/>
      <c r="L81" s="2"/>
      <c r="M81" s="2"/>
      <c r="N81" s="2"/>
      <c r="O81" s="2"/>
      <c r="P81" s="2"/>
      <c r="Q81" s="2"/>
      <c r="R81" s="2"/>
    </row>
    <row r="82" spans="2:18">
      <c r="B82" s="194" t="s">
        <v>71</v>
      </c>
      <c r="C82" s="186"/>
      <c r="D82" s="201">
        <v>-3.9940219999999997</v>
      </c>
      <c r="E82" s="192"/>
      <c r="F82" s="200"/>
      <c r="G82" s="188"/>
      <c r="L82" s="2"/>
      <c r="M82" s="2"/>
      <c r="N82" s="2"/>
      <c r="O82" s="2"/>
      <c r="P82" s="2"/>
      <c r="Q82" s="2"/>
      <c r="R82" s="2"/>
    </row>
    <row r="83" spans="2:18">
      <c r="B83" s="194" t="s">
        <v>331</v>
      </c>
      <c r="C83" s="186"/>
      <c r="D83" s="201"/>
      <c r="E83" s="192"/>
      <c r="F83" s="200"/>
      <c r="G83" s="188"/>
      <c r="I83" s="202"/>
      <c r="L83" s="2"/>
      <c r="M83" s="2"/>
      <c r="N83" s="2"/>
      <c r="O83" s="2"/>
      <c r="P83" s="2"/>
      <c r="Q83" s="2"/>
      <c r="R83" s="2"/>
    </row>
    <row r="84" spans="2:18">
      <c r="B84" s="194" t="s">
        <v>73</v>
      </c>
      <c r="C84" s="186"/>
      <c r="D84" s="201">
        <v>-60.359817299999996</v>
      </c>
      <c r="E84" s="192"/>
      <c r="F84" s="200"/>
      <c r="G84" s="188"/>
      <c r="L84" s="2"/>
      <c r="M84" s="2"/>
      <c r="N84" s="2"/>
      <c r="O84" s="2"/>
      <c r="P84" s="2"/>
      <c r="Q84" s="2"/>
      <c r="R84" s="2"/>
    </row>
    <row r="85" spans="2:18">
      <c r="B85" s="194" t="s">
        <v>27</v>
      </c>
      <c r="C85" s="186"/>
      <c r="D85" s="201">
        <v>-8.89</v>
      </c>
      <c r="E85" s="192"/>
      <c r="F85" s="200"/>
      <c r="G85" s="188"/>
      <c r="L85" s="2"/>
      <c r="M85" s="2"/>
      <c r="N85" s="2"/>
      <c r="O85" s="2"/>
      <c r="P85" s="2"/>
      <c r="Q85" s="2"/>
      <c r="R85" s="2"/>
    </row>
    <row r="86" spans="2:18">
      <c r="B86" s="194" t="s">
        <v>29</v>
      </c>
      <c r="C86" s="186"/>
      <c r="D86" s="192">
        <v>0.33644000000000007</v>
      </c>
      <c r="E86" s="192"/>
      <c r="F86" s="200"/>
      <c r="G86" s="188"/>
      <c r="L86" s="2"/>
      <c r="M86" s="2"/>
      <c r="N86" s="2"/>
      <c r="O86" s="2"/>
      <c r="P86" s="2"/>
      <c r="Q86" s="2"/>
      <c r="R86" s="2"/>
    </row>
    <row r="87" spans="2:18">
      <c r="B87" s="185" t="s">
        <v>77</v>
      </c>
      <c r="C87" s="186"/>
      <c r="D87" s="201">
        <v>-5.0864909986130344</v>
      </c>
      <c r="E87" s="192"/>
      <c r="F87" s="200"/>
      <c r="G87" s="188"/>
      <c r="L87" s="2"/>
      <c r="M87" s="2"/>
      <c r="N87" s="2"/>
      <c r="O87" s="2"/>
      <c r="P87" s="2"/>
      <c r="Q87" s="2"/>
      <c r="R87" s="2"/>
    </row>
    <row r="88" spans="2:18">
      <c r="B88" s="194" t="s">
        <v>28</v>
      </c>
      <c r="C88" s="186"/>
      <c r="D88" s="192">
        <f>-151.12-SUM(D80:D87)</f>
        <v>-2.5287399010223055</v>
      </c>
      <c r="E88" s="192"/>
      <c r="F88" s="200"/>
      <c r="G88" s="188"/>
      <c r="L88" s="2"/>
      <c r="M88" s="2"/>
      <c r="N88" s="2"/>
      <c r="O88" s="2"/>
      <c r="P88" s="2"/>
      <c r="Q88" s="2"/>
      <c r="R88" s="2"/>
    </row>
    <row r="89" spans="2:18">
      <c r="B89" s="185"/>
      <c r="C89" s="186"/>
      <c r="D89" s="186"/>
      <c r="E89" s="192"/>
      <c r="F89" s="200"/>
      <c r="G89" s="188"/>
      <c r="L89" s="2"/>
      <c r="M89" s="2"/>
      <c r="N89" s="2"/>
      <c r="O89" s="2"/>
      <c r="P89" s="2"/>
      <c r="Q89" s="2"/>
      <c r="R89" s="2"/>
    </row>
    <row r="90" spans="2:18" ht="15">
      <c r="B90" s="193" t="s">
        <v>74</v>
      </c>
      <c r="C90" s="186"/>
      <c r="D90" s="201"/>
      <c r="E90" s="192"/>
      <c r="F90" s="191">
        <f>SUM(D91:D99)</f>
        <v>18.12</v>
      </c>
      <c r="G90" s="188"/>
      <c r="H90" s="2"/>
      <c r="I90" s="2"/>
      <c r="L90" s="2"/>
      <c r="M90" s="2"/>
      <c r="N90" s="2"/>
      <c r="O90" s="2"/>
      <c r="P90" s="2"/>
      <c r="Q90" s="2"/>
      <c r="R90" s="2"/>
    </row>
    <row r="91" spans="2:18">
      <c r="B91" s="194" t="s">
        <v>26</v>
      </c>
      <c r="C91" s="186"/>
      <c r="D91" s="201">
        <v>7.056824803237431</v>
      </c>
      <c r="E91" s="192"/>
      <c r="F91" s="200"/>
      <c r="G91" s="188"/>
      <c r="H91" s="2"/>
      <c r="I91" s="2"/>
      <c r="L91" s="2"/>
      <c r="M91" s="2"/>
      <c r="N91" s="2"/>
      <c r="O91" s="2"/>
      <c r="P91" s="2"/>
      <c r="Q91" s="2"/>
      <c r="R91" s="2"/>
    </row>
    <row r="92" spans="2:18">
      <c r="B92" s="194" t="s">
        <v>49</v>
      </c>
      <c r="C92" s="186"/>
      <c r="D92" s="201">
        <v>9.1979999999999867E-2</v>
      </c>
      <c r="E92" s="192"/>
      <c r="F92" s="200"/>
      <c r="G92" s="188"/>
      <c r="H92" s="2"/>
      <c r="I92" s="2"/>
      <c r="L92" s="2"/>
      <c r="M92" s="2"/>
      <c r="N92" s="2"/>
      <c r="O92" s="2"/>
      <c r="P92" s="2"/>
      <c r="Q92" s="2"/>
      <c r="R92" s="2"/>
    </row>
    <row r="93" spans="2:18">
      <c r="B93" s="194" t="s">
        <v>71</v>
      </c>
      <c r="C93" s="186"/>
      <c r="D93" s="201">
        <v>1.0757520000000003</v>
      </c>
      <c r="E93" s="192"/>
      <c r="F93" s="200"/>
      <c r="G93" s="188"/>
      <c r="H93" s="2"/>
      <c r="I93" s="2"/>
      <c r="L93" s="2"/>
      <c r="M93" s="2"/>
      <c r="N93" s="2"/>
      <c r="O93" s="2"/>
      <c r="P93" s="2"/>
      <c r="Q93" s="2"/>
      <c r="R93" s="2"/>
    </row>
    <row r="94" spans="2:18">
      <c r="B94" s="194" t="s">
        <v>331</v>
      </c>
      <c r="C94" s="186"/>
      <c r="D94" s="201"/>
      <c r="E94" s="192"/>
      <c r="F94" s="200"/>
      <c r="G94" s="188"/>
      <c r="H94" s="2"/>
      <c r="I94" s="2"/>
      <c r="L94" s="2"/>
      <c r="M94" s="2"/>
      <c r="N94" s="2"/>
      <c r="O94" s="2"/>
      <c r="P94" s="2"/>
      <c r="Q94" s="2"/>
      <c r="R94" s="2"/>
    </row>
    <row r="95" spans="2:18">
      <c r="B95" s="194" t="s">
        <v>73</v>
      </c>
      <c r="C95" s="186"/>
      <c r="D95" s="977">
        <v>1.8285926500000005</v>
      </c>
      <c r="E95" s="192"/>
      <c r="F95" s="200"/>
      <c r="G95" s="188"/>
      <c r="H95" s="2"/>
      <c r="I95" s="2"/>
      <c r="L95" s="2"/>
      <c r="M95" s="2"/>
      <c r="N95" s="2"/>
      <c r="O95" s="2"/>
      <c r="P95" s="2"/>
      <c r="Q95" s="2"/>
      <c r="R95" s="2"/>
    </row>
    <row r="96" spans="2:18">
      <c r="B96" s="194" t="s">
        <v>27</v>
      </c>
      <c r="C96" s="186"/>
      <c r="D96" s="977"/>
      <c r="E96" s="192"/>
      <c r="F96" s="200"/>
      <c r="G96" s="188"/>
      <c r="H96" s="2"/>
      <c r="I96" s="2"/>
      <c r="L96" s="2"/>
      <c r="M96" s="2"/>
      <c r="N96" s="2"/>
      <c r="O96" s="2"/>
      <c r="P96" s="2"/>
      <c r="Q96" s="2"/>
      <c r="R96" s="2"/>
    </row>
    <row r="97" spans="2:18">
      <c r="B97" s="194" t="s">
        <v>29</v>
      </c>
      <c r="C97" s="186"/>
      <c r="D97" s="977">
        <v>-6.6670210000000715E-3</v>
      </c>
      <c r="E97" s="192"/>
      <c r="F97" s="200"/>
      <c r="G97" s="188"/>
      <c r="H97" s="2"/>
      <c r="I97" s="2"/>
      <c r="L97" s="2"/>
      <c r="M97" s="2"/>
      <c r="N97" s="2"/>
      <c r="O97" s="2"/>
      <c r="P97" s="2"/>
      <c r="Q97" s="2"/>
      <c r="R97" s="2"/>
    </row>
    <row r="98" spans="2:18">
      <c r="B98" s="185" t="str">
        <f>B87</f>
        <v>Liquid ( others)</v>
      </c>
      <c r="C98" s="186"/>
      <c r="D98" s="977">
        <v>0.54440459025734289</v>
      </c>
      <c r="E98" s="192"/>
      <c r="F98" s="200"/>
      <c r="G98" s="188"/>
      <c r="H98" s="2"/>
      <c r="I98" s="2"/>
      <c r="L98" s="2"/>
      <c r="M98" s="2"/>
      <c r="N98" s="2"/>
      <c r="O98" s="2"/>
      <c r="P98" s="2"/>
      <c r="Q98" s="2"/>
      <c r="R98" s="2"/>
    </row>
    <row r="99" spans="2:18">
      <c r="B99" s="194" t="s">
        <v>28</v>
      </c>
      <c r="C99" s="186"/>
      <c r="D99" s="977">
        <f>18.12-SUM(D91:D98)</f>
        <v>7.5291129775052266</v>
      </c>
      <c r="E99" s="192"/>
      <c r="F99" s="200"/>
      <c r="G99" s="188"/>
      <c r="H99" s="2"/>
      <c r="I99" s="2"/>
      <c r="L99" s="2"/>
      <c r="M99" s="2"/>
      <c r="N99" s="2"/>
      <c r="O99" s="2"/>
      <c r="P99" s="2"/>
      <c r="Q99" s="2"/>
      <c r="R99" s="2"/>
    </row>
    <row r="100" spans="2:18">
      <c r="B100" s="185"/>
      <c r="C100" s="186"/>
      <c r="D100" s="186"/>
      <c r="E100" s="192"/>
      <c r="F100" s="200"/>
      <c r="G100" s="188"/>
      <c r="H100" s="2"/>
      <c r="I100" s="2"/>
      <c r="L100" s="2"/>
      <c r="M100" s="2"/>
      <c r="N100" s="2"/>
      <c r="O100" s="2"/>
      <c r="P100" s="2"/>
      <c r="Q100" s="2"/>
      <c r="R100" s="2"/>
    </row>
    <row r="101" spans="2:18" ht="15">
      <c r="B101" s="190" t="s">
        <v>76</v>
      </c>
      <c r="C101" s="186"/>
      <c r="D101" s="201"/>
      <c r="E101" s="186"/>
      <c r="F101" s="191">
        <f>SUM(F77:F99)</f>
        <v>303.09014799670678</v>
      </c>
      <c r="G101" s="188"/>
      <c r="H101" s="2"/>
      <c r="I101" s="2"/>
      <c r="L101" s="2"/>
      <c r="M101" s="2"/>
      <c r="N101" s="2"/>
      <c r="O101" s="2"/>
      <c r="P101" s="2"/>
      <c r="Q101" s="2"/>
      <c r="R101" s="2"/>
    </row>
    <row r="102" spans="2:18">
      <c r="B102" s="185"/>
      <c r="C102" s="186"/>
      <c r="D102" s="186"/>
      <c r="E102" s="186"/>
      <c r="F102" s="187"/>
      <c r="G102" s="188"/>
      <c r="H102" s="2"/>
      <c r="I102" s="2"/>
      <c r="L102" s="2"/>
      <c r="M102" s="2"/>
      <c r="N102" s="2"/>
      <c r="O102" s="2"/>
      <c r="P102" s="2"/>
      <c r="Q102" s="2"/>
      <c r="R102" s="2"/>
    </row>
    <row r="103" spans="2:18" ht="15" thickBot="1">
      <c r="B103" s="195"/>
      <c r="C103" s="196"/>
      <c r="D103" s="196"/>
      <c r="E103" s="196"/>
      <c r="F103" s="197"/>
      <c r="G103" s="198"/>
      <c r="H103" s="2"/>
      <c r="I103" s="2"/>
      <c r="L103" s="2"/>
      <c r="M103" s="2"/>
      <c r="N103" s="2"/>
      <c r="O103" s="2"/>
      <c r="P103" s="2"/>
      <c r="Q103" s="2"/>
      <c r="R103" s="2"/>
    </row>
    <row r="104" spans="2:18">
      <c r="F104" s="982">
        <f>F101-N61</f>
        <v>-1.3892472932184319E-3</v>
      </c>
      <c r="H104" s="2"/>
      <c r="I104" s="2"/>
      <c r="L104" s="2"/>
      <c r="M104" s="2"/>
      <c r="N104" s="2"/>
      <c r="O104" s="2"/>
      <c r="P104" s="2"/>
      <c r="Q104" s="2"/>
      <c r="R104" s="2"/>
    </row>
    <row r="105" spans="2:18">
      <c r="H105" s="2"/>
      <c r="I105" s="2"/>
      <c r="L105" s="2"/>
      <c r="M105" s="2"/>
      <c r="N105" s="2"/>
      <c r="O105" s="2"/>
      <c r="P105" s="2"/>
      <c r="Q105" s="2"/>
      <c r="R105" s="2"/>
    </row>
    <row r="106" spans="2:18">
      <c r="F106" s="2"/>
      <c r="H106" s="2"/>
      <c r="I106" s="2"/>
      <c r="L106" s="2"/>
      <c r="M106" s="2"/>
      <c r="N106" s="2"/>
      <c r="O106" s="2"/>
      <c r="P106" s="2"/>
      <c r="Q106" s="2"/>
      <c r="R106" s="2"/>
    </row>
    <row r="107" spans="2:18">
      <c r="F107" s="2"/>
      <c r="H107" s="2"/>
      <c r="I107" s="2"/>
      <c r="L107" s="2"/>
      <c r="M107" s="2"/>
      <c r="N107" s="2"/>
      <c r="O107" s="2"/>
      <c r="P107" s="2"/>
      <c r="Q107" s="2"/>
      <c r="R107" s="2"/>
    </row>
    <row r="108" spans="2:18">
      <c r="F108" s="2"/>
      <c r="H108" s="2"/>
      <c r="I108" s="2"/>
      <c r="L108" s="2"/>
      <c r="M108" s="2"/>
      <c r="N108" s="2"/>
      <c r="O108" s="2"/>
      <c r="P108" s="2"/>
      <c r="Q108" s="2"/>
      <c r="R108" s="2"/>
    </row>
    <row r="109" spans="2:18">
      <c r="F109" s="2"/>
      <c r="H109" s="2"/>
      <c r="I109" s="2"/>
      <c r="L109" s="2"/>
      <c r="M109" s="2"/>
      <c r="N109" s="2"/>
      <c r="O109" s="2"/>
      <c r="P109" s="2"/>
      <c r="Q109" s="2"/>
      <c r="R109" s="2"/>
    </row>
    <row r="110" spans="2:18">
      <c r="F110" s="2"/>
      <c r="H110" s="2"/>
      <c r="I110" s="2"/>
      <c r="L110" s="2"/>
      <c r="M110" s="2"/>
      <c r="N110" s="2"/>
      <c r="O110" s="2"/>
      <c r="P110" s="2"/>
      <c r="Q110" s="2"/>
      <c r="R110" s="2"/>
    </row>
    <row r="111" spans="2:18">
      <c r="F111" s="2"/>
      <c r="H111" s="2"/>
      <c r="I111" s="2"/>
      <c r="L111" s="2"/>
      <c r="M111" s="2"/>
      <c r="N111" s="2"/>
      <c r="O111" s="2"/>
      <c r="P111" s="2"/>
      <c r="Q111" s="2"/>
      <c r="R111" s="2"/>
    </row>
    <row r="112" spans="2:18">
      <c r="F112" s="2"/>
      <c r="H112" s="2"/>
      <c r="I112" s="2"/>
      <c r="L112" s="2"/>
      <c r="M112" s="2"/>
      <c r="N112" s="2"/>
      <c r="O112" s="2"/>
      <c r="P112" s="2"/>
      <c r="Q112" s="2"/>
      <c r="R112" s="2"/>
    </row>
    <row r="113" spans="6:18">
      <c r="F113" s="2"/>
      <c r="H113" s="2"/>
      <c r="I113" s="2"/>
      <c r="L113" s="2"/>
      <c r="M113" s="2"/>
      <c r="N113" s="2"/>
      <c r="O113" s="2"/>
      <c r="P113" s="2"/>
      <c r="Q113" s="2"/>
      <c r="R113" s="2"/>
    </row>
    <row r="114" spans="6:18">
      <c r="F114" s="2"/>
      <c r="H114" s="2"/>
      <c r="I114" s="2"/>
      <c r="L114" s="2"/>
      <c r="M114" s="2"/>
      <c r="N114" s="2"/>
      <c r="O114" s="2"/>
      <c r="P114" s="2"/>
      <c r="Q114" s="2"/>
      <c r="R114" s="2"/>
    </row>
    <row r="115" spans="6:18">
      <c r="F115" s="2"/>
      <c r="H115" s="2"/>
      <c r="I115" s="2"/>
      <c r="L115" s="2"/>
      <c r="M115" s="2"/>
      <c r="N115" s="2"/>
      <c r="O115" s="2"/>
      <c r="P115" s="2"/>
      <c r="Q115" s="2"/>
      <c r="R115" s="2"/>
    </row>
    <row r="116" spans="6:18">
      <c r="F116" s="2"/>
      <c r="H116" s="2"/>
      <c r="I116" s="2"/>
      <c r="L116" s="2"/>
      <c r="M116" s="2"/>
      <c r="N116" s="2"/>
      <c r="O116" s="2"/>
      <c r="P116" s="2"/>
      <c r="Q116" s="2"/>
      <c r="R116" s="2"/>
    </row>
    <row r="117" spans="6:18">
      <c r="F117" s="2"/>
      <c r="H117" s="2"/>
      <c r="I117" s="2"/>
      <c r="L117" s="2"/>
      <c r="M117" s="2"/>
      <c r="N117" s="2"/>
      <c r="O117" s="2"/>
      <c r="P117" s="2"/>
      <c r="Q117" s="2"/>
      <c r="R117" s="2"/>
    </row>
    <row r="118" spans="6:18">
      <c r="F118" s="2"/>
      <c r="H118" s="2"/>
      <c r="I118" s="2"/>
      <c r="L118" s="2"/>
      <c r="M118" s="2"/>
      <c r="N118" s="2"/>
      <c r="O118" s="2"/>
      <c r="P118" s="2"/>
      <c r="Q118" s="2"/>
      <c r="R118" s="2"/>
    </row>
    <row r="119" spans="6:18">
      <c r="F119" s="2"/>
      <c r="H119" s="2"/>
      <c r="I119" s="2"/>
      <c r="L119" s="2"/>
      <c r="M119" s="2"/>
      <c r="N119" s="2"/>
      <c r="O119" s="2"/>
      <c r="P119" s="2"/>
      <c r="Q119" s="2"/>
      <c r="R119" s="2"/>
    </row>
    <row r="120" spans="6:18">
      <c r="F120" s="2"/>
      <c r="H120" s="2"/>
      <c r="I120" s="2"/>
      <c r="L120" s="2"/>
      <c r="M120" s="2"/>
      <c r="N120" s="2"/>
      <c r="O120" s="2"/>
      <c r="P120" s="2"/>
      <c r="Q120" s="2"/>
      <c r="R120" s="2"/>
    </row>
    <row r="121" spans="6:18">
      <c r="F121" s="2"/>
      <c r="H121" s="2"/>
      <c r="I121" s="2"/>
      <c r="L121" s="2"/>
      <c r="M121" s="2"/>
      <c r="N121" s="2"/>
      <c r="O121" s="2"/>
      <c r="P121" s="2"/>
      <c r="Q121" s="2"/>
      <c r="R121" s="2"/>
    </row>
    <row r="122" spans="6:18">
      <c r="F122" s="2"/>
      <c r="H122" s="2"/>
      <c r="I122" s="2"/>
      <c r="L122" s="2"/>
      <c r="M122" s="2"/>
      <c r="N122" s="2"/>
      <c r="O122" s="2"/>
      <c r="P122" s="2"/>
      <c r="Q122" s="2"/>
      <c r="R122" s="2"/>
    </row>
    <row r="123" spans="6:18">
      <c r="F123" s="2"/>
      <c r="H123" s="2"/>
      <c r="I123" s="2"/>
      <c r="L123" s="2"/>
      <c r="M123" s="2"/>
      <c r="N123" s="2"/>
      <c r="O123" s="2"/>
      <c r="P123" s="2"/>
      <c r="Q123" s="2"/>
      <c r="R123" s="2"/>
    </row>
    <row r="124" spans="6:18">
      <c r="F124" s="2"/>
      <c r="H124" s="2"/>
      <c r="I124" s="2"/>
      <c r="L124" s="2"/>
      <c r="M124" s="2"/>
      <c r="N124" s="2"/>
      <c r="O124" s="2"/>
      <c r="P124" s="2"/>
      <c r="Q124" s="2"/>
      <c r="R124" s="2"/>
    </row>
    <row r="125" spans="6:18">
      <c r="F125" s="2"/>
      <c r="H125" s="2"/>
      <c r="I125" s="2"/>
      <c r="L125" s="2"/>
      <c r="M125" s="2"/>
      <c r="N125" s="2"/>
      <c r="O125" s="2"/>
      <c r="P125" s="2"/>
      <c r="Q125" s="2"/>
      <c r="R125" s="2"/>
    </row>
    <row r="126" spans="6:18">
      <c r="F126" s="2"/>
      <c r="H126" s="2"/>
      <c r="I126" s="2"/>
      <c r="L126" s="2"/>
      <c r="M126" s="2"/>
      <c r="N126" s="2"/>
      <c r="O126" s="2"/>
      <c r="P126" s="2"/>
      <c r="Q126" s="2"/>
      <c r="R126" s="2"/>
    </row>
    <row r="127" spans="6:18">
      <c r="F127" s="2"/>
      <c r="H127" s="2"/>
      <c r="I127" s="2"/>
      <c r="L127" s="2"/>
      <c r="M127" s="2"/>
      <c r="N127" s="2"/>
      <c r="O127" s="2"/>
      <c r="P127" s="2"/>
      <c r="Q127" s="2"/>
      <c r="R127" s="2"/>
    </row>
    <row r="128" spans="6:18">
      <c r="F128" s="2"/>
      <c r="H128" s="2"/>
      <c r="I128" s="2"/>
      <c r="L128" s="2"/>
      <c r="M128" s="2"/>
      <c r="N128" s="2"/>
      <c r="O128" s="2"/>
      <c r="P128" s="2"/>
      <c r="Q128" s="2"/>
      <c r="R128" s="2"/>
    </row>
    <row r="129" spans="6:18">
      <c r="F129" s="2"/>
      <c r="H129" s="2"/>
      <c r="I129" s="2"/>
      <c r="L129" s="2"/>
      <c r="M129" s="2"/>
      <c r="N129" s="2"/>
      <c r="O129" s="2"/>
      <c r="P129" s="2"/>
      <c r="Q129" s="2"/>
      <c r="R129" s="2"/>
    </row>
    <row r="130" spans="6:18">
      <c r="F130" s="2"/>
      <c r="H130" s="2"/>
      <c r="I130" s="2"/>
      <c r="L130" s="2"/>
      <c r="M130" s="2"/>
      <c r="N130" s="2"/>
      <c r="O130" s="2"/>
      <c r="P130" s="2"/>
      <c r="Q130" s="2"/>
      <c r="R130" s="2"/>
    </row>
    <row r="131" spans="6:18">
      <c r="F131" s="2"/>
      <c r="H131" s="2"/>
      <c r="I131" s="2"/>
      <c r="L131" s="2"/>
      <c r="M131" s="2"/>
      <c r="N131" s="2"/>
      <c r="O131" s="2"/>
      <c r="P131" s="2"/>
      <c r="Q131" s="2"/>
      <c r="R131" s="2"/>
    </row>
    <row r="132" spans="6:18">
      <c r="F132" s="2"/>
      <c r="H132" s="2"/>
      <c r="I132" s="2"/>
      <c r="L132" s="2"/>
      <c r="M132" s="2"/>
      <c r="N132" s="2"/>
      <c r="O132" s="2"/>
      <c r="P132" s="2"/>
      <c r="Q132" s="2"/>
      <c r="R132" s="2"/>
    </row>
    <row r="133" spans="6:18">
      <c r="F133" s="2"/>
      <c r="H133" s="2"/>
      <c r="I133" s="2"/>
      <c r="L133" s="2"/>
      <c r="M133" s="2"/>
      <c r="N133" s="2"/>
      <c r="O133" s="2"/>
      <c r="P133" s="2"/>
      <c r="Q133" s="2"/>
      <c r="R133" s="2"/>
    </row>
    <row r="134" spans="6:18">
      <c r="F134" s="2"/>
      <c r="H134" s="2"/>
      <c r="I134" s="2"/>
      <c r="L134" s="2"/>
      <c r="M134" s="2"/>
      <c r="N134" s="2"/>
      <c r="O134" s="2"/>
      <c r="P134" s="2"/>
      <c r="Q134" s="2"/>
      <c r="R134" s="2"/>
    </row>
    <row r="135" spans="6:18">
      <c r="F135" s="2"/>
      <c r="H135" s="2"/>
      <c r="I135" s="2"/>
      <c r="L135" s="2"/>
      <c r="M135" s="2"/>
      <c r="N135" s="2"/>
      <c r="O135" s="2"/>
      <c r="P135" s="2"/>
      <c r="Q135" s="2"/>
      <c r="R135" s="2"/>
    </row>
    <row r="136" spans="6:18">
      <c r="F136" s="2"/>
      <c r="H136" s="2"/>
      <c r="I136" s="2"/>
      <c r="L136" s="2"/>
      <c r="M136" s="2"/>
      <c r="N136" s="2"/>
      <c r="O136" s="2"/>
      <c r="P136" s="2"/>
      <c r="Q136" s="2"/>
      <c r="R136" s="2"/>
    </row>
    <row r="137" spans="6:18">
      <c r="F137" s="2"/>
      <c r="H137" s="2"/>
      <c r="I137" s="2"/>
      <c r="L137" s="2"/>
      <c r="M137" s="2"/>
      <c r="N137" s="2"/>
      <c r="O137" s="2"/>
      <c r="P137" s="2"/>
      <c r="Q137" s="2"/>
      <c r="R137" s="2"/>
    </row>
    <row r="138" spans="6:18">
      <c r="F138" s="2"/>
      <c r="H138" s="2"/>
      <c r="I138" s="2"/>
      <c r="L138" s="2"/>
      <c r="M138" s="2"/>
      <c r="N138" s="2"/>
      <c r="O138" s="2"/>
      <c r="P138" s="2"/>
      <c r="Q138" s="2"/>
      <c r="R138" s="2"/>
    </row>
    <row r="139" spans="6:18">
      <c r="F139" s="2"/>
      <c r="H139" s="2"/>
      <c r="I139" s="2"/>
      <c r="L139" s="2"/>
      <c r="M139" s="2"/>
      <c r="N139" s="2"/>
      <c r="O139" s="2"/>
      <c r="P139" s="2"/>
      <c r="Q139" s="2"/>
      <c r="R139" s="2"/>
    </row>
    <row r="140" spans="6:18">
      <c r="F140" s="2"/>
      <c r="H140" s="2"/>
      <c r="I140" s="2"/>
      <c r="L140" s="2"/>
      <c r="M140" s="2"/>
      <c r="N140" s="2"/>
      <c r="O140" s="2"/>
      <c r="P140" s="2"/>
      <c r="Q140" s="2"/>
      <c r="R140" s="2"/>
    </row>
    <row r="141" spans="6:18">
      <c r="F141" s="2"/>
      <c r="H141" s="2"/>
      <c r="I141" s="2"/>
      <c r="L141" s="2"/>
      <c r="M141" s="2"/>
      <c r="N141" s="2"/>
      <c r="O141" s="2"/>
      <c r="P141" s="2"/>
      <c r="Q141" s="2"/>
      <c r="R141" s="2"/>
    </row>
    <row r="142" spans="6:18">
      <c r="F142" s="2"/>
      <c r="H142" s="2"/>
      <c r="I142" s="2"/>
      <c r="L142" s="2"/>
      <c r="M142" s="2"/>
      <c r="N142" s="2"/>
      <c r="O142" s="2"/>
      <c r="P142" s="2"/>
      <c r="Q142" s="2"/>
      <c r="R142" s="2"/>
    </row>
    <row r="143" spans="6:18">
      <c r="F143" s="2"/>
      <c r="H143" s="2"/>
      <c r="I143" s="2"/>
      <c r="L143" s="2"/>
      <c r="M143" s="2"/>
      <c r="N143" s="2"/>
      <c r="O143" s="2"/>
      <c r="P143" s="2"/>
      <c r="Q143" s="2"/>
      <c r="R143" s="2"/>
    </row>
    <row r="144" spans="6:18">
      <c r="F144" s="2"/>
      <c r="H144" s="2"/>
      <c r="I144" s="2"/>
      <c r="L144" s="2"/>
      <c r="M144" s="2"/>
      <c r="N144" s="2"/>
      <c r="O144" s="2"/>
      <c r="P144" s="2"/>
      <c r="Q144" s="2"/>
      <c r="R144" s="2"/>
    </row>
    <row r="145" spans="6:18">
      <c r="F145" s="2"/>
      <c r="H145" s="2"/>
      <c r="I145" s="2"/>
      <c r="L145" s="2"/>
      <c r="M145" s="2"/>
      <c r="N145" s="2"/>
      <c r="O145" s="2"/>
      <c r="P145" s="2"/>
      <c r="Q145" s="2"/>
      <c r="R145" s="2"/>
    </row>
    <row r="146" spans="6:18">
      <c r="F146" s="2"/>
      <c r="H146" s="2"/>
      <c r="I146" s="2"/>
      <c r="L146" s="2"/>
      <c r="M146" s="2"/>
      <c r="N146" s="2"/>
      <c r="O146" s="2"/>
      <c r="P146" s="2"/>
      <c r="Q146" s="2"/>
      <c r="R146" s="2"/>
    </row>
    <row r="147" spans="6:18">
      <c r="F147" s="2"/>
      <c r="H147" s="2"/>
      <c r="I147" s="2"/>
      <c r="L147" s="2"/>
      <c r="M147" s="2"/>
      <c r="N147" s="2"/>
      <c r="O147" s="2"/>
      <c r="P147" s="2"/>
      <c r="Q147" s="2"/>
      <c r="R147" s="2"/>
    </row>
    <row r="148" spans="6:18">
      <c r="F148" s="2"/>
      <c r="H148" s="2"/>
      <c r="I148" s="2"/>
      <c r="L148" s="2"/>
      <c r="M148" s="2"/>
      <c r="N148" s="2"/>
      <c r="O148" s="2"/>
      <c r="P148" s="2"/>
      <c r="Q148" s="2"/>
      <c r="R148" s="2"/>
    </row>
    <row r="149" spans="6:18">
      <c r="F149" s="2"/>
      <c r="H149" s="2"/>
      <c r="I149" s="2"/>
      <c r="L149" s="2"/>
      <c r="M149" s="2"/>
      <c r="N149" s="2"/>
      <c r="O149" s="2"/>
      <c r="P149" s="2"/>
      <c r="Q149" s="2"/>
      <c r="R149" s="2"/>
    </row>
    <row r="150" spans="6:18">
      <c r="F150" s="2"/>
      <c r="H150" s="2"/>
      <c r="I150" s="2"/>
      <c r="L150" s="2"/>
      <c r="M150" s="2"/>
      <c r="N150" s="2"/>
      <c r="O150" s="2"/>
      <c r="P150" s="2"/>
      <c r="Q150" s="2"/>
      <c r="R150" s="2"/>
    </row>
    <row r="151" spans="6:18">
      <c r="F151" s="2"/>
      <c r="H151" s="2"/>
      <c r="I151" s="2"/>
      <c r="L151" s="2"/>
      <c r="M151" s="2"/>
      <c r="N151" s="2"/>
      <c r="O151" s="2"/>
      <c r="P151" s="2"/>
      <c r="Q151" s="2"/>
      <c r="R151" s="2"/>
    </row>
    <row r="152" spans="6:18">
      <c r="F152" s="2"/>
      <c r="H152" s="2"/>
      <c r="I152" s="2"/>
      <c r="L152" s="2"/>
      <c r="M152" s="2"/>
      <c r="N152" s="2"/>
      <c r="O152" s="2"/>
      <c r="P152" s="2"/>
      <c r="Q152" s="2"/>
      <c r="R152" s="2"/>
    </row>
    <row r="153" spans="6:18">
      <c r="F153" s="2"/>
      <c r="H153" s="2"/>
      <c r="I153" s="2"/>
      <c r="L153" s="2"/>
      <c r="M153" s="2"/>
      <c r="N153" s="2"/>
      <c r="O153" s="2"/>
      <c r="P153" s="2"/>
      <c r="Q153" s="2"/>
      <c r="R153" s="2"/>
    </row>
    <row r="154" spans="6:18">
      <c r="F154" s="2"/>
      <c r="H154" s="2"/>
      <c r="I154" s="2"/>
      <c r="L154" s="2"/>
      <c r="M154" s="2"/>
      <c r="N154" s="2"/>
      <c r="O154" s="2"/>
      <c r="P154" s="2"/>
      <c r="Q154" s="2"/>
      <c r="R154" s="2"/>
    </row>
    <row r="155" spans="6:18">
      <c r="F155" s="2"/>
      <c r="H155" s="2"/>
      <c r="I155" s="2"/>
      <c r="L155" s="2"/>
      <c r="M155" s="2"/>
      <c r="N155" s="2"/>
      <c r="O155" s="2"/>
      <c r="P155" s="2"/>
      <c r="Q155" s="2"/>
      <c r="R155" s="2"/>
    </row>
    <row r="156" spans="6:18">
      <c r="F156" s="2"/>
      <c r="H156" s="2"/>
      <c r="I156" s="2"/>
      <c r="L156" s="2"/>
      <c r="M156" s="2"/>
      <c r="N156" s="2"/>
      <c r="O156" s="2"/>
      <c r="P156" s="2"/>
      <c r="Q156" s="2"/>
      <c r="R156" s="2"/>
    </row>
    <row r="157" spans="6:18">
      <c r="F157" s="2"/>
      <c r="H157" s="2"/>
      <c r="I157" s="2"/>
      <c r="L157" s="2"/>
      <c r="M157" s="2"/>
      <c r="N157" s="2"/>
      <c r="O157" s="2"/>
      <c r="P157" s="2"/>
      <c r="Q157" s="2"/>
      <c r="R157" s="2"/>
    </row>
    <row r="158" spans="6:18">
      <c r="F158" s="2"/>
      <c r="H158" s="2"/>
      <c r="I158" s="2"/>
      <c r="L158" s="2"/>
      <c r="M158" s="2"/>
      <c r="N158" s="2"/>
      <c r="O158" s="2"/>
      <c r="P158" s="2"/>
      <c r="Q158" s="2"/>
      <c r="R158" s="2"/>
    </row>
    <row r="159" spans="6:18">
      <c r="F159" s="2"/>
      <c r="H159" s="2"/>
      <c r="I159" s="2"/>
      <c r="L159" s="2"/>
      <c r="M159" s="2"/>
      <c r="N159" s="2"/>
      <c r="O159" s="2"/>
      <c r="P159" s="2"/>
      <c r="Q159" s="2"/>
      <c r="R159" s="2"/>
    </row>
    <row r="160" spans="6:18">
      <c r="F160" s="2"/>
      <c r="H160" s="2"/>
      <c r="I160" s="2"/>
      <c r="L160" s="2"/>
      <c r="M160" s="2"/>
      <c r="N160" s="2"/>
      <c r="O160" s="2"/>
      <c r="P160" s="2"/>
      <c r="Q160" s="2"/>
      <c r="R160" s="2"/>
    </row>
    <row r="161" spans="6:18">
      <c r="F161" s="2"/>
      <c r="H161" s="2"/>
      <c r="I161" s="2"/>
      <c r="L161" s="2"/>
      <c r="M161" s="2"/>
      <c r="N161" s="2"/>
      <c r="O161" s="2"/>
      <c r="P161" s="2"/>
      <c r="Q161" s="2"/>
      <c r="R161" s="2"/>
    </row>
    <row r="162" spans="6:18">
      <c r="F162" s="2"/>
      <c r="H162" s="2"/>
      <c r="I162" s="2"/>
      <c r="L162" s="2"/>
      <c r="M162" s="2"/>
      <c r="N162" s="2"/>
      <c r="O162" s="2"/>
      <c r="P162" s="2"/>
      <c r="Q162" s="2"/>
      <c r="R162" s="2"/>
    </row>
    <row r="163" spans="6:18">
      <c r="F163" s="2"/>
      <c r="H163" s="2"/>
      <c r="I163" s="2"/>
      <c r="L163" s="2"/>
      <c r="M163" s="2"/>
      <c r="N163" s="2"/>
      <c r="O163" s="2"/>
      <c r="P163" s="2"/>
      <c r="Q163" s="2"/>
      <c r="R163" s="2"/>
    </row>
    <row r="164" spans="6:18">
      <c r="F164" s="2"/>
      <c r="H164" s="2"/>
      <c r="I164" s="2"/>
      <c r="L164" s="2"/>
      <c r="M164" s="2"/>
      <c r="N164" s="2"/>
      <c r="O164" s="2"/>
      <c r="P164" s="2"/>
      <c r="Q164" s="2"/>
      <c r="R164" s="2"/>
    </row>
    <row r="165" spans="6:18">
      <c r="F165" s="2"/>
      <c r="H165" s="2"/>
      <c r="I165" s="2"/>
      <c r="L165" s="2"/>
      <c r="M165" s="2"/>
      <c r="N165" s="2"/>
      <c r="O165" s="2"/>
      <c r="P165" s="2"/>
      <c r="Q165" s="2"/>
      <c r="R165" s="2"/>
    </row>
    <row r="166" spans="6:18">
      <c r="F166" s="2"/>
      <c r="H166" s="2"/>
      <c r="I166" s="2"/>
      <c r="L166" s="2"/>
      <c r="M166" s="2"/>
      <c r="N166" s="2"/>
      <c r="O166" s="2"/>
      <c r="P166" s="2"/>
      <c r="Q166" s="2"/>
      <c r="R166" s="2"/>
    </row>
    <row r="167" spans="6:18">
      <c r="F167" s="2"/>
      <c r="H167" s="2"/>
      <c r="I167" s="2"/>
      <c r="L167" s="2"/>
      <c r="M167" s="2"/>
      <c r="N167" s="2"/>
      <c r="O167" s="2"/>
      <c r="P167" s="2"/>
      <c r="Q167" s="2"/>
      <c r="R167" s="2"/>
    </row>
    <row r="168" spans="6:18">
      <c r="F168" s="2"/>
      <c r="H168" s="2"/>
      <c r="I168" s="2"/>
      <c r="L168" s="2"/>
      <c r="M168" s="2"/>
      <c r="N168" s="2"/>
      <c r="O168" s="2"/>
      <c r="P168" s="2"/>
      <c r="Q168" s="2"/>
      <c r="R168" s="2"/>
    </row>
    <row r="169" spans="6:18">
      <c r="F169" s="2"/>
      <c r="H169" s="2"/>
      <c r="I169" s="2"/>
      <c r="L169" s="2"/>
      <c r="M169" s="2"/>
      <c r="N169" s="2"/>
      <c r="O169" s="2"/>
      <c r="P169" s="2"/>
      <c r="Q169" s="2"/>
      <c r="R169" s="2"/>
    </row>
    <row r="170" spans="6:18">
      <c r="F170" s="2"/>
      <c r="H170" s="2"/>
      <c r="I170" s="2"/>
      <c r="L170" s="2"/>
      <c r="M170" s="2"/>
      <c r="N170" s="2"/>
      <c r="O170" s="2"/>
      <c r="P170" s="2"/>
      <c r="Q170" s="2"/>
      <c r="R170" s="2"/>
    </row>
    <row r="171" spans="6:18">
      <c r="F171" s="2"/>
      <c r="H171" s="2"/>
      <c r="I171" s="2"/>
      <c r="L171" s="2"/>
      <c r="M171" s="2"/>
      <c r="N171" s="2"/>
      <c r="O171" s="2"/>
      <c r="P171" s="2"/>
      <c r="Q171" s="2"/>
      <c r="R171" s="2"/>
    </row>
    <row r="172" spans="6:18">
      <c r="F172" s="2"/>
      <c r="H172" s="2"/>
      <c r="I172" s="2"/>
      <c r="L172" s="2"/>
      <c r="M172" s="2"/>
      <c r="N172" s="2"/>
      <c r="O172" s="2"/>
      <c r="P172" s="2"/>
      <c r="Q172" s="2"/>
      <c r="R172" s="2"/>
    </row>
    <row r="173" spans="6:18">
      <c r="F173" s="2"/>
      <c r="H173" s="2"/>
      <c r="I173" s="2"/>
      <c r="L173" s="2"/>
      <c r="M173" s="2"/>
      <c r="N173" s="2"/>
      <c r="O173" s="2"/>
      <c r="P173" s="2"/>
      <c r="Q173" s="2"/>
      <c r="R173" s="2"/>
    </row>
    <row r="174" spans="6:18">
      <c r="F174" s="2"/>
      <c r="H174" s="2"/>
      <c r="I174" s="2"/>
      <c r="L174" s="2"/>
      <c r="M174" s="2"/>
      <c r="N174" s="2"/>
      <c r="O174" s="2"/>
      <c r="P174" s="2"/>
      <c r="Q174" s="2"/>
      <c r="R174" s="2"/>
    </row>
    <row r="175" spans="6:18">
      <c r="F175" s="2"/>
      <c r="H175" s="2"/>
      <c r="I175" s="2"/>
      <c r="L175" s="2"/>
      <c r="M175" s="2"/>
      <c r="N175" s="2"/>
      <c r="O175" s="2"/>
      <c r="P175" s="2"/>
      <c r="Q175" s="2"/>
      <c r="R175" s="2"/>
    </row>
    <row r="176" spans="6:18">
      <c r="F176" s="2"/>
      <c r="H176" s="2"/>
      <c r="I176" s="2"/>
      <c r="L176" s="2"/>
      <c r="M176" s="2"/>
      <c r="N176" s="2"/>
      <c r="O176" s="2"/>
      <c r="P176" s="2"/>
      <c r="Q176" s="2"/>
      <c r="R176" s="2"/>
    </row>
    <row r="177" spans="6:18">
      <c r="F177" s="2"/>
      <c r="H177" s="2"/>
      <c r="I177" s="2"/>
      <c r="L177" s="2"/>
      <c r="M177" s="2"/>
      <c r="N177" s="2"/>
      <c r="O177" s="2"/>
      <c r="P177" s="2"/>
      <c r="Q177" s="2"/>
      <c r="R177" s="2"/>
    </row>
    <row r="178" spans="6:18">
      <c r="F178" s="2"/>
      <c r="H178" s="2"/>
      <c r="I178" s="2"/>
      <c r="L178" s="2"/>
      <c r="M178" s="2"/>
      <c r="N178" s="2"/>
      <c r="O178" s="2"/>
      <c r="P178" s="2"/>
      <c r="Q178" s="2"/>
      <c r="R178" s="2"/>
    </row>
    <row r="179" spans="6:18">
      <c r="F179" s="2"/>
      <c r="H179" s="2"/>
      <c r="I179" s="2"/>
      <c r="L179" s="2"/>
      <c r="M179" s="2"/>
      <c r="N179" s="2"/>
      <c r="O179" s="2"/>
      <c r="P179" s="2"/>
      <c r="Q179" s="2"/>
      <c r="R179" s="2"/>
    </row>
    <row r="180" spans="6:18">
      <c r="F180" s="2"/>
      <c r="H180" s="2"/>
      <c r="I180" s="2"/>
      <c r="L180" s="2"/>
      <c r="M180" s="2"/>
      <c r="N180" s="2"/>
      <c r="O180" s="2"/>
      <c r="P180" s="2"/>
      <c r="Q180" s="2"/>
      <c r="R180" s="2"/>
    </row>
    <row r="181" spans="6:18">
      <c r="F181" s="2"/>
      <c r="H181" s="2"/>
      <c r="I181" s="2"/>
      <c r="L181" s="2"/>
      <c r="M181" s="2"/>
      <c r="N181" s="2"/>
      <c r="O181" s="2"/>
      <c r="P181" s="2"/>
      <c r="Q181" s="2"/>
      <c r="R181" s="2"/>
    </row>
    <row r="182" spans="6:18">
      <c r="F182" s="2"/>
      <c r="H182" s="2"/>
      <c r="I182" s="2"/>
      <c r="L182" s="2"/>
      <c r="M182" s="2"/>
      <c r="N182" s="2"/>
      <c r="O182" s="2"/>
      <c r="P182" s="2"/>
      <c r="Q182" s="2"/>
      <c r="R182" s="2"/>
    </row>
    <row r="183" spans="6:18">
      <c r="F183" s="2"/>
      <c r="H183" s="2"/>
      <c r="I183" s="2"/>
      <c r="L183" s="2"/>
      <c r="M183" s="2"/>
      <c r="N183" s="2"/>
      <c r="O183" s="2"/>
      <c r="P183" s="2"/>
      <c r="Q183" s="2"/>
      <c r="R183" s="2"/>
    </row>
    <row r="184" spans="6:18">
      <c r="F184" s="2"/>
      <c r="H184" s="2"/>
      <c r="I184" s="2"/>
      <c r="L184" s="2"/>
      <c r="M184" s="2"/>
      <c r="N184" s="2"/>
      <c r="O184" s="2"/>
      <c r="P184" s="2"/>
      <c r="Q184" s="2"/>
      <c r="R184" s="2"/>
    </row>
    <row r="185" spans="6:18">
      <c r="F185" s="2"/>
      <c r="H185" s="2"/>
      <c r="I185" s="2"/>
      <c r="L185" s="2"/>
      <c r="M185" s="2"/>
      <c r="N185" s="2"/>
      <c r="O185" s="2"/>
      <c r="P185" s="2"/>
      <c r="Q185" s="2"/>
      <c r="R185" s="2"/>
    </row>
    <row r="186" spans="6:18">
      <c r="F186" s="2"/>
      <c r="H186" s="2"/>
      <c r="I186" s="2"/>
      <c r="L186" s="2"/>
      <c r="M186" s="2"/>
      <c r="N186" s="2"/>
      <c r="O186" s="2"/>
      <c r="P186" s="2"/>
      <c r="Q186" s="2"/>
      <c r="R186" s="2"/>
    </row>
    <row r="187" spans="6:18">
      <c r="F187" s="2"/>
      <c r="H187" s="2"/>
      <c r="I187" s="2"/>
      <c r="L187" s="2"/>
      <c r="M187" s="2"/>
      <c r="N187" s="2"/>
      <c r="O187" s="2"/>
      <c r="P187" s="2"/>
      <c r="Q187" s="2"/>
      <c r="R187" s="2"/>
    </row>
    <row r="188" spans="6:18">
      <c r="F188" s="2"/>
      <c r="H188" s="2"/>
      <c r="I188" s="2"/>
      <c r="L188" s="2"/>
      <c r="M188" s="2"/>
      <c r="N188" s="2"/>
      <c r="O188" s="2"/>
      <c r="P188" s="2"/>
      <c r="Q188" s="2"/>
      <c r="R188" s="2"/>
    </row>
    <row r="189" spans="6:18">
      <c r="F189" s="2"/>
      <c r="H189" s="2"/>
      <c r="I189" s="2"/>
      <c r="L189" s="2"/>
      <c r="M189" s="2"/>
      <c r="N189" s="2"/>
      <c r="O189" s="2"/>
      <c r="P189" s="2"/>
      <c r="Q189" s="2"/>
      <c r="R189" s="2"/>
    </row>
    <row r="190" spans="6:18">
      <c r="F190" s="2"/>
      <c r="H190" s="2"/>
      <c r="I190" s="2"/>
      <c r="L190" s="2"/>
      <c r="M190" s="2"/>
      <c r="N190" s="2"/>
      <c r="O190" s="2"/>
      <c r="P190" s="2"/>
      <c r="Q190" s="2"/>
      <c r="R190" s="2"/>
    </row>
    <row r="191" spans="6:18">
      <c r="F191" s="2"/>
      <c r="H191" s="2"/>
      <c r="I191" s="2"/>
      <c r="L191" s="2"/>
      <c r="M191" s="2"/>
      <c r="N191" s="2"/>
      <c r="O191" s="2"/>
      <c r="P191" s="2"/>
      <c r="Q191" s="2"/>
      <c r="R191" s="2"/>
    </row>
    <row r="192" spans="6:18">
      <c r="F192" s="2"/>
      <c r="H192" s="2"/>
      <c r="I192" s="2"/>
      <c r="L192" s="2"/>
      <c r="M192" s="2"/>
      <c r="N192" s="2"/>
      <c r="O192" s="2"/>
      <c r="P192" s="2"/>
      <c r="Q192" s="2"/>
      <c r="R192" s="2"/>
    </row>
    <row r="193" spans="6:18">
      <c r="F193" s="2"/>
      <c r="H193" s="2"/>
      <c r="I193" s="2"/>
      <c r="L193" s="2"/>
      <c r="M193" s="2"/>
      <c r="N193" s="2"/>
      <c r="O193" s="2"/>
      <c r="P193" s="2"/>
      <c r="Q193" s="2"/>
      <c r="R193" s="2"/>
    </row>
    <row r="194" spans="6:18">
      <c r="F194" s="2"/>
      <c r="H194" s="2"/>
      <c r="I194" s="2"/>
      <c r="L194" s="2"/>
      <c r="M194" s="2"/>
      <c r="N194" s="2"/>
      <c r="O194" s="2"/>
      <c r="P194" s="2"/>
      <c r="Q194" s="2"/>
      <c r="R194" s="2"/>
    </row>
    <row r="195" spans="6:18">
      <c r="F195" s="2"/>
      <c r="H195" s="2"/>
      <c r="I195" s="2"/>
      <c r="L195" s="2"/>
      <c r="M195" s="2"/>
      <c r="N195" s="2"/>
      <c r="O195" s="2"/>
      <c r="P195" s="2"/>
      <c r="Q195" s="2"/>
      <c r="R195" s="2"/>
    </row>
    <row r="196" spans="6:18">
      <c r="F196" s="2"/>
      <c r="H196" s="2"/>
      <c r="I196" s="2"/>
      <c r="L196" s="2"/>
      <c r="M196" s="2"/>
      <c r="N196" s="2"/>
      <c r="O196" s="2"/>
      <c r="P196" s="2"/>
      <c r="Q196" s="2"/>
      <c r="R196" s="2"/>
    </row>
    <row r="197" spans="6:18">
      <c r="F197" s="2"/>
      <c r="H197" s="2"/>
      <c r="I197" s="2"/>
      <c r="L197" s="2"/>
      <c r="M197" s="2"/>
      <c r="N197" s="2"/>
      <c r="O197" s="2"/>
      <c r="P197" s="2"/>
      <c r="Q197" s="2"/>
      <c r="R197" s="2"/>
    </row>
    <row r="198" spans="6:18">
      <c r="F198" s="2"/>
      <c r="H198" s="2"/>
      <c r="I198" s="2"/>
      <c r="L198" s="2"/>
      <c r="M198" s="2"/>
      <c r="N198" s="2"/>
      <c r="O198" s="2"/>
      <c r="P198" s="2"/>
      <c r="Q198" s="2"/>
      <c r="R198" s="2"/>
    </row>
    <row r="199" spans="6:18">
      <c r="F199" s="2"/>
      <c r="H199" s="2"/>
      <c r="I199" s="2"/>
      <c r="L199" s="2"/>
      <c r="M199" s="2"/>
      <c r="N199" s="2"/>
      <c r="O199" s="2"/>
      <c r="P199" s="2"/>
      <c r="Q199" s="2"/>
      <c r="R199" s="2"/>
    </row>
    <row r="200" spans="6:18">
      <c r="F200" s="2"/>
      <c r="H200" s="2"/>
      <c r="I200" s="2"/>
      <c r="L200" s="2"/>
      <c r="M200" s="2"/>
      <c r="N200" s="2"/>
      <c r="O200" s="2"/>
      <c r="P200" s="2"/>
      <c r="Q200" s="2"/>
      <c r="R200" s="2"/>
    </row>
    <row r="201" spans="6:18">
      <c r="F201" s="2"/>
      <c r="H201" s="2"/>
      <c r="I201" s="2"/>
      <c r="L201" s="2"/>
      <c r="M201" s="2"/>
      <c r="N201" s="2"/>
      <c r="O201" s="2"/>
      <c r="P201" s="2"/>
      <c r="Q201" s="2"/>
      <c r="R201" s="2"/>
    </row>
  </sheetData>
  <mergeCells count="10">
    <mergeCell ref="AW8:BA8"/>
    <mergeCell ref="AW39:BA39"/>
    <mergeCell ref="AH8:AS8"/>
    <mergeCell ref="B39:I39"/>
    <mergeCell ref="K39:R39"/>
    <mergeCell ref="U8:AE8"/>
    <mergeCell ref="B8:I8"/>
    <mergeCell ref="K8:R8"/>
    <mergeCell ref="AH39:AS39"/>
    <mergeCell ref="U39:AE39"/>
  </mergeCells>
  <pageMargins left="0.43307086614173229" right="0.70866141732283472" top="0.39370078740157483" bottom="0.74803149606299213" header="0.31496062992125984" footer="0.31496062992125984"/>
  <pageSetup orientation="portrait" r:id="rId1"/>
  <ignoredErrors>
    <ignoredError sqref="B12:T12 F70:J70 B27 B26 B15 F15:I15 B56 B46 F46:K46 O15:R15 Q46:R46 B13:B14 F14:I14 B16:B21 F16:I21 B22 F22:I22 B23:B24 F24:I24 B29:I30 B28 F28:I28 B32:R32 B31 F31:J31 B47:B52 F47:K52 B44:B45 F45:K45 B53:B55 F53:K55 B62:M62 B58 F58:K58 B40:R41 C39:J39 L39:R39 AF15:AG15 AF14:AG14 AF16:AG21 AF22:AG22 F23:I23 AF23:AG23 AF24:AG24 B25 AF25:AG25 AF13:AG13 AF46:AG46 AF47:AG52 AF45:AG45 AF56:AG56 AF53:AG55 F57:J57 AF57:AG57 F59:J59 AF59:AG59 AF44:AG44 B43:R43 B42:R42 AF42:AG42 F13:I13 O13:R13 O14:R14 O17:R21 O26:R26 O22:R22 O24:R24 O23:R23 O25:R25 O28:R28 O31:R31 F44:K44 Q44:R44 Q47:R52 Q45:R45 Q53:R53 Q56:R56 B60 Q60:R60 Q58:R58 Q57:R57 Q59:R59 B71:R71 B38:F38 P33:R33 G34:J34 G33:J33 F56:K56 F60:K60 AF26:AG26 AF27:AG27 AF28:AG28 P34:R34 B63 N63:R63 Q55:R55 Q54:R54 AF39:AG39 AF34:AG34 AF33:AG33 P70:R70 F25:I25 F26:I26 J63:L63 AF32:AG32 AF29:AG30 AF31:AG31 B61:R61 U62:AG62 AF12:AG12 AF40:AG41 AF43:AG43 AF38:AG38 AF61:AG61 AF60:AG60 AF58:AG58 K27:R27 K15 K14 K16:K21 K22 K24 K29:R30 K23 K25 K26 I38:R38 O62:R62 AJ43:AL43 O16:R16 D27:I27 U71:AG71 U63:AG63 U70:AG70 V12:AA12 AA13:AA19 AO52:AO57" formulaRange="1"/>
    <ignoredError sqref="Y27 AA49 N21 N52" formula="1"/>
    <ignoredError sqref="C27 AO58:AO60" formula="1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C267"/>
  <sheetViews>
    <sheetView workbookViewId="0">
      <pane xSplit="6" ySplit="6" topLeftCell="CZ25" activePane="bottomRight" state="frozen"/>
      <selection pane="topRight" activeCell="G1" sqref="G1"/>
      <selection pane="bottomLeft" activeCell="A7" sqref="A7"/>
      <selection pane="bottomRight" activeCell="D41" sqref="D41"/>
    </sheetView>
  </sheetViews>
  <sheetFormatPr defaultColWidth="9.140625" defaultRowHeight="12.75"/>
  <cols>
    <col min="1" max="1" width="0.85546875" style="207" customWidth="1"/>
    <col min="2" max="2" width="21" style="204" customWidth="1"/>
    <col min="3" max="3" width="14.140625" style="205" customWidth="1"/>
    <col min="4" max="4" width="14.140625" style="206" customWidth="1"/>
    <col min="5" max="5" width="20.28515625" style="206" customWidth="1"/>
    <col min="6" max="7" width="9.85546875" style="207" customWidth="1"/>
    <col min="8" max="10" width="9.28515625" style="207" customWidth="1"/>
    <col min="11" max="11" width="9.5703125" style="207" customWidth="1"/>
    <col min="12" max="12" width="10.28515625" style="207" customWidth="1"/>
    <col min="13" max="13" width="9.5703125" style="207" customWidth="1"/>
    <col min="14" max="14" width="8.85546875" style="207" customWidth="1"/>
    <col min="15" max="16" width="9.28515625" style="207" customWidth="1"/>
    <col min="17" max="17" width="9.28515625" style="208" customWidth="1"/>
    <col min="18" max="18" width="9.28515625" style="207" customWidth="1"/>
    <col min="19" max="19" width="10.140625" style="209" customWidth="1"/>
    <col min="20" max="29" width="9.28515625" style="207" customWidth="1"/>
    <col min="30" max="30" width="8.85546875" style="207" customWidth="1"/>
    <col min="31" max="31" width="9.85546875" style="207" customWidth="1"/>
    <col min="32" max="32" width="7.7109375" style="209" customWidth="1"/>
    <col min="33" max="33" width="6.85546875" style="207" customWidth="1"/>
    <col min="34" max="43" width="9.85546875" style="207" customWidth="1"/>
    <col min="44" max="44" width="9.7109375" style="209" customWidth="1"/>
    <col min="45" max="45" width="7" style="210" customWidth="1"/>
    <col min="46" max="46" width="10.28515625" style="208" bestFit="1" customWidth="1"/>
    <col min="47" max="47" width="10.7109375" style="207" customWidth="1"/>
    <col min="48" max="48" width="9.28515625" style="207" customWidth="1"/>
    <col min="49" max="49" width="10.28515625" style="207" customWidth="1"/>
    <col min="50" max="52" width="11.28515625" style="207" customWidth="1"/>
    <col min="53" max="54" width="12.85546875" style="207" customWidth="1"/>
    <col min="55" max="55" width="11.28515625" style="207" customWidth="1"/>
    <col min="56" max="56" width="12.85546875" style="207" customWidth="1"/>
    <col min="57" max="57" width="10.28515625" style="207" customWidth="1"/>
    <col min="58" max="58" width="12" style="209" customWidth="1"/>
    <col min="59" max="59" width="9.28515625" style="208" bestFit="1" customWidth="1"/>
    <col min="60" max="60" width="11.28515625" style="207" customWidth="1"/>
    <col min="61" max="61" width="9.140625" style="207" customWidth="1"/>
    <col min="62" max="64" width="10.28515625" style="207" customWidth="1"/>
    <col min="65" max="65" width="11.5703125" style="207" customWidth="1"/>
    <col min="66" max="69" width="10.28515625" style="207" customWidth="1"/>
    <col min="70" max="70" width="9.28515625" style="207" customWidth="1"/>
    <col min="71" max="71" width="7" style="209" customWidth="1"/>
    <col min="72" max="72" width="9.28515625" style="207" bestFit="1" customWidth="1"/>
    <col min="73" max="73" width="10.28515625" style="207" customWidth="1"/>
    <col min="74" max="76" width="9.28515625" style="207" customWidth="1"/>
    <col min="77" max="78" width="10.28515625" style="207" customWidth="1"/>
    <col min="79" max="79" width="10.5703125" style="207" customWidth="1"/>
    <col min="80" max="80" width="10.28515625" style="207" customWidth="1"/>
    <col min="81" max="81" width="9.28515625" style="207" customWidth="1"/>
    <col min="82" max="82" width="10.28515625" style="207" customWidth="1"/>
    <col min="83" max="83" width="12.85546875" style="207" bestFit="1" customWidth="1"/>
    <col min="84" max="84" width="11.5703125" style="209" customWidth="1"/>
    <col min="85" max="85" width="7.28515625" style="207" customWidth="1"/>
    <col min="86" max="86" width="9.42578125" style="207" customWidth="1"/>
    <col min="87" max="88" width="9" style="207" customWidth="1"/>
    <col min="89" max="89" width="8.140625" style="207" customWidth="1"/>
    <col min="90" max="90" width="9" style="207" customWidth="1"/>
    <col min="91" max="91" width="8.140625" style="636" customWidth="1"/>
    <col min="92" max="92" width="9.140625" style="207" customWidth="1"/>
    <col min="93" max="93" width="10" style="211" customWidth="1"/>
    <col min="94" max="95" width="8.140625" style="207" customWidth="1"/>
    <col min="96" max="96" width="8.7109375" style="207" customWidth="1"/>
    <col min="97" max="97" width="2.85546875" style="209" customWidth="1"/>
    <col min="98" max="98" width="6.7109375" style="207" customWidth="1"/>
    <col min="99" max="99" width="10.140625" style="207" customWidth="1"/>
    <col min="100" max="100" width="9.5703125" style="207" customWidth="1"/>
    <col min="101" max="101" width="9.140625" style="207" customWidth="1"/>
    <col min="102" max="104" width="8.140625" style="207" customWidth="1"/>
    <col min="105" max="105" width="8.85546875" style="207" customWidth="1"/>
    <col min="106" max="109" width="8.140625" style="207" customWidth="1"/>
    <col min="110" max="110" width="6.7109375" style="209" customWidth="1"/>
    <col min="111" max="111" width="6.7109375" style="207" customWidth="1"/>
    <col min="112" max="121" width="9.85546875" style="207" customWidth="1"/>
    <col min="122" max="122" width="6.7109375" style="209" customWidth="1"/>
    <col min="123" max="123" width="5.85546875" style="209" customWidth="1"/>
    <col min="124" max="124" width="6.140625" style="207" customWidth="1"/>
    <col min="125" max="125" width="11.28515625" style="207" customWidth="1"/>
    <col min="126" max="127" width="9" style="207" customWidth="1"/>
    <col min="128" max="128" width="8.140625" style="207" customWidth="1"/>
    <col min="129" max="129" width="9.28515625" style="207" customWidth="1"/>
    <col min="130" max="135" width="8.140625" style="207" customWidth="1"/>
    <col min="136" max="136" width="5.140625" style="209" customWidth="1"/>
    <col min="137" max="137" width="7.28515625" style="207" customWidth="1"/>
    <col min="138" max="138" width="8.85546875" style="207" customWidth="1"/>
    <col min="139" max="140" width="9.140625" style="207" customWidth="1"/>
    <col min="141" max="148" width="8.140625" style="207" customWidth="1"/>
    <col min="149" max="149" width="4" style="212" customWidth="1"/>
    <col min="150" max="151" width="11.28515625" style="207" customWidth="1"/>
    <col min="152" max="153" width="9" style="207" customWidth="1"/>
    <col min="154" max="161" width="8.140625" style="207" customWidth="1"/>
    <col min="162" max="162" width="5.140625" style="209" customWidth="1"/>
    <col min="163" max="163" width="9" style="207" customWidth="1"/>
    <col min="164" max="164" width="8.85546875" style="207" customWidth="1"/>
    <col min="165" max="166" width="9.140625" style="207" customWidth="1"/>
    <col min="167" max="174" width="8.140625" style="207" customWidth="1"/>
    <col min="175" max="175" width="4" style="212" customWidth="1"/>
    <col min="176" max="176" width="11.28515625" style="207" customWidth="1"/>
    <col min="177" max="178" width="12.140625" style="207" hidden="1" customWidth="1"/>
    <col min="179" max="179" width="10.85546875" style="207" hidden="1" customWidth="1"/>
    <col min="180" max="180" width="11.28515625" style="213" hidden="1" customWidth="1"/>
    <col min="181" max="181" width="10.7109375" style="213" customWidth="1"/>
    <col min="182" max="183" width="8.7109375" style="213" customWidth="1"/>
    <col min="184" max="184" width="14.140625" style="213" customWidth="1"/>
    <col min="185" max="185" width="12.7109375" style="213" customWidth="1"/>
    <col min="186" max="186" width="13" style="213" customWidth="1"/>
    <col min="187" max="188" width="11.85546875" style="213" customWidth="1"/>
    <col min="189" max="189" width="7.85546875" style="214" customWidth="1"/>
    <col min="190" max="190" width="11.140625" style="207" customWidth="1"/>
    <col min="191" max="192" width="10.5703125" style="207" customWidth="1"/>
    <col min="193" max="193" width="10.7109375" style="207" customWidth="1"/>
    <col min="194" max="194" width="9.140625" style="213" customWidth="1"/>
    <col min="195" max="195" width="10.7109375" style="213" customWidth="1"/>
    <col min="196" max="197" width="12.140625" style="213" customWidth="1"/>
    <col min="198" max="198" width="7.85546875" style="213" customWidth="1"/>
    <col min="199" max="199" width="12" style="213" customWidth="1"/>
    <col min="200" max="203" width="11" style="213" customWidth="1"/>
    <col min="204" max="204" width="9.140625" style="214" customWidth="1"/>
    <col min="205" max="205" width="9.28515625" style="213" customWidth="1"/>
    <col min="206" max="215" width="9.140625" style="213" customWidth="1"/>
    <col min="216" max="16384" width="9.140625" style="213"/>
  </cols>
  <sheetData>
    <row r="1" spans="2:211" s="213" customFormat="1">
      <c r="B1" s="204"/>
      <c r="C1" s="205"/>
      <c r="D1" s="206">
        <v>1</v>
      </c>
      <c r="E1" s="206">
        <f>D1+1</f>
        <v>2</v>
      </c>
      <c r="F1" s="206">
        <f t="shared" ref="F1:BQ1" si="0">E1+1</f>
        <v>3</v>
      </c>
      <c r="G1" s="206">
        <f t="shared" si="0"/>
        <v>4</v>
      </c>
      <c r="H1" s="206">
        <f t="shared" si="0"/>
        <v>5</v>
      </c>
      <c r="I1" s="206">
        <f t="shared" si="0"/>
        <v>6</v>
      </c>
      <c r="J1" s="206">
        <f t="shared" si="0"/>
        <v>7</v>
      </c>
      <c r="K1" s="206">
        <f t="shared" si="0"/>
        <v>8</v>
      </c>
      <c r="L1" s="206">
        <f t="shared" si="0"/>
        <v>9</v>
      </c>
      <c r="M1" s="206">
        <f t="shared" si="0"/>
        <v>10</v>
      </c>
      <c r="N1" s="206">
        <f t="shared" si="0"/>
        <v>11</v>
      </c>
      <c r="O1" s="206">
        <f t="shared" si="0"/>
        <v>12</v>
      </c>
      <c r="P1" s="206">
        <f t="shared" si="0"/>
        <v>13</v>
      </c>
      <c r="Q1" s="206">
        <f t="shared" si="0"/>
        <v>14</v>
      </c>
      <c r="R1" s="206">
        <f t="shared" si="0"/>
        <v>15</v>
      </c>
      <c r="S1" s="206">
        <f t="shared" si="0"/>
        <v>16</v>
      </c>
      <c r="T1" s="206">
        <f t="shared" si="0"/>
        <v>17</v>
      </c>
      <c r="U1" s="206">
        <f t="shared" si="0"/>
        <v>18</v>
      </c>
      <c r="V1" s="206">
        <f t="shared" si="0"/>
        <v>19</v>
      </c>
      <c r="W1" s="206">
        <f t="shared" si="0"/>
        <v>20</v>
      </c>
      <c r="X1" s="206">
        <f t="shared" si="0"/>
        <v>21</v>
      </c>
      <c r="Y1" s="206">
        <f t="shared" si="0"/>
        <v>22</v>
      </c>
      <c r="Z1" s="206">
        <f t="shared" si="0"/>
        <v>23</v>
      </c>
      <c r="AA1" s="206">
        <f t="shared" si="0"/>
        <v>24</v>
      </c>
      <c r="AB1" s="206">
        <f t="shared" si="0"/>
        <v>25</v>
      </c>
      <c r="AC1" s="206">
        <f t="shared" si="0"/>
        <v>26</v>
      </c>
      <c r="AD1" s="206">
        <f t="shared" si="0"/>
        <v>27</v>
      </c>
      <c r="AE1" s="206">
        <f t="shared" si="0"/>
        <v>28</v>
      </c>
      <c r="AF1" s="206">
        <f t="shared" si="0"/>
        <v>29</v>
      </c>
      <c r="AG1" s="206">
        <f t="shared" si="0"/>
        <v>30</v>
      </c>
      <c r="AH1" s="206">
        <f t="shared" si="0"/>
        <v>31</v>
      </c>
      <c r="AI1" s="206">
        <f t="shared" si="0"/>
        <v>32</v>
      </c>
      <c r="AJ1" s="206">
        <f t="shared" si="0"/>
        <v>33</v>
      </c>
      <c r="AK1" s="206">
        <f t="shared" si="0"/>
        <v>34</v>
      </c>
      <c r="AL1" s="206">
        <f t="shared" si="0"/>
        <v>35</v>
      </c>
      <c r="AM1" s="206">
        <f t="shared" si="0"/>
        <v>36</v>
      </c>
      <c r="AN1" s="206">
        <f t="shared" si="0"/>
        <v>37</v>
      </c>
      <c r="AO1" s="206">
        <f t="shared" si="0"/>
        <v>38</v>
      </c>
      <c r="AP1" s="206">
        <f t="shared" si="0"/>
        <v>39</v>
      </c>
      <c r="AQ1" s="206">
        <f t="shared" si="0"/>
        <v>40</v>
      </c>
      <c r="AR1" s="206">
        <f t="shared" si="0"/>
        <v>41</v>
      </c>
      <c r="AS1" s="206">
        <f t="shared" si="0"/>
        <v>42</v>
      </c>
      <c r="AT1" s="206">
        <f t="shared" si="0"/>
        <v>43</v>
      </c>
      <c r="AU1" s="206">
        <f t="shared" si="0"/>
        <v>44</v>
      </c>
      <c r="AV1" s="206">
        <f t="shared" si="0"/>
        <v>45</v>
      </c>
      <c r="AW1" s="206">
        <f t="shared" si="0"/>
        <v>46</v>
      </c>
      <c r="AX1" s="206">
        <f t="shared" si="0"/>
        <v>47</v>
      </c>
      <c r="AY1" s="206">
        <f t="shared" si="0"/>
        <v>48</v>
      </c>
      <c r="AZ1" s="206">
        <f t="shared" si="0"/>
        <v>49</v>
      </c>
      <c r="BA1" s="206">
        <f t="shared" si="0"/>
        <v>50</v>
      </c>
      <c r="BB1" s="206">
        <f t="shared" si="0"/>
        <v>51</v>
      </c>
      <c r="BC1" s="206">
        <f t="shared" si="0"/>
        <v>52</v>
      </c>
      <c r="BD1" s="206">
        <f t="shared" si="0"/>
        <v>53</v>
      </c>
      <c r="BE1" s="206">
        <f t="shared" si="0"/>
        <v>54</v>
      </c>
      <c r="BF1" s="206">
        <f t="shared" si="0"/>
        <v>55</v>
      </c>
      <c r="BG1" s="206">
        <f t="shared" si="0"/>
        <v>56</v>
      </c>
      <c r="BH1" s="206">
        <f t="shared" si="0"/>
        <v>57</v>
      </c>
      <c r="BI1" s="206">
        <f t="shared" si="0"/>
        <v>58</v>
      </c>
      <c r="BJ1" s="206">
        <f t="shared" si="0"/>
        <v>59</v>
      </c>
      <c r="BK1" s="206">
        <f t="shared" si="0"/>
        <v>60</v>
      </c>
      <c r="BL1" s="206">
        <f t="shared" si="0"/>
        <v>61</v>
      </c>
      <c r="BM1" s="206">
        <f t="shared" si="0"/>
        <v>62</v>
      </c>
      <c r="BN1" s="206">
        <f t="shared" si="0"/>
        <v>63</v>
      </c>
      <c r="BO1" s="206">
        <f t="shared" si="0"/>
        <v>64</v>
      </c>
      <c r="BP1" s="206">
        <f t="shared" si="0"/>
        <v>65</v>
      </c>
      <c r="BQ1" s="206">
        <f t="shared" si="0"/>
        <v>66</v>
      </c>
      <c r="BR1" s="206">
        <f t="shared" ref="BR1:EC1" si="1">BQ1+1</f>
        <v>67</v>
      </c>
      <c r="BS1" s="206">
        <f t="shared" si="1"/>
        <v>68</v>
      </c>
      <c r="BT1" s="206">
        <f t="shared" si="1"/>
        <v>69</v>
      </c>
      <c r="BU1" s="206">
        <f t="shared" si="1"/>
        <v>70</v>
      </c>
      <c r="BV1" s="206">
        <f t="shared" si="1"/>
        <v>71</v>
      </c>
      <c r="BW1" s="206">
        <f t="shared" si="1"/>
        <v>72</v>
      </c>
      <c r="BX1" s="206">
        <f t="shared" si="1"/>
        <v>73</v>
      </c>
      <c r="BY1" s="206">
        <f t="shared" si="1"/>
        <v>74</v>
      </c>
      <c r="BZ1" s="206">
        <f t="shared" si="1"/>
        <v>75</v>
      </c>
      <c r="CA1" s="206">
        <f t="shared" si="1"/>
        <v>76</v>
      </c>
      <c r="CB1" s="206">
        <f t="shared" si="1"/>
        <v>77</v>
      </c>
      <c r="CC1" s="206">
        <f t="shared" si="1"/>
        <v>78</v>
      </c>
      <c r="CD1" s="206">
        <f t="shared" si="1"/>
        <v>79</v>
      </c>
      <c r="CE1" s="206">
        <f t="shared" si="1"/>
        <v>80</v>
      </c>
      <c r="CF1" s="206">
        <f t="shared" si="1"/>
        <v>81</v>
      </c>
      <c r="CG1" s="206">
        <f t="shared" si="1"/>
        <v>82</v>
      </c>
      <c r="CH1" s="206">
        <f t="shared" si="1"/>
        <v>83</v>
      </c>
      <c r="CI1" s="206">
        <f t="shared" si="1"/>
        <v>84</v>
      </c>
      <c r="CJ1" s="206">
        <f t="shared" si="1"/>
        <v>85</v>
      </c>
      <c r="CK1" s="206">
        <f t="shared" si="1"/>
        <v>86</v>
      </c>
      <c r="CL1" s="206">
        <f t="shared" si="1"/>
        <v>87</v>
      </c>
      <c r="CM1" s="206">
        <f t="shared" si="1"/>
        <v>88</v>
      </c>
      <c r="CN1" s="206">
        <f t="shared" si="1"/>
        <v>89</v>
      </c>
      <c r="CO1" s="206">
        <f t="shared" si="1"/>
        <v>90</v>
      </c>
      <c r="CP1" s="206">
        <f t="shared" si="1"/>
        <v>91</v>
      </c>
      <c r="CQ1" s="206">
        <f t="shared" si="1"/>
        <v>92</v>
      </c>
      <c r="CR1" s="206">
        <f t="shared" si="1"/>
        <v>93</v>
      </c>
      <c r="CS1" s="206">
        <f t="shared" si="1"/>
        <v>94</v>
      </c>
      <c r="CT1" s="206">
        <f t="shared" si="1"/>
        <v>95</v>
      </c>
      <c r="CU1" s="206">
        <f t="shared" si="1"/>
        <v>96</v>
      </c>
      <c r="CV1" s="206">
        <f t="shared" si="1"/>
        <v>97</v>
      </c>
      <c r="CW1" s="206">
        <f t="shared" si="1"/>
        <v>98</v>
      </c>
      <c r="CX1" s="206">
        <f t="shared" si="1"/>
        <v>99</v>
      </c>
      <c r="CY1" s="206">
        <f t="shared" si="1"/>
        <v>100</v>
      </c>
      <c r="CZ1" s="206">
        <f t="shared" si="1"/>
        <v>101</v>
      </c>
      <c r="DA1" s="206">
        <f t="shared" si="1"/>
        <v>102</v>
      </c>
      <c r="DB1" s="206">
        <f t="shared" si="1"/>
        <v>103</v>
      </c>
      <c r="DC1" s="206">
        <f t="shared" si="1"/>
        <v>104</v>
      </c>
      <c r="DD1" s="206">
        <f t="shared" si="1"/>
        <v>105</v>
      </c>
      <c r="DE1" s="206">
        <f t="shared" si="1"/>
        <v>106</v>
      </c>
      <c r="DF1" s="206">
        <f t="shared" si="1"/>
        <v>107</v>
      </c>
      <c r="DG1" s="206">
        <f t="shared" si="1"/>
        <v>108</v>
      </c>
      <c r="DH1" s="206">
        <f t="shared" si="1"/>
        <v>109</v>
      </c>
      <c r="DI1" s="206">
        <f t="shared" si="1"/>
        <v>110</v>
      </c>
      <c r="DJ1" s="206">
        <f t="shared" si="1"/>
        <v>111</v>
      </c>
      <c r="DK1" s="206">
        <f t="shared" si="1"/>
        <v>112</v>
      </c>
      <c r="DL1" s="206">
        <f t="shared" si="1"/>
        <v>113</v>
      </c>
      <c r="DM1" s="206">
        <f t="shared" si="1"/>
        <v>114</v>
      </c>
      <c r="DN1" s="206">
        <f t="shared" si="1"/>
        <v>115</v>
      </c>
      <c r="DO1" s="206">
        <f t="shared" si="1"/>
        <v>116</v>
      </c>
      <c r="DP1" s="206">
        <f t="shared" si="1"/>
        <v>117</v>
      </c>
      <c r="DQ1" s="206">
        <f t="shared" si="1"/>
        <v>118</v>
      </c>
      <c r="DR1" s="206">
        <f t="shared" si="1"/>
        <v>119</v>
      </c>
      <c r="DS1" s="206">
        <f t="shared" si="1"/>
        <v>120</v>
      </c>
      <c r="DT1" s="206">
        <f t="shared" si="1"/>
        <v>121</v>
      </c>
      <c r="DU1" s="206">
        <f t="shared" si="1"/>
        <v>122</v>
      </c>
      <c r="DV1" s="206">
        <f t="shared" si="1"/>
        <v>123</v>
      </c>
      <c r="DW1" s="206">
        <f t="shared" si="1"/>
        <v>124</v>
      </c>
      <c r="DX1" s="206">
        <f t="shared" si="1"/>
        <v>125</v>
      </c>
      <c r="DY1" s="206">
        <f t="shared" si="1"/>
        <v>126</v>
      </c>
      <c r="DZ1" s="206">
        <f t="shared" si="1"/>
        <v>127</v>
      </c>
      <c r="EA1" s="206">
        <f t="shared" si="1"/>
        <v>128</v>
      </c>
      <c r="EB1" s="206">
        <f t="shared" si="1"/>
        <v>129</v>
      </c>
      <c r="EC1" s="206">
        <f t="shared" si="1"/>
        <v>130</v>
      </c>
      <c r="ED1" s="206">
        <f t="shared" ref="ED1:ES1" si="2">EC1+1</f>
        <v>131</v>
      </c>
      <c r="EE1" s="206">
        <f t="shared" si="2"/>
        <v>132</v>
      </c>
      <c r="EF1" s="206">
        <f t="shared" si="2"/>
        <v>133</v>
      </c>
      <c r="EG1" s="206">
        <f t="shared" si="2"/>
        <v>134</v>
      </c>
      <c r="EH1" s="206">
        <f t="shared" si="2"/>
        <v>135</v>
      </c>
      <c r="EI1" s="206">
        <f t="shared" si="2"/>
        <v>136</v>
      </c>
      <c r="EJ1" s="206">
        <f t="shared" si="2"/>
        <v>137</v>
      </c>
      <c r="EK1" s="206">
        <f t="shared" si="2"/>
        <v>138</v>
      </c>
      <c r="EL1" s="206">
        <f t="shared" si="2"/>
        <v>139</v>
      </c>
      <c r="EM1" s="206">
        <f t="shared" si="2"/>
        <v>140</v>
      </c>
      <c r="EN1" s="206">
        <f t="shared" si="2"/>
        <v>141</v>
      </c>
      <c r="EO1" s="206">
        <f t="shared" si="2"/>
        <v>142</v>
      </c>
      <c r="EP1" s="206">
        <f t="shared" si="2"/>
        <v>143</v>
      </c>
      <c r="EQ1" s="206">
        <f t="shared" si="2"/>
        <v>144</v>
      </c>
      <c r="ER1" s="206">
        <f t="shared" si="2"/>
        <v>145</v>
      </c>
      <c r="ES1" s="206">
        <f t="shared" si="2"/>
        <v>146</v>
      </c>
      <c r="ET1" s="207"/>
      <c r="EU1" s="207"/>
      <c r="EV1" s="207"/>
      <c r="EW1" s="207"/>
      <c r="EX1" s="207"/>
      <c r="EY1" s="207"/>
      <c r="EZ1" s="207"/>
      <c r="FA1" s="207"/>
      <c r="FB1" s="207"/>
      <c r="FC1" s="207"/>
      <c r="FD1" s="207"/>
      <c r="FE1" s="207"/>
      <c r="FF1" s="209"/>
      <c r="FG1" s="207"/>
      <c r="FH1" s="207"/>
      <c r="FI1" s="207"/>
      <c r="FJ1" s="207"/>
      <c r="FK1" s="207"/>
      <c r="FL1" s="207"/>
      <c r="FM1" s="207"/>
      <c r="FN1" s="207"/>
      <c r="FO1" s="207"/>
      <c r="FP1" s="207"/>
      <c r="FQ1" s="207"/>
      <c r="FR1" s="207"/>
      <c r="FS1" s="212"/>
      <c r="FT1" s="207"/>
      <c r="FU1" s="207"/>
      <c r="FV1" s="207"/>
      <c r="FW1" s="207"/>
      <c r="GG1" s="214"/>
      <c r="GH1" s="207"/>
      <c r="GI1" s="207"/>
      <c r="GJ1" s="207"/>
      <c r="GK1" s="207"/>
      <c r="GV1" s="214"/>
    </row>
    <row r="2" spans="2:211" s="213" customFormat="1" ht="15.75">
      <c r="B2" s="215" t="s">
        <v>85</v>
      </c>
      <c r="C2" s="216"/>
      <c r="D2" s="216"/>
      <c r="E2" s="217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9"/>
      <c r="R2" s="218"/>
      <c r="S2" s="220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20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20"/>
      <c r="AS2" s="210"/>
      <c r="AT2" s="219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20"/>
      <c r="BG2" s="219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20"/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20"/>
      <c r="CG2" s="218"/>
      <c r="CH2" s="218"/>
      <c r="CI2" s="218"/>
      <c r="CJ2" s="218"/>
      <c r="CK2" s="218"/>
      <c r="CL2" s="218"/>
      <c r="CM2" s="221"/>
      <c r="CN2" s="218"/>
      <c r="CO2" s="222"/>
      <c r="CP2" s="218"/>
      <c r="CQ2" s="218"/>
      <c r="CR2" s="218"/>
      <c r="CS2" s="220"/>
      <c r="CT2" s="218"/>
      <c r="CU2" s="218"/>
      <c r="CV2" s="218"/>
      <c r="CW2" s="218"/>
      <c r="CX2" s="218"/>
      <c r="CY2" s="218"/>
      <c r="CZ2" s="218"/>
      <c r="DA2" s="218"/>
      <c r="DB2" s="218"/>
      <c r="DC2" s="218"/>
      <c r="DD2" s="218"/>
      <c r="DE2" s="218"/>
      <c r="DF2" s="220"/>
      <c r="DG2" s="218"/>
      <c r="DH2" s="218"/>
      <c r="DI2" s="218"/>
      <c r="DJ2" s="218"/>
      <c r="DK2" s="218"/>
      <c r="DL2" s="218"/>
      <c r="DM2" s="218"/>
      <c r="DN2" s="218"/>
      <c r="DO2" s="218"/>
      <c r="DP2" s="218"/>
      <c r="DQ2" s="218"/>
      <c r="DR2" s="220"/>
      <c r="DS2" s="220"/>
      <c r="DT2" s="218"/>
      <c r="DU2" s="218"/>
      <c r="DV2" s="218"/>
      <c r="DW2" s="218"/>
      <c r="DX2" s="218"/>
      <c r="DY2" s="218"/>
      <c r="DZ2" s="218"/>
      <c r="EA2" s="218"/>
      <c r="EB2" s="218"/>
      <c r="EC2" s="218"/>
      <c r="ED2" s="218"/>
      <c r="EE2" s="218"/>
      <c r="EF2" s="220"/>
      <c r="EG2" s="218"/>
      <c r="EH2" s="218"/>
      <c r="EI2" s="218"/>
      <c r="EJ2" s="218"/>
      <c r="EK2" s="218"/>
      <c r="EL2" s="218"/>
      <c r="EM2" s="218"/>
      <c r="EN2" s="218"/>
      <c r="EO2" s="218"/>
      <c r="EP2" s="218"/>
      <c r="EQ2" s="218"/>
      <c r="ER2" s="218"/>
      <c r="ES2" s="212"/>
      <c r="ET2" s="218"/>
      <c r="EU2" s="218"/>
      <c r="EV2" s="218"/>
      <c r="EW2" s="218"/>
      <c r="EX2" s="218"/>
      <c r="EY2" s="218"/>
      <c r="EZ2" s="218"/>
      <c r="FA2" s="218"/>
      <c r="FB2" s="218"/>
      <c r="FC2" s="218"/>
      <c r="FD2" s="218"/>
      <c r="FE2" s="218"/>
      <c r="FF2" s="220"/>
      <c r="FG2" s="218"/>
      <c r="FH2" s="218"/>
      <c r="FI2" s="218"/>
      <c r="FJ2" s="218"/>
      <c r="FK2" s="218"/>
      <c r="FL2" s="218"/>
      <c r="FM2" s="218"/>
      <c r="FN2" s="218"/>
      <c r="FO2" s="218"/>
      <c r="FP2" s="218"/>
      <c r="FQ2" s="218"/>
      <c r="FR2" s="218"/>
      <c r="FS2" s="212"/>
      <c r="FT2" s="218"/>
      <c r="FU2" s="218"/>
      <c r="FV2" s="218"/>
      <c r="FW2" s="218"/>
      <c r="FX2" s="218"/>
      <c r="FY2" s="218"/>
      <c r="FZ2" s="218"/>
      <c r="GA2" s="218"/>
      <c r="GB2" s="218"/>
      <c r="GC2" s="218"/>
      <c r="GD2" s="218"/>
      <c r="GE2" s="218"/>
      <c r="GF2" s="218"/>
      <c r="GG2" s="214"/>
      <c r="GH2" s="218"/>
      <c r="GI2" s="218"/>
      <c r="GJ2" s="218"/>
      <c r="GK2" s="218"/>
      <c r="GL2" s="218"/>
      <c r="GM2" s="218"/>
      <c r="GN2" s="218"/>
      <c r="GO2" s="218"/>
      <c r="GP2" s="218"/>
      <c r="GQ2" s="218"/>
      <c r="GR2" s="218"/>
      <c r="GS2" s="218"/>
      <c r="GT2" s="218"/>
      <c r="GU2" s="218"/>
      <c r="GV2" s="214"/>
    </row>
    <row r="3" spans="2:211" s="213" customFormat="1" ht="16.5" thickBot="1">
      <c r="B3" s="215" t="s">
        <v>86</v>
      </c>
      <c r="C3" s="216"/>
      <c r="D3" s="216"/>
      <c r="E3" s="217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9"/>
      <c r="R3" s="218"/>
      <c r="S3" s="220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20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20"/>
      <c r="AS3" s="210"/>
      <c r="AT3" s="219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20"/>
      <c r="BG3" s="219"/>
      <c r="BH3" s="218"/>
      <c r="BI3" s="218"/>
      <c r="BJ3" s="218"/>
      <c r="BK3" s="218"/>
      <c r="BL3" s="218"/>
      <c r="BM3" s="218"/>
      <c r="BN3" s="218"/>
      <c r="BO3" s="218"/>
      <c r="BP3" s="218"/>
      <c r="BQ3" s="218"/>
      <c r="BR3" s="218"/>
      <c r="BS3" s="220"/>
      <c r="BT3" s="218"/>
      <c r="BU3" s="218"/>
      <c r="BV3" s="218"/>
      <c r="BW3" s="218"/>
      <c r="BX3" s="218"/>
      <c r="BY3" s="218"/>
      <c r="BZ3" s="218"/>
      <c r="CA3" s="218"/>
      <c r="CB3" s="218"/>
      <c r="CC3" s="218"/>
      <c r="CD3" s="218"/>
      <c r="CE3" s="218"/>
      <c r="CF3" s="220"/>
      <c r="CG3" s="218"/>
      <c r="CH3" s="218"/>
      <c r="CI3" s="218"/>
      <c r="CJ3" s="218"/>
      <c r="CK3" s="218"/>
      <c r="CL3" s="218"/>
      <c r="CM3" s="221"/>
      <c r="CN3" s="218"/>
      <c r="CO3" s="222"/>
      <c r="CP3" s="218"/>
      <c r="CQ3" s="218"/>
      <c r="CR3" s="218"/>
      <c r="CS3" s="220"/>
      <c r="CT3" s="218"/>
      <c r="CU3" s="218"/>
      <c r="CV3" s="218"/>
      <c r="CW3" s="218"/>
      <c r="CX3" s="218"/>
      <c r="CY3" s="218"/>
      <c r="CZ3" s="218"/>
      <c r="DA3" s="218"/>
      <c r="DB3" s="218"/>
      <c r="DC3" s="218"/>
      <c r="DD3" s="218"/>
      <c r="DE3" s="218"/>
      <c r="DF3" s="220"/>
      <c r="DG3" s="218"/>
      <c r="DH3" s="218"/>
      <c r="DI3" s="218"/>
      <c r="DJ3" s="218"/>
      <c r="DK3" s="218"/>
      <c r="DL3" s="218"/>
      <c r="DM3" s="218"/>
      <c r="DN3" s="218"/>
      <c r="DO3" s="218"/>
      <c r="DP3" s="218"/>
      <c r="DQ3" s="218"/>
      <c r="DR3" s="220"/>
      <c r="DS3" s="220"/>
      <c r="DT3" s="218"/>
      <c r="DU3" s="218"/>
      <c r="DV3" s="218"/>
      <c r="DW3" s="218"/>
      <c r="DX3" s="218"/>
      <c r="DY3" s="218"/>
      <c r="DZ3" s="218"/>
      <c r="EA3" s="218"/>
      <c r="EB3" s="218"/>
      <c r="EC3" s="218"/>
      <c r="ED3" s="218"/>
      <c r="EE3" s="218"/>
      <c r="EF3" s="220"/>
      <c r="EG3" s="218"/>
      <c r="EH3" s="218"/>
      <c r="EI3" s="218"/>
      <c r="EJ3" s="218"/>
      <c r="EK3" s="218"/>
      <c r="EL3" s="218"/>
      <c r="EM3" s="218"/>
      <c r="EN3" s="218"/>
      <c r="EO3" s="218"/>
      <c r="EP3" s="218"/>
      <c r="EQ3" s="218"/>
      <c r="ER3" s="218"/>
      <c r="ES3" s="212"/>
      <c r="ET3" s="218"/>
      <c r="EU3" s="218"/>
      <c r="EV3" s="218"/>
      <c r="EW3" s="218"/>
      <c r="EX3" s="218"/>
      <c r="EY3" s="218"/>
      <c r="EZ3" s="218"/>
      <c r="FA3" s="218"/>
      <c r="FB3" s="218"/>
      <c r="FC3" s="218"/>
      <c r="FD3" s="218"/>
      <c r="FE3" s="218"/>
      <c r="FF3" s="220"/>
      <c r="FG3" s="218"/>
      <c r="FH3" s="218"/>
      <c r="FI3" s="218"/>
      <c r="FJ3" s="218"/>
      <c r="FK3" s="218"/>
      <c r="FL3" s="218"/>
      <c r="FM3" s="218"/>
      <c r="FN3" s="218"/>
      <c r="FO3" s="218"/>
      <c r="FP3" s="218"/>
      <c r="FQ3" s="218"/>
      <c r="FR3" s="218"/>
      <c r="FS3" s="212"/>
      <c r="FT3" s="218"/>
      <c r="FU3" s="218"/>
      <c r="FV3" s="218"/>
      <c r="FW3" s="218"/>
      <c r="FX3" s="218"/>
      <c r="FY3" s="218"/>
      <c r="FZ3" s="218"/>
      <c r="GA3" s="218"/>
      <c r="GB3" s="218"/>
      <c r="GC3" s="218"/>
      <c r="GD3" s="218"/>
      <c r="GE3" s="218"/>
      <c r="GF3" s="218"/>
      <c r="GG3" s="214"/>
      <c r="GH3" s="218"/>
      <c r="GI3" s="218"/>
      <c r="GJ3" s="218"/>
      <c r="GK3" s="218"/>
      <c r="GL3" s="218"/>
      <c r="GM3" s="218"/>
      <c r="GN3" s="218"/>
      <c r="GO3" s="218"/>
      <c r="GP3" s="218"/>
      <c r="GQ3" s="218"/>
      <c r="GR3" s="218"/>
      <c r="GS3" s="218"/>
      <c r="GT3" s="218"/>
      <c r="GU3" s="218"/>
      <c r="GV3" s="214"/>
    </row>
    <row r="4" spans="2:211" s="213" customFormat="1" ht="16.5" thickBot="1">
      <c r="B4" s="204"/>
      <c r="C4" s="205"/>
      <c r="D4" s="223"/>
      <c r="E4" s="206"/>
      <c r="F4" s="207"/>
      <c r="G4" s="1037" t="s">
        <v>4</v>
      </c>
      <c r="H4" s="1038"/>
      <c r="I4" s="1038"/>
      <c r="J4" s="1038"/>
      <c r="K4" s="1038"/>
      <c r="L4" s="1038"/>
      <c r="M4" s="1038"/>
      <c r="N4" s="1038"/>
      <c r="O4" s="1038"/>
      <c r="P4" s="1038"/>
      <c r="Q4" s="1038"/>
      <c r="R4" s="1038"/>
      <c r="S4" s="1038"/>
      <c r="T4" s="1038"/>
      <c r="U4" s="1038"/>
      <c r="V4" s="1038"/>
      <c r="W4" s="1038"/>
      <c r="X4" s="1038"/>
      <c r="Y4" s="1038"/>
      <c r="Z4" s="1038"/>
      <c r="AA4" s="1038"/>
      <c r="AB4" s="1038"/>
      <c r="AC4" s="1038"/>
      <c r="AD4" s="1038"/>
      <c r="AE4" s="1038"/>
      <c r="AF4" s="1038"/>
      <c r="AG4" s="1038"/>
      <c r="AH4" s="1038"/>
      <c r="AI4" s="1038"/>
      <c r="AJ4" s="1038"/>
      <c r="AK4" s="1038"/>
      <c r="AL4" s="1038"/>
      <c r="AM4" s="1038"/>
      <c r="AN4" s="1038"/>
      <c r="AO4" s="1038"/>
      <c r="AP4" s="1038"/>
      <c r="AQ4" s="1038"/>
      <c r="AR4" s="1039"/>
      <c r="AS4" s="224"/>
      <c r="AT4" s="1048" t="s">
        <v>87</v>
      </c>
      <c r="AU4" s="1049"/>
      <c r="AV4" s="1049"/>
      <c r="AW4" s="1049"/>
      <c r="AX4" s="1049"/>
      <c r="AY4" s="1049"/>
      <c r="AZ4" s="1049"/>
      <c r="BA4" s="1049"/>
      <c r="BB4" s="1049"/>
      <c r="BC4" s="1049"/>
      <c r="BD4" s="1049"/>
      <c r="BE4" s="1049"/>
      <c r="BF4" s="1049"/>
      <c r="BG4" s="1049"/>
      <c r="BH4" s="1049"/>
      <c r="BI4" s="1049"/>
      <c r="BJ4" s="1049"/>
      <c r="BK4" s="1049"/>
      <c r="BL4" s="1049"/>
      <c r="BM4" s="1049"/>
      <c r="BN4" s="1049"/>
      <c r="BO4" s="1049"/>
      <c r="BP4" s="1049"/>
      <c r="BQ4" s="1049"/>
      <c r="BR4" s="1049"/>
      <c r="BS4" s="1049"/>
      <c r="BT4" s="1049"/>
      <c r="BU4" s="1049"/>
      <c r="BV4" s="1049"/>
      <c r="BW4" s="1049"/>
      <c r="BX4" s="1049"/>
      <c r="BY4" s="1049"/>
      <c r="BZ4" s="1049"/>
      <c r="CA4" s="1049"/>
      <c r="CB4" s="1049"/>
      <c r="CC4" s="1049"/>
      <c r="CD4" s="1049"/>
      <c r="CE4" s="1049"/>
      <c r="CF4" s="209"/>
      <c r="CG4" s="1037" t="s">
        <v>88</v>
      </c>
      <c r="CH4" s="1038"/>
      <c r="CI4" s="1038"/>
      <c r="CJ4" s="1038"/>
      <c r="CK4" s="1038"/>
      <c r="CL4" s="1038"/>
      <c r="CM4" s="1038"/>
      <c r="CN4" s="1038"/>
      <c r="CO4" s="1038"/>
      <c r="CP4" s="1038"/>
      <c r="CQ4" s="1038"/>
      <c r="CR4" s="1038"/>
      <c r="CS4" s="1038"/>
      <c r="CT4" s="1038"/>
      <c r="CU4" s="1038"/>
      <c r="CV4" s="1038"/>
      <c r="CW4" s="1038"/>
      <c r="CX4" s="1038"/>
      <c r="CY4" s="1038"/>
      <c r="CZ4" s="1038"/>
      <c r="DA4" s="1038"/>
      <c r="DB4" s="1038"/>
      <c r="DC4" s="1038"/>
      <c r="DD4" s="1038"/>
      <c r="DE4" s="1038"/>
      <c r="DF4" s="1038"/>
      <c r="DG4" s="1038"/>
      <c r="DH4" s="1038"/>
      <c r="DI4" s="1038"/>
      <c r="DJ4" s="1038"/>
      <c r="DK4" s="1038"/>
      <c r="DL4" s="1038"/>
      <c r="DM4" s="1038"/>
      <c r="DN4" s="1038"/>
      <c r="DO4" s="1038"/>
      <c r="DP4" s="1038"/>
      <c r="DQ4" s="1038"/>
      <c r="DR4" s="1039"/>
      <c r="DS4" s="225"/>
      <c r="DT4" s="1037" t="s">
        <v>89</v>
      </c>
      <c r="DU4" s="1038"/>
      <c r="DV4" s="1038"/>
      <c r="DW4" s="1038"/>
      <c r="DX4" s="1038"/>
      <c r="DY4" s="1038"/>
      <c r="DZ4" s="1038"/>
      <c r="EA4" s="1038"/>
      <c r="EB4" s="1038"/>
      <c r="EC4" s="1038"/>
      <c r="ED4" s="1038"/>
      <c r="EE4" s="1038"/>
      <c r="EF4" s="1038"/>
      <c r="EG4" s="1038"/>
      <c r="EH4" s="1038"/>
      <c r="EI4" s="1038"/>
      <c r="EJ4" s="1038"/>
      <c r="EK4" s="1038"/>
      <c r="EL4" s="1038"/>
      <c r="EM4" s="1038"/>
      <c r="EN4" s="1038"/>
      <c r="EO4" s="1038"/>
      <c r="EP4" s="1038"/>
      <c r="EQ4" s="1038"/>
      <c r="ER4" s="1039"/>
      <c r="ES4" s="226"/>
      <c r="ET4" s="1037" t="s">
        <v>90</v>
      </c>
      <c r="EU4" s="1038"/>
      <c r="EV4" s="1038"/>
      <c r="EW4" s="1038"/>
      <c r="EX4" s="1038"/>
      <c r="EY4" s="1038"/>
      <c r="EZ4" s="1038"/>
      <c r="FA4" s="1038"/>
      <c r="FB4" s="1038"/>
      <c r="FC4" s="1038"/>
      <c r="FD4" s="1038"/>
      <c r="FE4" s="1038"/>
      <c r="FF4" s="1038"/>
      <c r="FG4" s="1038"/>
      <c r="FH4" s="1038"/>
      <c r="FI4" s="1038"/>
      <c r="FJ4" s="1038"/>
      <c r="FK4" s="1038"/>
      <c r="FL4" s="1038"/>
      <c r="FM4" s="1038"/>
      <c r="FN4" s="1038"/>
      <c r="FO4" s="1038"/>
      <c r="FP4" s="1038"/>
      <c r="FQ4" s="1038"/>
      <c r="FR4" s="1039"/>
      <c r="FS4" s="226"/>
      <c r="FT4" s="1037" t="s">
        <v>91</v>
      </c>
      <c r="FU4" s="1038"/>
      <c r="FV4" s="1038"/>
      <c r="FW4" s="1038"/>
      <c r="FX4" s="1038"/>
      <c r="FY4" s="1038"/>
      <c r="FZ4" s="1038"/>
      <c r="GA4" s="1038"/>
      <c r="GB4" s="1038"/>
      <c r="GC4" s="1038"/>
      <c r="GD4" s="1038"/>
      <c r="GE4" s="1038"/>
      <c r="GF4" s="1039"/>
      <c r="GG4" s="214"/>
      <c r="GH4" s="1037" t="s">
        <v>92</v>
      </c>
      <c r="GI4" s="1038"/>
      <c r="GJ4" s="1038"/>
      <c r="GK4" s="1038"/>
      <c r="GL4" s="1038"/>
      <c r="GM4" s="1038"/>
      <c r="GN4" s="1038"/>
      <c r="GO4" s="1038"/>
      <c r="GP4" s="1038"/>
      <c r="GQ4" s="1038"/>
      <c r="GR4" s="1038"/>
      <c r="GS4" s="1038"/>
      <c r="GT4" s="1039"/>
      <c r="GU4" s="227"/>
      <c r="GV4" s="214"/>
      <c r="GX4" s="213" t="s">
        <v>93</v>
      </c>
      <c r="GY4" s="213" t="s">
        <v>94</v>
      </c>
      <c r="HA4" s="213" t="s">
        <v>95</v>
      </c>
    </row>
    <row r="5" spans="2:211" s="213" customFormat="1" ht="20.25" customHeight="1" thickBot="1">
      <c r="B5" s="228"/>
      <c r="C5" s="229"/>
      <c r="D5" s="230"/>
      <c r="E5" s="231"/>
      <c r="F5" s="232"/>
      <c r="G5" s="1042" t="s">
        <v>96</v>
      </c>
      <c r="H5" s="1043"/>
      <c r="I5" s="1043"/>
      <c r="J5" s="1043"/>
      <c r="K5" s="1043"/>
      <c r="L5" s="1043"/>
      <c r="M5" s="1043"/>
      <c r="N5" s="1043"/>
      <c r="O5" s="1043"/>
      <c r="P5" s="1043"/>
      <c r="Q5" s="1043"/>
      <c r="R5" s="1044"/>
      <c r="S5" s="209"/>
      <c r="T5" s="1042" t="s">
        <v>97</v>
      </c>
      <c r="U5" s="1043"/>
      <c r="V5" s="1043"/>
      <c r="W5" s="1043"/>
      <c r="X5" s="1043"/>
      <c r="Y5" s="1043"/>
      <c r="Z5" s="1043"/>
      <c r="AA5" s="1043"/>
      <c r="AB5" s="1043"/>
      <c r="AC5" s="1043"/>
      <c r="AD5" s="1043"/>
      <c r="AE5" s="1044"/>
      <c r="AF5" s="209"/>
      <c r="AG5" s="1042" t="s">
        <v>98</v>
      </c>
      <c r="AH5" s="1043"/>
      <c r="AI5" s="1043"/>
      <c r="AJ5" s="1043"/>
      <c r="AK5" s="1043"/>
      <c r="AL5" s="1043"/>
      <c r="AM5" s="1043"/>
      <c r="AN5" s="1043"/>
      <c r="AO5" s="1043"/>
      <c r="AP5" s="1043"/>
      <c r="AQ5" s="1043"/>
      <c r="AR5" s="1045"/>
      <c r="AS5" s="233"/>
      <c r="AT5" s="1046" t="s">
        <v>99</v>
      </c>
      <c r="AU5" s="1047"/>
      <c r="AV5" s="1047"/>
      <c r="AW5" s="1047"/>
      <c r="AX5" s="1047"/>
      <c r="AY5" s="1047"/>
      <c r="AZ5" s="1047"/>
      <c r="BA5" s="1047"/>
      <c r="BB5" s="1047"/>
      <c r="BC5" s="1047"/>
      <c r="BD5" s="1047"/>
      <c r="BE5" s="1045"/>
      <c r="BF5" s="209"/>
      <c r="BG5" s="1046" t="s">
        <v>100</v>
      </c>
      <c r="BH5" s="1047"/>
      <c r="BI5" s="1047"/>
      <c r="BJ5" s="1047"/>
      <c r="BK5" s="1047"/>
      <c r="BL5" s="1047"/>
      <c r="BM5" s="1047"/>
      <c r="BN5" s="1047"/>
      <c r="BO5" s="1047"/>
      <c r="BP5" s="1047"/>
      <c r="BQ5" s="1047"/>
      <c r="BR5" s="1045"/>
      <c r="BS5" s="209"/>
      <c r="BT5" s="1046" t="s">
        <v>101</v>
      </c>
      <c r="BU5" s="1047"/>
      <c r="BV5" s="1047"/>
      <c r="BW5" s="1047"/>
      <c r="BX5" s="1047"/>
      <c r="BY5" s="1047"/>
      <c r="BZ5" s="1047"/>
      <c r="CA5" s="1047"/>
      <c r="CB5" s="1047"/>
      <c r="CC5" s="1047"/>
      <c r="CD5" s="1047"/>
      <c r="CE5" s="1045"/>
      <c r="CF5" s="209"/>
      <c r="CG5" s="1042" t="s">
        <v>102</v>
      </c>
      <c r="CH5" s="1043"/>
      <c r="CI5" s="1043"/>
      <c r="CJ5" s="1043"/>
      <c r="CK5" s="1043"/>
      <c r="CL5" s="1043"/>
      <c r="CM5" s="1043"/>
      <c r="CN5" s="1043"/>
      <c r="CO5" s="1043"/>
      <c r="CP5" s="1043"/>
      <c r="CQ5" s="1043"/>
      <c r="CR5" s="1044"/>
      <c r="CS5" s="234"/>
      <c r="CT5" s="1042" t="s">
        <v>103</v>
      </c>
      <c r="CU5" s="1043"/>
      <c r="CV5" s="1043"/>
      <c r="CW5" s="1043"/>
      <c r="CX5" s="1043"/>
      <c r="CY5" s="1043"/>
      <c r="CZ5" s="1043"/>
      <c r="DA5" s="1043"/>
      <c r="DB5" s="1043"/>
      <c r="DC5" s="1043"/>
      <c r="DD5" s="1043"/>
      <c r="DE5" s="1044"/>
      <c r="DF5" s="234"/>
      <c r="DG5" s="1042" t="s">
        <v>104</v>
      </c>
      <c r="DH5" s="1043"/>
      <c r="DI5" s="1043"/>
      <c r="DJ5" s="1043"/>
      <c r="DK5" s="1043"/>
      <c r="DL5" s="1043"/>
      <c r="DM5" s="1043"/>
      <c r="DN5" s="1043"/>
      <c r="DO5" s="1043"/>
      <c r="DP5" s="1043"/>
      <c r="DQ5" s="1043"/>
      <c r="DR5" s="1044"/>
      <c r="DS5" s="225"/>
      <c r="DT5" s="1046" t="s">
        <v>105</v>
      </c>
      <c r="DU5" s="1047"/>
      <c r="DV5" s="1047"/>
      <c r="DW5" s="1047"/>
      <c r="DX5" s="1047"/>
      <c r="DY5" s="1047"/>
      <c r="DZ5" s="1047"/>
      <c r="EA5" s="1047"/>
      <c r="EB5" s="1047"/>
      <c r="EC5" s="1047"/>
      <c r="ED5" s="1047"/>
      <c r="EE5" s="1045"/>
      <c r="EF5" s="209"/>
      <c r="EG5" s="1046" t="s">
        <v>106</v>
      </c>
      <c r="EH5" s="1047"/>
      <c r="EI5" s="1047"/>
      <c r="EJ5" s="1047"/>
      <c r="EK5" s="1047"/>
      <c r="EL5" s="1047"/>
      <c r="EM5" s="1047"/>
      <c r="EN5" s="1047"/>
      <c r="EO5" s="1047"/>
      <c r="EP5" s="1047"/>
      <c r="EQ5" s="1047"/>
      <c r="ER5" s="1045"/>
      <c r="ES5" s="226"/>
      <c r="ET5" s="1046" t="s">
        <v>107</v>
      </c>
      <c r="EU5" s="1047"/>
      <c r="EV5" s="1047"/>
      <c r="EW5" s="1047"/>
      <c r="EX5" s="1047"/>
      <c r="EY5" s="1047"/>
      <c r="EZ5" s="1047"/>
      <c r="FA5" s="1047"/>
      <c r="FB5" s="1047"/>
      <c r="FC5" s="1047"/>
      <c r="FD5" s="1047"/>
      <c r="FE5" s="1045"/>
      <c r="FF5" s="209"/>
      <c r="FG5" s="1046" t="s">
        <v>108</v>
      </c>
      <c r="FH5" s="1047"/>
      <c r="FI5" s="1047"/>
      <c r="FJ5" s="1047"/>
      <c r="FK5" s="1047"/>
      <c r="FL5" s="1047"/>
      <c r="FM5" s="1047"/>
      <c r="FN5" s="1047"/>
      <c r="FO5" s="1047"/>
      <c r="FP5" s="1047"/>
      <c r="FQ5" s="1047"/>
      <c r="FR5" s="1045"/>
      <c r="FS5" s="226"/>
      <c r="FT5" s="235" t="s">
        <v>109</v>
      </c>
      <c r="FU5" s="236" t="s">
        <v>110</v>
      </c>
      <c r="FV5" s="236" t="s">
        <v>111</v>
      </c>
      <c r="FW5" s="1050" t="s">
        <v>112</v>
      </c>
      <c r="FX5" s="237" t="s">
        <v>113</v>
      </c>
      <c r="FY5" s="1040" t="s">
        <v>114</v>
      </c>
      <c r="FZ5" s="1055" t="s">
        <v>115</v>
      </c>
      <c r="GA5" s="1055" t="s">
        <v>116</v>
      </c>
      <c r="GB5" s="1057" t="s">
        <v>117</v>
      </c>
      <c r="GC5" s="1055" t="s">
        <v>118</v>
      </c>
      <c r="GD5" s="1055" t="s">
        <v>119</v>
      </c>
      <c r="GE5" s="1055" t="s">
        <v>120</v>
      </c>
      <c r="GF5" s="1072" t="s">
        <v>121</v>
      </c>
      <c r="GG5" s="214"/>
      <c r="GH5" s="1075" t="s">
        <v>109</v>
      </c>
      <c r="GI5" s="1076" t="s">
        <v>110</v>
      </c>
      <c r="GJ5" s="238" t="s">
        <v>111</v>
      </c>
      <c r="GK5" s="1050" t="s">
        <v>112</v>
      </c>
      <c r="GL5" s="1052" t="s">
        <v>113</v>
      </c>
      <c r="GM5" s="1040" t="s">
        <v>114</v>
      </c>
      <c r="GN5" s="1055" t="s">
        <v>115</v>
      </c>
      <c r="GO5" s="1055" t="s">
        <v>116</v>
      </c>
      <c r="GP5" s="1057" t="s">
        <v>117</v>
      </c>
      <c r="GQ5" s="1055" t="s">
        <v>122</v>
      </c>
      <c r="GR5" s="1072" t="s">
        <v>123</v>
      </c>
      <c r="GS5" s="1055" t="s">
        <v>120</v>
      </c>
      <c r="GT5" s="1055" t="s">
        <v>121</v>
      </c>
      <c r="GU5" s="1063" t="s">
        <v>124</v>
      </c>
      <c r="GV5" s="214"/>
      <c r="GY5" s="1057" t="s">
        <v>117</v>
      </c>
      <c r="HA5" s="1057" t="s">
        <v>117</v>
      </c>
    </row>
    <row r="6" spans="2:211" s="213" customFormat="1" ht="29.25" customHeight="1" thickBot="1">
      <c r="B6" s="228" t="s">
        <v>125</v>
      </c>
      <c r="C6" s="239" t="s">
        <v>126</v>
      </c>
      <c r="D6" s="240" t="s">
        <v>127</v>
      </c>
      <c r="E6" s="241" t="s">
        <v>128</v>
      </c>
      <c r="F6" s="242" t="s">
        <v>129</v>
      </c>
      <c r="G6" s="243">
        <v>42095</v>
      </c>
      <c r="H6" s="244">
        <v>42126</v>
      </c>
      <c r="I6" s="243">
        <v>42157</v>
      </c>
      <c r="J6" s="244">
        <v>42188</v>
      </c>
      <c r="K6" s="243">
        <v>42219</v>
      </c>
      <c r="L6" s="244">
        <v>42250</v>
      </c>
      <c r="M6" s="243">
        <v>42281</v>
      </c>
      <c r="N6" s="244">
        <v>42312</v>
      </c>
      <c r="O6" s="243">
        <v>42343</v>
      </c>
      <c r="P6" s="244">
        <v>42374</v>
      </c>
      <c r="Q6" s="243">
        <v>42405</v>
      </c>
      <c r="R6" s="244">
        <v>42436</v>
      </c>
      <c r="S6" s="245" t="s">
        <v>130</v>
      </c>
      <c r="T6" s="243">
        <v>42095</v>
      </c>
      <c r="U6" s="244">
        <v>42126</v>
      </c>
      <c r="V6" s="243">
        <v>42157</v>
      </c>
      <c r="W6" s="244">
        <v>42188</v>
      </c>
      <c r="X6" s="243">
        <v>42219</v>
      </c>
      <c r="Y6" s="244">
        <v>42250</v>
      </c>
      <c r="Z6" s="243">
        <v>42281</v>
      </c>
      <c r="AA6" s="244">
        <v>42312</v>
      </c>
      <c r="AB6" s="243">
        <v>42343</v>
      </c>
      <c r="AC6" s="244">
        <v>42374</v>
      </c>
      <c r="AD6" s="243">
        <v>42405</v>
      </c>
      <c r="AE6" s="244">
        <v>42436</v>
      </c>
      <c r="AF6" s="209"/>
      <c r="AG6" s="243">
        <v>42095</v>
      </c>
      <c r="AH6" s="244">
        <v>42126</v>
      </c>
      <c r="AI6" s="243">
        <v>42157</v>
      </c>
      <c r="AJ6" s="244">
        <v>42188</v>
      </c>
      <c r="AK6" s="243">
        <v>42219</v>
      </c>
      <c r="AL6" s="244">
        <v>42250</v>
      </c>
      <c r="AM6" s="243">
        <v>42281</v>
      </c>
      <c r="AN6" s="244">
        <v>42312</v>
      </c>
      <c r="AO6" s="243">
        <v>42343</v>
      </c>
      <c r="AP6" s="244">
        <v>42374</v>
      </c>
      <c r="AQ6" s="243">
        <v>42405</v>
      </c>
      <c r="AR6" s="244">
        <v>42436</v>
      </c>
      <c r="AS6" s="246" t="s">
        <v>131</v>
      </c>
      <c r="AT6" s="243">
        <v>42095</v>
      </c>
      <c r="AU6" s="244">
        <v>42126</v>
      </c>
      <c r="AV6" s="243">
        <v>42157</v>
      </c>
      <c r="AW6" s="244">
        <v>42188</v>
      </c>
      <c r="AX6" s="243">
        <v>42219</v>
      </c>
      <c r="AY6" s="244">
        <v>42250</v>
      </c>
      <c r="AZ6" s="243">
        <v>42281</v>
      </c>
      <c r="BA6" s="244">
        <v>42312</v>
      </c>
      <c r="BB6" s="243">
        <v>42343</v>
      </c>
      <c r="BC6" s="244">
        <v>42374</v>
      </c>
      <c r="BD6" s="243">
        <v>42405</v>
      </c>
      <c r="BE6" s="244">
        <v>42436</v>
      </c>
      <c r="BF6" s="209"/>
      <c r="BG6" s="243">
        <v>42095</v>
      </c>
      <c r="BH6" s="244">
        <v>42126</v>
      </c>
      <c r="BI6" s="243">
        <v>42157</v>
      </c>
      <c r="BJ6" s="244">
        <v>42188</v>
      </c>
      <c r="BK6" s="243">
        <v>42219</v>
      </c>
      <c r="BL6" s="244">
        <v>42250</v>
      </c>
      <c r="BM6" s="243">
        <v>42281</v>
      </c>
      <c r="BN6" s="244">
        <v>42312</v>
      </c>
      <c r="BO6" s="243">
        <v>42343</v>
      </c>
      <c r="BP6" s="244">
        <v>42374</v>
      </c>
      <c r="BQ6" s="243">
        <v>42405</v>
      </c>
      <c r="BR6" s="244">
        <v>42436</v>
      </c>
      <c r="BS6" s="209"/>
      <c r="BT6" s="243">
        <v>42095</v>
      </c>
      <c r="BU6" s="244">
        <v>42126</v>
      </c>
      <c r="BV6" s="243">
        <v>42157</v>
      </c>
      <c r="BW6" s="244">
        <v>42188</v>
      </c>
      <c r="BX6" s="243">
        <v>42219</v>
      </c>
      <c r="BY6" s="244">
        <v>42250</v>
      </c>
      <c r="BZ6" s="243">
        <v>42281</v>
      </c>
      <c r="CA6" s="244">
        <v>42312</v>
      </c>
      <c r="CB6" s="243">
        <v>42343</v>
      </c>
      <c r="CC6" s="244">
        <v>42374</v>
      </c>
      <c r="CD6" s="243">
        <v>42405</v>
      </c>
      <c r="CE6" s="244">
        <v>42436</v>
      </c>
      <c r="CF6" s="209"/>
      <c r="CG6" s="243">
        <v>42095</v>
      </c>
      <c r="CH6" s="244">
        <v>42126</v>
      </c>
      <c r="CI6" s="243">
        <v>42157</v>
      </c>
      <c r="CJ6" s="244">
        <v>42188</v>
      </c>
      <c r="CK6" s="243">
        <v>42219</v>
      </c>
      <c r="CL6" s="244">
        <v>42250</v>
      </c>
      <c r="CM6" s="243">
        <v>42281</v>
      </c>
      <c r="CN6" s="244">
        <v>42312</v>
      </c>
      <c r="CO6" s="243">
        <v>42343</v>
      </c>
      <c r="CP6" s="244">
        <v>42374</v>
      </c>
      <c r="CQ6" s="243">
        <v>42405</v>
      </c>
      <c r="CR6" s="244">
        <v>42436</v>
      </c>
      <c r="CS6" s="209"/>
      <c r="CT6" s="243">
        <v>42095</v>
      </c>
      <c r="CU6" s="244">
        <v>42126</v>
      </c>
      <c r="CV6" s="243">
        <v>42157</v>
      </c>
      <c r="CW6" s="244">
        <v>42188</v>
      </c>
      <c r="CX6" s="243">
        <v>42219</v>
      </c>
      <c r="CY6" s="244">
        <v>42250</v>
      </c>
      <c r="CZ6" s="243">
        <v>42281</v>
      </c>
      <c r="DA6" s="244">
        <v>42312</v>
      </c>
      <c r="DB6" s="243">
        <v>42343</v>
      </c>
      <c r="DC6" s="244">
        <v>42374</v>
      </c>
      <c r="DD6" s="243">
        <v>42405</v>
      </c>
      <c r="DE6" s="244">
        <v>42436</v>
      </c>
      <c r="DF6" s="209"/>
      <c r="DG6" s="243">
        <v>42095</v>
      </c>
      <c r="DH6" s="244">
        <v>42126</v>
      </c>
      <c r="DI6" s="243">
        <v>42157</v>
      </c>
      <c r="DJ6" s="244">
        <v>42188</v>
      </c>
      <c r="DK6" s="243">
        <v>42219</v>
      </c>
      <c r="DL6" s="244">
        <v>42250</v>
      </c>
      <c r="DM6" s="243">
        <v>42281</v>
      </c>
      <c r="DN6" s="244">
        <v>42312</v>
      </c>
      <c r="DO6" s="243">
        <v>42343</v>
      </c>
      <c r="DP6" s="244">
        <v>42374</v>
      </c>
      <c r="DQ6" s="243">
        <v>42405</v>
      </c>
      <c r="DR6" s="244">
        <v>42436</v>
      </c>
      <c r="DS6" s="225"/>
      <c r="DT6" s="243">
        <v>42095</v>
      </c>
      <c r="DU6" s="244">
        <v>42126</v>
      </c>
      <c r="DV6" s="243">
        <v>42157</v>
      </c>
      <c r="DW6" s="244">
        <v>42188</v>
      </c>
      <c r="DX6" s="243">
        <v>42219</v>
      </c>
      <c r="DY6" s="244">
        <v>42250</v>
      </c>
      <c r="DZ6" s="243">
        <v>42281</v>
      </c>
      <c r="EA6" s="244">
        <v>42312</v>
      </c>
      <c r="EB6" s="243">
        <v>42343</v>
      </c>
      <c r="EC6" s="244">
        <v>42374</v>
      </c>
      <c r="ED6" s="243">
        <v>42405</v>
      </c>
      <c r="EE6" s="244">
        <v>42436</v>
      </c>
      <c r="EF6" s="209"/>
      <c r="EG6" s="243">
        <v>42095</v>
      </c>
      <c r="EH6" s="244">
        <v>42126</v>
      </c>
      <c r="EI6" s="243">
        <v>42157</v>
      </c>
      <c r="EJ6" s="244">
        <v>42188</v>
      </c>
      <c r="EK6" s="243">
        <v>42219</v>
      </c>
      <c r="EL6" s="244">
        <v>42250</v>
      </c>
      <c r="EM6" s="243">
        <v>42281</v>
      </c>
      <c r="EN6" s="244">
        <v>42312</v>
      </c>
      <c r="EO6" s="243">
        <v>42343</v>
      </c>
      <c r="EP6" s="244">
        <v>42374</v>
      </c>
      <c r="EQ6" s="243">
        <v>42405</v>
      </c>
      <c r="ER6" s="244">
        <v>42436</v>
      </c>
      <c r="ES6" s="226"/>
      <c r="ET6" s="243">
        <v>42095</v>
      </c>
      <c r="EU6" s="244">
        <v>42126</v>
      </c>
      <c r="EV6" s="243">
        <v>42157</v>
      </c>
      <c r="EW6" s="244">
        <v>42188</v>
      </c>
      <c r="EX6" s="243">
        <v>42219</v>
      </c>
      <c r="EY6" s="244">
        <v>42250</v>
      </c>
      <c r="EZ6" s="243">
        <v>42281</v>
      </c>
      <c r="FA6" s="244">
        <v>42312</v>
      </c>
      <c r="FB6" s="243">
        <v>42343</v>
      </c>
      <c r="FC6" s="244">
        <v>42374</v>
      </c>
      <c r="FD6" s="243">
        <v>42405</v>
      </c>
      <c r="FE6" s="244">
        <v>42436</v>
      </c>
      <c r="FF6" s="209"/>
      <c r="FG6" s="243">
        <v>42095</v>
      </c>
      <c r="FH6" s="244">
        <v>42126</v>
      </c>
      <c r="FI6" s="243">
        <v>42157</v>
      </c>
      <c r="FJ6" s="244">
        <v>42188</v>
      </c>
      <c r="FK6" s="243">
        <v>42219</v>
      </c>
      <c r="FL6" s="244">
        <v>42250</v>
      </c>
      <c r="FM6" s="243">
        <v>42281</v>
      </c>
      <c r="FN6" s="244">
        <v>42312</v>
      </c>
      <c r="FO6" s="243">
        <v>42343</v>
      </c>
      <c r="FP6" s="244">
        <v>42374</v>
      </c>
      <c r="FQ6" s="243">
        <v>42405</v>
      </c>
      <c r="FR6" s="244">
        <v>42436</v>
      </c>
      <c r="FS6" s="226"/>
      <c r="FT6" s="247"/>
      <c r="FU6" s="248"/>
      <c r="FV6" s="249"/>
      <c r="FW6" s="1051"/>
      <c r="FX6" s="250"/>
      <c r="FY6" s="1041"/>
      <c r="FZ6" s="1056"/>
      <c r="GA6" s="1056"/>
      <c r="GB6" s="1058"/>
      <c r="GC6" s="1059"/>
      <c r="GD6" s="1059"/>
      <c r="GE6" s="1059"/>
      <c r="GF6" s="1074"/>
      <c r="GG6" s="214"/>
      <c r="GH6" s="1042"/>
      <c r="GI6" s="1077"/>
      <c r="GJ6" s="251"/>
      <c r="GK6" s="1051"/>
      <c r="GL6" s="1053"/>
      <c r="GM6" s="1054"/>
      <c r="GN6" s="1056"/>
      <c r="GO6" s="1056"/>
      <c r="GP6" s="1065"/>
      <c r="GQ6" s="1056"/>
      <c r="GR6" s="1073"/>
      <c r="GS6" s="1059"/>
      <c r="GT6" s="1059"/>
      <c r="GU6" s="1064"/>
      <c r="GV6" s="214"/>
      <c r="GW6" s="213" t="s">
        <v>132</v>
      </c>
      <c r="GY6" s="1065"/>
      <c r="HA6" s="1065"/>
      <c r="HC6" s="213" t="s">
        <v>133</v>
      </c>
    </row>
    <row r="7" spans="2:211" s="213" customFormat="1" ht="14.25">
      <c r="B7" s="252" t="s">
        <v>134</v>
      </c>
      <c r="C7" s="253" t="s">
        <v>135</v>
      </c>
      <c r="D7" s="254" t="s">
        <v>136</v>
      </c>
      <c r="E7" s="255" t="s">
        <v>137</v>
      </c>
      <c r="F7" s="256" t="s">
        <v>138</v>
      </c>
      <c r="G7" s="257">
        <v>188.84200000000004</v>
      </c>
      <c r="H7" s="257">
        <v>133.18999999999997</v>
      </c>
      <c r="I7" s="258">
        <v>118.786</v>
      </c>
      <c r="J7" s="259">
        <v>108.48900000000002</v>
      </c>
      <c r="K7" s="259">
        <v>49.665000000000006</v>
      </c>
      <c r="L7" s="260">
        <v>175.15500000000006</v>
      </c>
      <c r="M7" s="260">
        <v>128.36200000000002</v>
      </c>
      <c r="N7" s="261">
        <v>110.05199999999999</v>
      </c>
      <c r="O7" s="260">
        <v>116.56799999999998</v>
      </c>
      <c r="P7" s="260">
        <v>96.731999999999999</v>
      </c>
      <c r="Q7" s="260">
        <v>146.34700000000004</v>
      </c>
      <c r="R7" s="262">
        <v>129.535</v>
      </c>
      <c r="S7" s="261">
        <f>P7+Q7+R7</f>
        <v>372.61400000000003</v>
      </c>
      <c r="T7" s="263">
        <v>138.8042053585902</v>
      </c>
      <c r="U7" s="264">
        <v>224.92307389481977</v>
      </c>
      <c r="V7" s="264">
        <v>171.00708612185352</v>
      </c>
      <c r="W7" s="264">
        <v>251.52064469814516</v>
      </c>
      <c r="X7" s="264">
        <v>215.97797049764955</v>
      </c>
      <c r="Y7" s="264">
        <v>103.54630989046618</v>
      </c>
      <c r="Z7" s="264">
        <v>111.41586503948318</v>
      </c>
      <c r="AA7" s="264">
        <v>306.49946738299809</v>
      </c>
      <c r="AB7" s="264">
        <v>155.84007595581596</v>
      </c>
      <c r="AC7" s="264">
        <v>145.21426950420309</v>
      </c>
      <c r="AD7" s="264">
        <v>156.60923279994449</v>
      </c>
      <c r="AE7" s="265">
        <v>214.64179885603133</v>
      </c>
      <c r="AF7" s="209"/>
      <c r="AG7" s="266">
        <v>0</v>
      </c>
      <c r="AH7" s="266">
        <v>154.13999999999999</v>
      </c>
      <c r="AI7" s="267">
        <v>150</v>
      </c>
      <c r="AJ7" s="259">
        <v>166.53</v>
      </c>
      <c r="AK7" s="259">
        <v>50</v>
      </c>
      <c r="AL7" s="259">
        <v>150</v>
      </c>
      <c r="AM7" s="259">
        <v>162.54</v>
      </c>
      <c r="AN7" s="259">
        <v>103</v>
      </c>
      <c r="AO7" s="259">
        <v>163</v>
      </c>
      <c r="AP7" s="259">
        <v>126</v>
      </c>
      <c r="AQ7" s="259">
        <v>138</v>
      </c>
      <c r="AR7" s="268">
        <v>108</v>
      </c>
      <c r="AS7" s="269">
        <v>2.7242582254751992E-2</v>
      </c>
      <c r="AT7" s="270">
        <v>149246.90609080603</v>
      </c>
      <c r="AU7" s="259">
        <v>151797.04197011795</v>
      </c>
      <c r="AV7" s="259">
        <v>152830.04091391241</v>
      </c>
      <c r="AW7" s="259">
        <v>152831.40078717654</v>
      </c>
      <c r="AX7" s="259">
        <v>153443.62830967482</v>
      </c>
      <c r="AY7" s="259">
        <v>154435.58208443946</v>
      </c>
      <c r="AZ7" s="259">
        <v>154435.62985930417</v>
      </c>
      <c r="BA7" s="259">
        <v>154340.11285574094</v>
      </c>
      <c r="BB7" s="259">
        <v>154091.66666666669</v>
      </c>
      <c r="BC7" s="259">
        <v>154091.66666666666</v>
      </c>
      <c r="BD7" s="259">
        <v>154158.31346047405</v>
      </c>
      <c r="BE7" s="268">
        <v>154555.79418689929</v>
      </c>
      <c r="BF7" s="209"/>
      <c r="BG7" s="270">
        <v>148539.69370213046</v>
      </c>
      <c r="BH7" s="259">
        <v>148539.69370213046</v>
      </c>
      <c r="BI7" s="259">
        <v>148539.69370213046</v>
      </c>
      <c r="BJ7" s="259">
        <v>148539.69370213046</v>
      </c>
      <c r="BK7" s="259">
        <v>148539.69370213046</v>
      </c>
      <c r="BL7" s="259">
        <v>148539.69370213046</v>
      </c>
      <c r="BM7" s="259">
        <v>148539.69370213046</v>
      </c>
      <c r="BN7" s="259">
        <v>148539.69370213046</v>
      </c>
      <c r="BO7" s="259">
        <v>148539.69370213046</v>
      </c>
      <c r="BP7" s="259">
        <v>148539.69370213046</v>
      </c>
      <c r="BQ7" s="259">
        <v>148539.69370213046</v>
      </c>
      <c r="BR7" s="268">
        <v>148539.69370213046</v>
      </c>
      <c r="BS7" s="209"/>
      <c r="BT7" s="266">
        <v>0</v>
      </c>
      <c r="BU7" s="271">
        <v>152830.08098333384</v>
      </c>
      <c r="BV7" s="271">
        <v>152830.08098333381</v>
      </c>
      <c r="BW7" s="271">
        <v>155243.91941847021</v>
      </c>
      <c r="BX7" s="271">
        <v>154436.5399744646</v>
      </c>
      <c r="BY7" s="271">
        <v>154436.5399744646</v>
      </c>
      <c r="BZ7" s="271">
        <v>154436.5399744646</v>
      </c>
      <c r="CA7" s="271">
        <v>156404.27794369019</v>
      </c>
      <c r="CB7" s="271">
        <v>154092.88467358638</v>
      </c>
      <c r="CC7" s="271">
        <v>154092.88467358638</v>
      </c>
      <c r="CD7" s="271">
        <v>154092.88467358638</v>
      </c>
      <c r="CE7" s="272">
        <v>154092.88467358638</v>
      </c>
      <c r="CF7" s="212"/>
      <c r="CG7" s="273">
        <v>2.8184084239999998</v>
      </c>
      <c r="CH7" s="274">
        <v>2.0217848020000004</v>
      </c>
      <c r="CI7" s="258">
        <v>1.8154069239999999</v>
      </c>
      <c r="CJ7" s="259">
        <v>1.6580525839999998</v>
      </c>
      <c r="CK7" s="259">
        <v>0.76207778000000004</v>
      </c>
      <c r="CL7" s="275">
        <v>2.7050164380000004</v>
      </c>
      <c r="CM7" s="276">
        <v>1.9823666320000006</v>
      </c>
      <c r="CN7" s="276">
        <v>1.6985438100000001</v>
      </c>
      <c r="CO7" s="276">
        <v>1.7962157399999998</v>
      </c>
      <c r="CP7" s="275">
        <v>1.49055951</v>
      </c>
      <c r="CQ7" s="275">
        <v>2.2560606700000001</v>
      </c>
      <c r="CR7" s="277">
        <v>2.00203848</v>
      </c>
      <c r="CS7" s="212"/>
      <c r="CT7" s="273">
        <v>2.0617934148532604</v>
      </c>
      <c r="CU7" s="278">
        <v>3.3410004502878183</v>
      </c>
      <c r="CV7" s="278">
        <v>2.5401340193433968</v>
      </c>
      <c r="CW7" s="278">
        <v>3.7360799523224868</v>
      </c>
      <c r="CX7" s="278">
        <v>3.2081301584128634</v>
      </c>
      <c r="CY7" s="278">
        <v>1.5380737155115727</v>
      </c>
      <c r="CZ7" s="278">
        <v>1.6549678466522737</v>
      </c>
      <c r="DA7" s="278">
        <v>4.5527337004936665</v>
      </c>
      <c r="DB7" s="278">
        <v>2.3148437148993648</v>
      </c>
      <c r="DC7" s="278">
        <v>2.157008311333295</v>
      </c>
      <c r="DD7" s="278">
        <v>2.3262687471029397</v>
      </c>
      <c r="DE7" s="278">
        <v>3.188282705774919</v>
      </c>
      <c r="DF7" s="390">
        <f>DC7+DD7+DE7</f>
        <v>7.6715597642111533</v>
      </c>
      <c r="DG7" s="279">
        <v>0</v>
      </c>
      <c r="DH7" s="280">
        <v>2.3557228682771076</v>
      </c>
      <c r="DI7" s="281">
        <v>2.2924512147500073</v>
      </c>
      <c r="DJ7" s="278">
        <v>2.5852769900757844</v>
      </c>
      <c r="DK7" s="278">
        <v>0.77218269987232302</v>
      </c>
      <c r="DL7" s="278">
        <v>2.3165480996169689</v>
      </c>
      <c r="DM7" s="278">
        <v>2.5102115207449471</v>
      </c>
      <c r="DN7" s="278">
        <v>1.6109640628200093</v>
      </c>
      <c r="DO7" s="278">
        <v>2.5117140201794581</v>
      </c>
      <c r="DP7" s="278">
        <v>1.9415703468871883</v>
      </c>
      <c r="DQ7" s="278">
        <v>2.126481808495492</v>
      </c>
      <c r="DR7" s="282">
        <v>1.6642031544747329</v>
      </c>
      <c r="DS7" s="283"/>
      <c r="DT7" s="273">
        <v>1.335514019022725E-2</v>
      </c>
      <c r="DU7" s="278">
        <v>4.3384621581325333E-2</v>
      </c>
      <c r="DV7" s="278">
        <v>5.0963318389873044E-2</v>
      </c>
      <c r="DW7" s="278">
        <v>4.6560300994956352E-2</v>
      </c>
      <c r="DX7" s="275">
        <v>2.4355391228369071E-2</v>
      </c>
      <c r="DY7" s="281">
        <v>0.10326943296033332</v>
      </c>
      <c r="DZ7" s="275">
        <v>7.5681415700713184E-2</v>
      </c>
      <c r="EA7" s="275">
        <v>6.3834772869314022E-2</v>
      </c>
      <c r="EB7" s="275">
        <v>6.4718238453005852E-2</v>
      </c>
      <c r="EC7" s="275">
        <v>5.3705344880551516E-2</v>
      </c>
      <c r="ED7" s="275">
        <v>8.222681457743089E-2</v>
      </c>
      <c r="EE7" s="277">
        <v>7.7929557629453056E-2</v>
      </c>
      <c r="EF7" s="212"/>
      <c r="EG7" s="273">
        <v>0.7432598689565123</v>
      </c>
      <c r="EH7" s="278">
        <v>-1.3626002698691433</v>
      </c>
      <c r="EI7" s="278">
        <v>-0.77569041373326975</v>
      </c>
      <c r="EJ7" s="278">
        <v>-2.1245876693174433</v>
      </c>
      <c r="EK7" s="275">
        <v>-2.4704077696412323</v>
      </c>
      <c r="EL7" s="281">
        <v>1.0636732895280943</v>
      </c>
      <c r="EM7" s="275">
        <v>0.25171736964701369</v>
      </c>
      <c r="EN7" s="275">
        <v>-2.9180246633629801</v>
      </c>
      <c r="EO7" s="275">
        <v>-0.5833462133523708</v>
      </c>
      <c r="EP7" s="284">
        <v>-0.72015414621384677</v>
      </c>
      <c r="EQ7" s="284">
        <v>-0.15243489168037061</v>
      </c>
      <c r="ER7" s="285">
        <v>-1.264173783404372</v>
      </c>
      <c r="ES7" s="283"/>
      <c r="ET7" s="273">
        <v>2.8184084239999998</v>
      </c>
      <c r="EU7" s="278">
        <v>-1.3759046617022486E-2</v>
      </c>
      <c r="EV7" s="278">
        <v>-4.7596862909004558E-7</v>
      </c>
      <c r="EW7" s="278">
        <v>-2.6173173379041917E-2</v>
      </c>
      <c r="EX7" s="275">
        <v>-4.9312957831784202E-3</v>
      </c>
      <c r="EY7" s="281">
        <v>-1.677792273527476E-5</v>
      </c>
      <c r="EZ7" s="275">
        <v>-1.1682420222264815E-5</v>
      </c>
      <c r="FA7" s="275">
        <v>-2.2716549625899106E-2</v>
      </c>
      <c r="FB7" s="275">
        <v>-1.4198063061455287E-5</v>
      </c>
      <c r="FC7" s="275">
        <v>-1.1782024535837536E-5</v>
      </c>
      <c r="FD7" s="275">
        <v>9.5753066746499717E-4</v>
      </c>
      <c r="FE7" s="277">
        <v>5.9962983806988541E-3</v>
      </c>
      <c r="FF7" s="212"/>
      <c r="FG7" s="273">
        <v>0</v>
      </c>
      <c r="FH7" s="278">
        <v>-0.32017901966008466</v>
      </c>
      <c r="FI7" s="278">
        <v>-0.47704381478137814</v>
      </c>
      <c r="FJ7" s="278">
        <v>-0.90105123269674259</v>
      </c>
      <c r="FK7" s="275">
        <v>-5.1736240891444669E-3</v>
      </c>
      <c r="FL7" s="281">
        <v>0.3884851163057666</v>
      </c>
      <c r="FM7" s="275">
        <v>-0.52783320632472464</v>
      </c>
      <c r="FN7" s="275">
        <v>0.1102962968058902</v>
      </c>
      <c r="FO7" s="275">
        <v>-0.71548408211639658</v>
      </c>
      <c r="FP7" s="284">
        <v>-0.45099905486265263</v>
      </c>
      <c r="FQ7" s="284">
        <v>0.12862133083704311</v>
      </c>
      <c r="FR7" s="285">
        <v>0.33183902714456825</v>
      </c>
      <c r="FS7" s="283"/>
      <c r="FT7" s="286">
        <v>1501.723</v>
      </c>
      <c r="FU7" s="260">
        <v>2196.0000000000005</v>
      </c>
      <c r="FV7" s="260">
        <v>1471.21</v>
      </c>
      <c r="FW7" s="260">
        <v>-694.2770000000005</v>
      </c>
      <c r="FX7" s="287">
        <v>-0.31615528233151202</v>
      </c>
      <c r="FY7" s="288">
        <v>23.006531794000004</v>
      </c>
      <c r="FZ7" s="275">
        <v>32.619316736987862</v>
      </c>
      <c r="GA7" s="275">
        <v>22.687326786194024</v>
      </c>
      <c r="GB7" s="289">
        <v>-9.612784942987858</v>
      </c>
      <c r="GC7" s="289">
        <v>-10.312769292443408</v>
      </c>
      <c r="GD7" s="289">
        <v>0.69998434945555299</v>
      </c>
      <c r="GE7" s="289">
        <v>-2.4385222634378554</v>
      </c>
      <c r="GF7" s="290">
        <v>2.7577272712438385</v>
      </c>
      <c r="GG7" s="214">
        <v>0</v>
      </c>
      <c r="GH7" s="286">
        <v>129.535</v>
      </c>
      <c r="GI7" s="260">
        <v>214.64179885603133</v>
      </c>
      <c r="GJ7" s="260">
        <v>108</v>
      </c>
      <c r="GK7" s="260">
        <v>-85.106798856031332</v>
      </c>
      <c r="GL7" s="291">
        <v>-0.39650617591551124</v>
      </c>
      <c r="GM7" s="275">
        <v>2.00203848</v>
      </c>
      <c r="GN7" s="275">
        <v>3.188282705774919</v>
      </c>
      <c r="GO7" s="275">
        <v>1.6642031544747329</v>
      </c>
      <c r="GP7" s="275">
        <v>-1.1862442257749191</v>
      </c>
      <c r="GQ7" s="275">
        <v>-1.264173783404372</v>
      </c>
      <c r="GR7" s="277">
        <v>7.7929557629453056E-2</v>
      </c>
      <c r="GS7" s="275">
        <v>0.33183902714456825</v>
      </c>
      <c r="GT7" s="284">
        <v>5.9962983806988541E-3</v>
      </c>
      <c r="GU7" s="292">
        <v>0.29273290461277018</v>
      </c>
      <c r="GV7" s="214">
        <v>0</v>
      </c>
      <c r="GW7" s="293">
        <v>1.70418604029527</v>
      </c>
      <c r="GX7" s="294"/>
      <c r="GY7" s="293">
        <v>0.31920500780598005</v>
      </c>
      <c r="GZ7" s="293">
        <v>3.1086244689504383E-15</v>
      </c>
      <c r="HA7" s="293">
        <v>0.33783532552526707</v>
      </c>
      <c r="HB7" s="293">
        <v>5.9962983806988168E-3</v>
      </c>
      <c r="HC7" s="295">
        <v>1.7093055753872297</v>
      </c>
    </row>
    <row r="8" spans="2:211" s="213" customFormat="1" ht="12.75" customHeight="1">
      <c r="B8" s="296" t="s">
        <v>139</v>
      </c>
      <c r="C8" s="297" t="s">
        <v>135</v>
      </c>
      <c r="D8" s="298" t="s">
        <v>136</v>
      </c>
      <c r="E8" s="299" t="s">
        <v>137</v>
      </c>
      <c r="F8" s="300" t="s">
        <v>140</v>
      </c>
      <c r="G8" s="301">
        <v>89.466999999999985</v>
      </c>
      <c r="H8" s="301">
        <v>148.24100000000001</v>
      </c>
      <c r="I8" s="258">
        <v>114.62399999999998</v>
      </c>
      <c r="J8" s="302">
        <v>104.321</v>
      </c>
      <c r="K8" s="302">
        <v>72.756</v>
      </c>
      <c r="L8" s="261">
        <v>99.864000000000004</v>
      </c>
      <c r="M8" s="260">
        <v>24.601999999999997</v>
      </c>
      <c r="N8" s="261">
        <v>86.02600000000001</v>
      </c>
      <c r="O8" s="261">
        <v>70.429999999999993</v>
      </c>
      <c r="P8" s="260">
        <v>112.572</v>
      </c>
      <c r="Q8" s="261">
        <v>56.929999999999993</v>
      </c>
      <c r="R8" s="303">
        <v>49.218999999999994</v>
      </c>
      <c r="S8" s="261">
        <f t="shared" ref="S8:S71" si="3">P8+Q8+R8</f>
        <v>218.721</v>
      </c>
      <c r="T8" s="270">
        <v>86.7967683761226</v>
      </c>
      <c r="U8" s="304">
        <v>121.38022782676471</v>
      </c>
      <c r="V8" s="258">
        <v>93.201042166982347</v>
      </c>
      <c r="W8" s="259">
        <v>145.37530064251862</v>
      </c>
      <c r="X8" s="259">
        <v>60.669160013412245</v>
      </c>
      <c r="Y8" s="259">
        <v>87.22251352551497</v>
      </c>
      <c r="Z8" s="259">
        <v>69.371695650991882</v>
      </c>
      <c r="AA8" s="259">
        <v>43.903182687340859</v>
      </c>
      <c r="AB8" s="259">
        <v>59.71575756477295</v>
      </c>
      <c r="AC8" s="259">
        <v>113.39774438815738</v>
      </c>
      <c r="AD8" s="259">
        <v>90.357026471041351</v>
      </c>
      <c r="AE8" s="268">
        <v>79.609580686380255</v>
      </c>
      <c r="AF8" s="209"/>
      <c r="AG8" s="270">
        <v>0</v>
      </c>
      <c r="AH8" s="304">
        <v>131.91999999999999</v>
      </c>
      <c r="AI8" s="258">
        <v>101</v>
      </c>
      <c r="AJ8" s="259">
        <v>99.960000000000008</v>
      </c>
      <c r="AK8" s="259">
        <v>72</v>
      </c>
      <c r="AL8" s="259">
        <v>108</v>
      </c>
      <c r="AM8" s="259">
        <v>56.4</v>
      </c>
      <c r="AN8" s="259">
        <v>60</v>
      </c>
      <c r="AO8" s="259">
        <v>77</v>
      </c>
      <c r="AP8" s="259">
        <v>108</v>
      </c>
      <c r="AQ8" s="259">
        <v>69</v>
      </c>
      <c r="AR8" s="268">
        <v>89</v>
      </c>
      <c r="AS8" s="269">
        <v>2.244990574697155E-2</v>
      </c>
      <c r="AT8" s="305">
        <v>124950.27932086693</v>
      </c>
      <c r="AU8" s="302">
        <v>126245.10870811722</v>
      </c>
      <c r="AV8" s="259">
        <v>126866.66666666669</v>
      </c>
      <c r="AW8" s="302">
        <v>126866.42344302681</v>
      </c>
      <c r="AX8" s="302">
        <v>128293.31189180275</v>
      </c>
      <c r="AY8" s="302">
        <v>128449.99999999999</v>
      </c>
      <c r="AZ8" s="302">
        <v>128187.96358019675</v>
      </c>
      <c r="BA8" s="302">
        <v>128363.11254736935</v>
      </c>
      <c r="BB8" s="302">
        <v>128260.39926167831</v>
      </c>
      <c r="BC8" s="302">
        <v>128399.99999999999</v>
      </c>
      <c r="BD8" s="302">
        <v>128487.95643773059</v>
      </c>
      <c r="BE8" s="306">
        <v>128867.19031268416</v>
      </c>
      <c r="BF8" s="209"/>
      <c r="BG8" s="305">
        <v>118388.5180134766</v>
      </c>
      <c r="BH8" s="302">
        <v>118388.51801347661</v>
      </c>
      <c r="BI8" s="259">
        <v>118388.51801347663</v>
      </c>
      <c r="BJ8" s="302">
        <v>118388.51801347661</v>
      </c>
      <c r="BK8" s="302">
        <v>118388.51801347661</v>
      </c>
      <c r="BL8" s="302">
        <v>118388.51801347661</v>
      </c>
      <c r="BM8" s="302">
        <v>118388.51801347661</v>
      </c>
      <c r="BN8" s="302">
        <v>118388.5180134766</v>
      </c>
      <c r="BO8" s="302">
        <v>118388.51801347661</v>
      </c>
      <c r="BP8" s="302">
        <v>118388.51801347661</v>
      </c>
      <c r="BQ8" s="302">
        <v>118388.51801347661</v>
      </c>
      <c r="BR8" s="306">
        <v>118388.51801347661</v>
      </c>
      <c r="BS8" s="209"/>
      <c r="BT8" s="270">
        <v>0</v>
      </c>
      <c r="BU8" s="307">
        <v>126864.57700304095</v>
      </c>
      <c r="BV8" s="307">
        <v>126864.57700304092</v>
      </c>
      <c r="BW8" s="307">
        <v>128893.53373451415</v>
      </c>
      <c r="BX8" s="307">
        <v>128444.11436039468</v>
      </c>
      <c r="BY8" s="307">
        <v>128444.11436039468</v>
      </c>
      <c r="BZ8" s="307">
        <v>128444.11436039468</v>
      </c>
      <c r="CA8" s="307">
        <v>130333.16179863496</v>
      </c>
      <c r="CB8" s="307">
        <v>128407.05595924625</v>
      </c>
      <c r="CC8" s="307">
        <v>128407.05595924627</v>
      </c>
      <c r="CD8" s="307">
        <v>128407.05595924625</v>
      </c>
      <c r="CE8" s="308">
        <v>128407.05595924625</v>
      </c>
      <c r="CF8" s="212"/>
      <c r="CG8" s="273">
        <v>1.117892664</v>
      </c>
      <c r="CH8" s="274">
        <v>1.8714701160000007</v>
      </c>
      <c r="CI8" s="274">
        <v>1.45419648</v>
      </c>
      <c r="CJ8" s="274">
        <v>1.3234832160000001</v>
      </c>
      <c r="CK8" s="274">
        <v>0.93341082000000009</v>
      </c>
      <c r="CL8" s="309">
        <v>1.28275308</v>
      </c>
      <c r="CM8" s="276">
        <v>0.31536802800000002</v>
      </c>
      <c r="CN8" s="276">
        <v>1.1042565119999999</v>
      </c>
      <c r="CO8" s="276">
        <v>0.9033379920000002</v>
      </c>
      <c r="CP8" s="276">
        <v>1.44542448</v>
      </c>
      <c r="CQ8" s="276">
        <v>0.73148193600000011</v>
      </c>
      <c r="CR8" s="277">
        <v>0.63427142400000014</v>
      </c>
      <c r="CS8" s="310"/>
      <c r="CT8" s="273">
        <v>1.0275740776408147</v>
      </c>
      <c r="CU8" s="278">
        <v>1.4370025288548829</v>
      </c>
      <c r="CV8" s="278">
        <v>1.1033933259460584</v>
      </c>
      <c r="CW8" s="278">
        <v>1.7210766398831394</v>
      </c>
      <c r="CX8" s="278">
        <v>0.71825319431103507</v>
      </c>
      <c r="CY8" s="278">
        <v>1.0326144113696136</v>
      </c>
      <c r="CZ8" s="278">
        <v>0.82128122402028692</v>
      </c>
      <c r="DA8" s="278">
        <v>0.51976327344292073</v>
      </c>
      <c r="DB8" s="278">
        <v>0.70696600401455245</v>
      </c>
      <c r="DC8" s="278">
        <v>1.3424990904184986</v>
      </c>
      <c r="DD8" s="278">
        <v>1.0697234456011062</v>
      </c>
      <c r="DE8" s="278">
        <v>0.94248602771348489</v>
      </c>
      <c r="DF8" s="390">
        <f t="shared" ref="DF8:DF71" si="4">DC8+DD8+DE8</f>
        <v>3.3547085637330896</v>
      </c>
      <c r="DG8" s="273">
        <v>0</v>
      </c>
      <c r="DH8" s="311">
        <v>1.6735974998241159</v>
      </c>
      <c r="DI8" s="309">
        <v>1.2813322277307133</v>
      </c>
      <c r="DJ8" s="278">
        <v>1.2884197632102035</v>
      </c>
      <c r="DK8" s="278">
        <v>0.92479762339484173</v>
      </c>
      <c r="DL8" s="278">
        <v>1.3871964350922625</v>
      </c>
      <c r="DM8" s="278">
        <v>0.72442480499262596</v>
      </c>
      <c r="DN8" s="278">
        <v>0.78199897079180969</v>
      </c>
      <c r="DO8" s="278">
        <v>0.98873433088619611</v>
      </c>
      <c r="DP8" s="278">
        <v>1.3867962043598596</v>
      </c>
      <c r="DQ8" s="278">
        <v>0.88600868611879913</v>
      </c>
      <c r="DR8" s="282">
        <v>1.1428227980372916</v>
      </c>
      <c r="DS8" s="283"/>
      <c r="DT8" s="312">
        <v>5.8706109888829093E-2</v>
      </c>
      <c r="DU8" s="274">
        <v>0.11646688611642178</v>
      </c>
      <c r="DV8" s="274">
        <v>9.7179931122325716E-2</v>
      </c>
      <c r="DW8" s="278">
        <v>8.8442357231610633E-2</v>
      </c>
      <c r="DX8" s="276">
        <v>7.2063318341149624E-2</v>
      </c>
      <c r="DY8" s="309">
        <v>0.10047798371021702</v>
      </c>
      <c r="DZ8" s="276">
        <v>2.4108595983244885E-2</v>
      </c>
      <c r="EA8" s="276">
        <v>8.580744693726583E-2</v>
      </c>
      <c r="EB8" s="276">
        <v>6.9527659631084524E-2</v>
      </c>
      <c r="EC8" s="276">
        <v>0.11270125501869092</v>
      </c>
      <c r="ED8" s="276">
        <v>5.7496102949277907E-2</v>
      </c>
      <c r="EE8" s="313">
        <v>5.1574977189469649E-2</v>
      </c>
      <c r="EF8" s="212"/>
      <c r="EG8" s="312">
        <v>3.1612476470356261E-2</v>
      </c>
      <c r="EH8" s="274">
        <v>0.31800070102869593</v>
      </c>
      <c r="EI8" s="278">
        <v>0.25362322293161582</v>
      </c>
      <c r="EJ8" s="278">
        <v>-0.4860357811147501</v>
      </c>
      <c r="EK8" s="276">
        <v>0.14309430734781539</v>
      </c>
      <c r="EL8" s="309">
        <v>0.14966068492016926</v>
      </c>
      <c r="EM8" s="276">
        <v>-0.53002179200353183</v>
      </c>
      <c r="EN8" s="276">
        <v>0.49868579161981319</v>
      </c>
      <c r="EO8" s="276">
        <v>0.12684432835436321</v>
      </c>
      <c r="EP8" s="276">
        <v>-9.7758654371896611E-3</v>
      </c>
      <c r="EQ8" s="275">
        <v>-0.39573761255038392</v>
      </c>
      <c r="ER8" s="313">
        <v>-0.35978958090295438</v>
      </c>
      <c r="ES8" s="283"/>
      <c r="ET8" s="312">
        <v>1.117892664</v>
      </c>
      <c r="EU8" s="274">
        <v>-9.1830599507789004E-3</v>
      </c>
      <c r="EV8" s="274">
        <v>2.3952560343998202E-5</v>
      </c>
      <c r="EW8" s="278">
        <v>-2.1147017271825014E-2</v>
      </c>
      <c r="EX8" s="276">
        <v>-1.0971784404874983E-3</v>
      </c>
      <c r="EY8" s="309">
        <v>5.8776351354383394E-5</v>
      </c>
      <c r="EZ8" s="276">
        <v>-6.3018214944295082E-4</v>
      </c>
      <c r="FA8" s="276">
        <v>-1.6947545688937499E-2</v>
      </c>
      <c r="FB8" s="276">
        <v>-1.0329031209710383E-3</v>
      </c>
      <c r="FC8" s="276">
        <v>-7.9430344427239188E-5</v>
      </c>
      <c r="FD8" s="276">
        <v>4.6056642401135823E-4</v>
      </c>
      <c r="FE8" s="313">
        <v>2.2647352741860592E-3</v>
      </c>
      <c r="FF8" s="212"/>
      <c r="FG8" s="312">
        <v>0</v>
      </c>
      <c r="FH8" s="274">
        <v>0.20705567612666345</v>
      </c>
      <c r="FI8" s="278">
        <v>0.17284029970894269</v>
      </c>
      <c r="FJ8" s="278">
        <v>5.6210470061621491E-2</v>
      </c>
      <c r="FK8" s="276">
        <v>9.7103750456458415E-3</v>
      </c>
      <c r="FL8" s="309">
        <v>-0.10450213144361706</v>
      </c>
      <c r="FM8" s="276">
        <v>-0.40842659484318306</v>
      </c>
      <c r="FN8" s="276">
        <v>0.33920508689712747</v>
      </c>
      <c r="FO8" s="276">
        <v>-8.4363435765224884E-2</v>
      </c>
      <c r="FP8" s="276">
        <v>5.8707705984567433E-2</v>
      </c>
      <c r="FQ8" s="275">
        <v>-0.15498731654281031</v>
      </c>
      <c r="FR8" s="313">
        <v>-0.51081610931147758</v>
      </c>
      <c r="FS8" s="283"/>
      <c r="FT8" s="286">
        <v>1029.0519999999999</v>
      </c>
      <c r="FU8" s="260">
        <v>1051.0000000000002</v>
      </c>
      <c r="FV8" s="260">
        <v>972.28</v>
      </c>
      <c r="FW8" s="260">
        <v>-21.94800000000032</v>
      </c>
      <c r="FX8" s="287">
        <v>-2.0882968601332364E-2</v>
      </c>
      <c r="FY8" s="314">
        <v>13.117346747999999</v>
      </c>
      <c r="FZ8" s="275">
        <v>12.442633243216392</v>
      </c>
      <c r="GA8" s="275">
        <v>12.466129344438718</v>
      </c>
      <c r="GB8" s="275">
        <v>0.67471350478360748</v>
      </c>
      <c r="GC8" s="275">
        <v>-0.25983911933598081</v>
      </c>
      <c r="GD8" s="275">
        <v>0.93455262411958751</v>
      </c>
      <c r="GE8" s="275">
        <v>-0.41936597408174459</v>
      </c>
      <c r="GF8" s="277">
        <v>1.0705833776430258</v>
      </c>
      <c r="GG8" s="214">
        <v>0</v>
      </c>
      <c r="GH8" s="286">
        <v>49.218999999999994</v>
      </c>
      <c r="GI8" s="260">
        <v>79.609580686380255</v>
      </c>
      <c r="GJ8" s="260">
        <v>89</v>
      </c>
      <c r="GK8" s="260">
        <v>-30.390580686380261</v>
      </c>
      <c r="GL8" s="291">
        <v>-0.38174526764690692</v>
      </c>
      <c r="GM8" s="275">
        <v>0.63427142400000014</v>
      </c>
      <c r="GN8" s="275">
        <v>0.94248602771348489</v>
      </c>
      <c r="GO8" s="275">
        <v>1.1428227980372916</v>
      </c>
      <c r="GP8" s="275">
        <v>-0.30821460371348475</v>
      </c>
      <c r="GQ8" s="275">
        <v>-0.35978958090295438</v>
      </c>
      <c r="GR8" s="277">
        <v>5.1574977189469649E-2</v>
      </c>
      <c r="GS8" s="275">
        <v>-0.51081610931147758</v>
      </c>
      <c r="GT8" s="284">
        <v>2.2647352741860592E-3</v>
      </c>
      <c r="GU8" s="292">
        <v>-0.54020155372078116</v>
      </c>
      <c r="GV8" s="214">
        <v>0</v>
      </c>
      <c r="GW8" s="293">
        <v>1.1702793939007059</v>
      </c>
      <c r="GX8" s="294"/>
      <c r="GY8" s="293">
        <v>0.65121740356128122</v>
      </c>
      <c r="GZ8" s="293">
        <v>0</v>
      </c>
      <c r="HA8" s="293">
        <v>-0.50855137403729145</v>
      </c>
      <c r="HB8" s="293">
        <v>2.264735274186136E-3</v>
      </c>
      <c r="HC8" s="295">
        <v>1.1744729777207812</v>
      </c>
    </row>
    <row r="9" spans="2:211" s="213" customFormat="1" ht="12.75" customHeight="1">
      <c r="B9" s="296" t="s">
        <v>141</v>
      </c>
      <c r="C9" s="297" t="s">
        <v>135</v>
      </c>
      <c r="D9" s="298" t="s">
        <v>136</v>
      </c>
      <c r="E9" s="299" t="s">
        <v>137</v>
      </c>
      <c r="F9" s="300" t="s">
        <v>142</v>
      </c>
      <c r="G9" s="301">
        <v>288.22000000000003</v>
      </c>
      <c r="H9" s="301">
        <v>369.91300000000001</v>
      </c>
      <c r="I9" s="258">
        <v>480.82500000000022</v>
      </c>
      <c r="J9" s="302">
        <v>163.44500000000005</v>
      </c>
      <c r="K9" s="302">
        <v>101.664</v>
      </c>
      <c r="L9" s="261">
        <v>99.420999999999992</v>
      </c>
      <c r="M9" s="261">
        <v>28.080000000000002</v>
      </c>
      <c r="N9" s="261">
        <v>110.55799999999999</v>
      </c>
      <c r="O9" s="261">
        <v>198.00000000000003</v>
      </c>
      <c r="P9" s="260">
        <v>49.257000000000005</v>
      </c>
      <c r="Q9" s="261">
        <v>24.298000000000002</v>
      </c>
      <c r="R9" s="303">
        <v>157.80599999999998</v>
      </c>
      <c r="S9" s="261">
        <f t="shared" si="3"/>
        <v>231.36099999999999</v>
      </c>
      <c r="T9" s="270">
        <v>231.41260920674395</v>
      </c>
      <c r="U9" s="304">
        <v>718.19841619973556</v>
      </c>
      <c r="V9" s="258">
        <v>453.09628592078445</v>
      </c>
      <c r="W9" s="259">
        <v>521.95963985122751</v>
      </c>
      <c r="X9" s="259">
        <v>92.570333682773551</v>
      </c>
      <c r="Y9" s="259">
        <v>190.45400567717073</v>
      </c>
      <c r="Z9" s="259">
        <v>344.08183141354516</v>
      </c>
      <c r="AA9" s="259">
        <v>242.87012701839743</v>
      </c>
      <c r="AB9" s="259">
        <v>238.87928872577234</v>
      </c>
      <c r="AC9" s="259">
        <v>292.79839244153135</v>
      </c>
      <c r="AD9" s="259">
        <v>267.21813030934857</v>
      </c>
      <c r="AE9" s="268">
        <v>296.46093955296971</v>
      </c>
      <c r="AF9" s="209"/>
      <c r="AG9" s="270">
        <v>0</v>
      </c>
      <c r="AH9" s="304">
        <v>340.67</v>
      </c>
      <c r="AI9" s="258">
        <v>550</v>
      </c>
      <c r="AJ9" s="259">
        <v>248.44000000000003</v>
      </c>
      <c r="AK9" s="259">
        <v>85</v>
      </c>
      <c r="AL9" s="259">
        <v>105</v>
      </c>
      <c r="AM9" s="259">
        <v>94</v>
      </c>
      <c r="AN9" s="259">
        <v>102</v>
      </c>
      <c r="AO9" s="259">
        <v>90</v>
      </c>
      <c r="AP9" s="259">
        <v>63</v>
      </c>
      <c r="AQ9" s="259">
        <v>0</v>
      </c>
      <c r="AR9" s="268">
        <v>129</v>
      </c>
      <c r="AS9" s="269">
        <v>3.2539751026509328E-2</v>
      </c>
      <c r="AT9" s="305">
        <v>119366.84060786897</v>
      </c>
      <c r="AU9" s="302">
        <v>120858.37642905225</v>
      </c>
      <c r="AV9" s="259">
        <v>120954.66417095609</v>
      </c>
      <c r="AW9" s="302">
        <v>121079.59692863034</v>
      </c>
      <c r="AX9" s="302">
        <v>120998.77242681777</v>
      </c>
      <c r="AY9" s="302">
        <v>122053.50982186863</v>
      </c>
      <c r="AZ9" s="302">
        <v>120933.33333333333</v>
      </c>
      <c r="BA9" s="302">
        <v>122364.97404077499</v>
      </c>
      <c r="BB9" s="302">
        <v>122411.11111111107</v>
      </c>
      <c r="BC9" s="302">
        <v>122411.11111111112</v>
      </c>
      <c r="BD9" s="302">
        <v>123110.55148571901</v>
      </c>
      <c r="BE9" s="306">
        <v>123079.48366982245</v>
      </c>
      <c r="BF9" s="209"/>
      <c r="BG9" s="305">
        <v>113846.5086142012</v>
      </c>
      <c r="BH9" s="302">
        <v>113846.5086142012</v>
      </c>
      <c r="BI9" s="259">
        <v>113846.50861420123</v>
      </c>
      <c r="BJ9" s="302">
        <v>113846.50861420123</v>
      </c>
      <c r="BK9" s="302">
        <v>113846.50861420123</v>
      </c>
      <c r="BL9" s="302">
        <v>113846.5086142012</v>
      </c>
      <c r="BM9" s="302">
        <v>113846.50861420123</v>
      </c>
      <c r="BN9" s="302">
        <v>113846.50861420123</v>
      </c>
      <c r="BO9" s="302">
        <v>113846.50861420123</v>
      </c>
      <c r="BP9" s="302">
        <v>113846.5086142012</v>
      </c>
      <c r="BQ9" s="302">
        <v>113846.5086142012</v>
      </c>
      <c r="BR9" s="306">
        <v>113846.50861420123</v>
      </c>
      <c r="BS9" s="209"/>
      <c r="BT9" s="270">
        <v>0</v>
      </c>
      <c r="BU9" s="307">
        <v>120990.86232601728</v>
      </c>
      <c r="BV9" s="307">
        <v>120966.9916916556</v>
      </c>
      <c r="BW9" s="307">
        <v>122874.24171773119</v>
      </c>
      <c r="BX9" s="307">
        <v>122590.59145330354</v>
      </c>
      <c r="BY9" s="307">
        <v>122743.22451264061</v>
      </c>
      <c r="BZ9" s="307">
        <v>122631.17895932346</v>
      </c>
      <c r="CA9" s="307">
        <v>124503.54210045596</v>
      </c>
      <c r="CB9" s="307">
        <v>122410.9767724085</v>
      </c>
      <c r="CC9" s="307">
        <v>122410.97677240848</v>
      </c>
      <c r="CD9" s="307">
        <v>0</v>
      </c>
      <c r="CE9" s="308">
        <v>122491.42733534393</v>
      </c>
      <c r="CF9" s="212"/>
      <c r="CG9" s="273">
        <v>3.4403910799999999</v>
      </c>
      <c r="CH9" s="274">
        <v>4.4707084600000009</v>
      </c>
      <c r="CI9" s="274">
        <v>5.8158026399999985</v>
      </c>
      <c r="CJ9" s="274">
        <v>1.9789854719999993</v>
      </c>
      <c r="CK9" s="274">
        <v>1.2301219200000002</v>
      </c>
      <c r="CL9" s="309">
        <v>1.2134682000000001</v>
      </c>
      <c r="CM9" s="276">
        <v>0.33958080000000002</v>
      </c>
      <c r="CN9" s="276">
        <v>1.3528426800000002</v>
      </c>
      <c r="CO9" s="276">
        <v>2.4237399999999996</v>
      </c>
      <c r="CP9" s="276">
        <v>0.60296041000000011</v>
      </c>
      <c r="CQ9" s="276">
        <v>0.29913401800000006</v>
      </c>
      <c r="CR9" s="313">
        <v>1.9422681000000002</v>
      </c>
      <c r="CS9" s="212"/>
      <c r="CT9" s="273">
        <v>2.6345517607490354</v>
      </c>
      <c r="CU9" s="278">
        <v>8.1764382176588857</v>
      </c>
      <c r="CV9" s="278">
        <v>5.1583430218143169</v>
      </c>
      <c r="CW9" s="278">
        <v>5.9423282634588137</v>
      </c>
      <c r="CX9" s="278">
        <v>1.053880929103536</v>
      </c>
      <c r="CY9" s="278">
        <v>2.1682523597935144</v>
      </c>
      <c r="CZ9" s="278">
        <v>3.9172515184012302</v>
      </c>
      <c r="DA9" s="278">
        <v>2.7649916007732127</v>
      </c>
      <c r="DB9" s="278">
        <v>2.7195573001672901</v>
      </c>
      <c r="DC9" s="278">
        <v>3.3334074707319066</v>
      </c>
      <c r="DD9" s="278">
        <v>3.0421851174133994</v>
      </c>
      <c r="DE9" s="278">
        <v>3.3751042908591353</v>
      </c>
      <c r="DF9" s="390">
        <f t="shared" si="4"/>
        <v>9.7506968790044404</v>
      </c>
      <c r="DG9" s="273">
        <v>0</v>
      </c>
      <c r="DH9" s="311">
        <v>4.1217957068604312</v>
      </c>
      <c r="DI9" s="309">
        <v>6.6531845430410579</v>
      </c>
      <c r="DJ9" s="278">
        <v>3.0526876612353138</v>
      </c>
      <c r="DK9" s="278">
        <v>1.0420200273530802</v>
      </c>
      <c r="DL9" s="278">
        <v>1.2888038573827263</v>
      </c>
      <c r="DM9" s="278">
        <v>1.1527330822176405</v>
      </c>
      <c r="DN9" s="278">
        <v>1.2699361294246507</v>
      </c>
      <c r="DO9" s="278">
        <v>1.1016987909516764</v>
      </c>
      <c r="DP9" s="278">
        <v>0.77118915366617347</v>
      </c>
      <c r="DQ9" s="278">
        <v>0</v>
      </c>
      <c r="DR9" s="282">
        <v>1.5801394126259369</v>
      </c>
      <c r="DS9" s="283"/>
      <c r="DT9" s="312">
        <v>0.15910700872149255</v>
      </c>
      <c r="DU9" s="274">
        <v>0.25937810589949972</v>
      </c>
      <c r="DV9" s="274">
        <v>0.34177788955766591</v>
      </c>
      <c r="DW9" s="278">
        <v>0.1182212119551867</v>
      </c>
      <c r="DX9" s="276">
        <v>7.2712774824584797E-2</v>
      </c>
      <c r="DY9" s="309">
        <v>8.1594826706750362E-2</v>
      </c>
      <c r="DZ9" s="276">
        <v>1.9899803811322937E-2</v>
      </c>
      <c r="EA9" s="276">
        <v>9.4178450063114191E-2</v>
      </c>
      <c r="EB9" s="276">
        <v>0.16957912943881479</v>
      </c>
      <c r="EC9" s="276">
        <v>4.2186662519029215E-2</v>
      </c>
      <c r="ED9" s="276">
        <v>2.2509771369213984E-2</v>
      </c>
      <c r="EE9" s="313">
        <v>0.14570188616273627</v>
      </c>
      <c r="EF9" s="212"/>
      <c r="EG9" s="312">
        <v>0.64673231052947222</v>
      </c>
      <c r="EH9" s="274">
        <v>-3.9651078635583841</v>
      </c>
      <c r="EI9" s="278">
        <v>0.31568172862801602</v>
      </c>
      <c r="EJ9" s="278">
        <v>-4.0815640034140017</v>
      </c>
      <c r="EK9" s="276">
        <v>0.10352821607187926</v>
      </c>
      <c r="EL9" s="309">
        <v>-1.0363789865002646</v>
      </c>
      <c r="EM9" s="276">
        <v>-3.5975705222125538</v>
      </c>
      <c r="EN9" s="276">
        <v>-1.506327370836327</v>
      </c>
      <c r="EO9" s="276">
        <v>-0.46539642960610567</v>
      </c>
      <c r="EP9" s="276">
        <v>-2.772633723250935</v>
      </c>
      <c r="EQ9" s="276">
        <v>-2.7655608707826129</v>
      </c>
      <c r="ER9" s="313">
        <v>-1.578538077021872</v>
      </c>
      <c r="ES9" s="283"/>
      <c r="ET9" s="312">
        <v>3.4403910799999995</v>
      </c>
      <c r="EU9" s="274">
        <v>-4.9008255604022603E-3</v>
      </c>
      <c r="EV9" s="274">
        <v>-5.927380140338149E-4</v>
      </c>
      <c r="EW9" s="278">
        <v>-2.9332571755458735E-2</v>
      </c>
      <c r="EX9" s="276">
        <v>-1.6183068950864927E-2</v>
      </c>
      <c r="EY9" s="309">
        <v>-6.8572124271240277E-3</v>
      </c>
      <c r="EZ9" s="276">
        <v>-4.7675505177802811E-3</v>
      </c>
      <c r="FA9" s="276">
        <v>-2.3643580754220857E-2</v>
      </c>
      <c r="FB9" s="276">
        <v>2.6599063108849808E-6</v>
      </c>
      <c r="FC9" s="276">
        <v>6.6171214760718728E-7</v>
      </c>
      <c r="FD9" s="276">
        <v>0.29913401800000006</v>
      </c>
      <c r="FE9" s="313">
        <v>9.2798817918717108E-3</v>
      </c>
      <c r="FF9" s="212"/>
      <c r="FG9" s="312">
        <v>0</v>
      </c>
      <c r="FH9" s="274">
        <v>0.35381357869997226</v>
      </c>
      <c r="FI9" s="278">
        <v>-0.83678916502702494</v>
      </c>
      <c r="FJ9" s="278">
        <v>-1.044369617479856</v>
      </c>
      <c r="FK9" s="276">
        <v>0.20428496159778503</v>
      </c>
      <c r="FL9" s="309">
        <v>-6.8478444955602291E-2</v>
      </c>
      <c r="FM9" s="276">
        <v>-0.80838473169986025</v>
      </c>
      <c r="FN9" s="276">
        <v>0.10655013132957013</v>
      </c>
      <c r="FO9" s="276">
        <v>1.3220385491420121</v>
      </c>
      <c r="FP9" s="276">
        <v>-0.1682294053783209</v>
      </c>
      <c r="FQ9" s="276">
        <v>0</v>
      </c>
      <c r="FR9" s="313">
        <v>0.3528488055821915</v>
      </c>
      <c r="FS9" s="283"/>
      <c r="FT9" s="286">
        <v>2071.4870000000001</v>
      </c>
      <c r="FU9" s="260">
        <v>3890</v>
      </c>
      <c r="FV9" s="260">
        <v>1807.1100000000001</v>
      </c>
      <c r="FW9" s="260">
        <v>-1818.5129999999999</v>
      </c>
      <c r="FX9" s="287">
        <v>-0.46748406169665807</v>
      </c>
      <c r="FY9" s="314">
        <v>25.11000378</v>
      </c>
      <c r="FZ9" s="275">
        <v>44.286291850924272</v>
      </c>
      <c r="GA9" s="275">
        <v>22.034188364758688</v>
      </c>
      <c r="GB9" s="275">
        <v>-19.176288070924272</v>
      </c>
      <c r="GC9" s="275">
        <v>-20.703135591953686</v>
      </c>
      <c r="GD9" s="275">
        <v>1.5268475210294112</v>
      </c>
      <c r="GE9" s="275">
        <v>-0.5867153381891328</v>
      </c>
      <c r="GF9" s="277">
        <v>3.6625307534304445</v>
      </c>
      <c r="GG9" s="214">
        <v>0</v>
      </c>
      <c r="GH9" s="286">
        <v>157.80599999999998</v>
      </c>
      <c r="GI9" s="260">
        <v>296.46093955296971</v>
      </c>
      <c r="GJ9" s="260">
        <v>129</v>
      </c>
      <c r="GK9" s="260">
        <v>-138.65493955296972</v>
      </c>
      <c r="GL9" s="291">
        <v>-0.46770053337227502</v>
      </c>
      <c r="GM9" s="275">
        <v>1.9422681000000002</v>
      </c>
      <c r="GN9" s="275">
        <v>3.3751042908591353</v>
      </c>
      <c r="GO9" s="275">
        <v>1.5801394126259369</v>
      </c>
      <c r="GP9" s="275">
        <v>-1.4328361908591352</v>
      </c>
      <c r="GQ9" s="275">
        <v>-1.578538077021872</v>
      </c>
      <c r="GR9" s="277">
        <v>0.14570188616273627</v>
      </c>
      <c r="GS9" s="275">
        <v>0.3528488055821915</v>
      </c>
      <c r="GT9" s="284">
        <v>9.2798817918717108E-3</v>
      </c>
      <c r="GU9" s="292">
        <v>0.31639727296054249</v>
      </c>
      <c r="GV9" s="214">
        <v>0</v>
      </c>
      <c r="GW9" s="293">
        <v>1.6181026465890971</v>
      </c>
      <c r="GX9" s="294"/>
      <c r="GY9" s="293">
        <v>3.075815415241312</v>
      </c>
      <c r="GZ9" s="293">
        <v>0</v>
      </c>
      <c r="HA9" s="293">
        <v>0.36212868737406323</v>
      </c>
      <c r="HB9" s="293">
        <v>9.2798817918717247E-3</v>
      </c>
      <c r="HC9" s="295">
        <v>1.6258708270394575</v>
      </c>
    </row>
    <row r="10" spans="2:211" s="213" customFormat="1" ht="12.75" customHeight="1">
      <c r="B10" s="296" t="s">
        <v>143</v>
      </c>
      <c r="C10" s="297" t="s">
        <v>135</v>
      </c>
      <c r="D10" s="298" t="s">
        <v>136</v>
      </c>
      <c r="E10" s="299" t="s">
        <v>137</v>
      </c>
      <c r="F10" s="300" t="s">
        <v>144</v>
      </c>
      <c r="G10" s="301">
        <v>80.160000000000011</v>
      </c>
      <c r="H10" s="301">
        <v>105.40800000000002</v>
      </c>
      <c r="I10" s="258">
        <v>105.82699999999998</v>
      </c>
      <c r="J10" s="302">
        <v>118.30500000000001</v>
      </c>
      <c r="K10" s="302">
        <v>718.42599999999948</v>
      </c>
      <c r="L10" s="261">
        <v>76.971000000000004</v>
      </c>
      <c r="M10" s="261">
        <v>97.330000000000013</v>
      </c>
      <c r="N10" s="261">
        <v>73.265000000000015</v>
      </c>
      <c r="O10" s="261">
        <v>119.13600000000002</v>
      </c>
      <c r="P10" s="260">
        <v>191.28</v>
      </c>
      <c r="Q10" s="261">
        <v>323.61599999999999</v>
      </c>
      <c r="R10" s="303">
        <v>328.31099999999998</v>
      </c>
      <c r="S10" s="261">
        <f t="shared" si="3"/>
        <v>843.20699999999988</v>
      </c>
      <c r="T10" s="270">
        <v>49.703403267777276</v>
      </c>
      <c r="U10" s="304">
        <v>99.482727581287406</v>
      </c>
      <c r="V10" s="258">
        <v>46.315027856959553</v>
      </c>
      <c r="W10" s="259">
        <v>85.688064969218004</v>
      </c>
      <c r="X10" s="259">
        <v>365.14195045628026</v>
      </c>
      <c r="Y10" s="259">
        <v>215.53538289177033</v>
      </c>
      <c r="Z10" s="259">
        <v>8.743042106918848</v>
      </c>
      <c r="AA10" s="259">
        <v>75.502522993374498</v>
      </c>
      <c r="AB10" s="259">
        <v>85.579606332456763</v>
      </c>
      <c r="AC10" s="259">
        <v>36.04399495566895</v>
      </c>
      <c r="AD10" s="259">
        <v>66.839867876055166</v>
      </c>
      <c r="AE10" s="268">
        <v>21.42440871223306</v>
      </c>
      <c r="AF10" s="209"/>
      <c r="AG10" s="270">
        <v>0</v>
      </c>
      <c r="AH10" s="304">
        <v>174.30459999999999</v>
      </c>
      <c r="AI10" s="258">
        <v>140.6592</v>
      </c>
      <c r="AJ10" s="259">
        <v>105.28460000000001</v>
      </c>
      <c r="AK10" s="259">
        <v>727.05259999999998</v>
      </c>
      <c r="AL10" s="259">
        <v>141</v>
      </c>
      <c r="AM10" s="259">
        <v>91.327699999999993</v>
      </c>
      <c r="AN10" s="259">
        <v>54</v>
      </c>
      <c r="AO10" s="259">
        <v>60</v>
      </c>
      <c r="AP10" s="259">
        <v>60</v>
      </c>
      <c r="AQ10" s="259">
        <v>214</v>
      </c>
      <c r="AR10" s="268">
        <v>280</v>
      </c>
      <c r="AS10" s="269">
        <v>7.0628916956764431E-2</v>
      </c>
      <c r="AT10" s="305">
        <v>116491.66666666667</v>
      </c>
      <c r="AU10" s="302">
        <v>116544.41408621735</v>
      </c>
      <c r="AV10" s="259">
        <v>117602.6042503331</v>
      </c>
      <c r="AW10" s="302">
        <v>117790.64891593764</v>
      </c>
      <c r="AX10" s="302">
        <v>118960.36446342431</v>
      </c>
      <c r="AY10" s="302">
        <v>119196.27600005196</v>
      </c>
      <c r="AZ10" s="302">
        <v>118974.67255727934</v>
      </c>
      <c r="BA10" s="302">
        <v>118999.67515184602</v>
      </c>
      <c r="BB10" s="302">
        <v>120483.33333333331</v>
      </c>
      <c r="BC10" s="302">
        <v>120483.3333333333</v>
      </c>
      <c r="BD10" s="302">
        <v>120799.94808662117</v>
      </c>
      <c r="BE10" s="306">
        <v>120944.2213023627</v>
      </c>
      <c r="BF10" s="209"/>
      <c r="BG10" s="305">
        <v>111026.84896909201</v>
      </c>
      <c r="BH10" s="302">
        <v>111026.848969092</v>
      </c>
      <c r="BI10" s="259">
        <v>111026.84896909201</v>
      </c>
      <c r="BJ10" s="302">
        <v>111026.84896909198</v>
      </c>
      <c r="BK10" s="302">
        <v>111026.848969092</v>
      </c>
      <c r="BL10" s="302">
        <v>111026.84896909201</v>
      </c>
      <c r="BM10" s="302">
        <v>111026.848969092</v>
      </c>
      <c r="BN10" s="302">
        <v>111026.848969092</v>
      </c>
      <c r="BO10" s="302">
        <v>111026.84896909201</v>
      </c>
      <c r="BP10" s="302">
        <v>111026.848969092</v>
      </c>
      <c r="BQ10" s="302">
        <v>111026.848969092</v>
      </c>
      <c r="BR10" s="306">
        <v>111026.848969092</v>
      </c>
      <c r="BS10" s="209"/>
      <c r="BT10" s="270">
        <v>0</v>
      </c>
      <c r="BU10" s="307">
        <v>117736.45992004918</v>
      </c>
      <c r="BV10" s="307">
        <v>117831.82927871354</v>
      </c>
      <c r="BW10" s="307">
        <v>118772.0166592403</v>
      </c>
      <c r="BX10" s="307">
        <v>119174.32497612791</v>
      </c>
      <c r="BY10" s="307">
        <v>119035.7114094108</v>
      </c>
      <c r="BZ10" s="307">
        <v>118979.76510942976</v>
      </c>
      <c r="CA10" s="307">
        <v>122292.93630618672</v>
      </c>
      <c r="CB10" s="307">
        <v>120485.65153318889</v>
      </c>
      <c r="CC10" s="307">
        <v>120485.65153318889</v>
      </c>
      <c r="CD10" s="307">
        <v>119527.51486320453</v>
      </c>
      <c r="CE10" s="308">
        <v>119689.52266761553</v>
      </c>
      <c r="CF10" s="212"/>
      <c r="CG10" s="273">
        <v>0.9337972000000001</v>
      </c>
      <c r="CH10" s="274">
        <v>1.2284713600000001</v>
      </c>
      <c r="CI10" s="274">
        <v>1.24455308</v>
      </c>
      <c r="CJ10" s="274">
        <v>1.3935222720000002</v>
      </c>
      <c r="CK10" s="274">
        <v>8.5464218800000005</v>
      </c>
      <c r="CL10" s="309">
        <v>0.91746565600000007</v>
      </c>
      <c r="CM10" s="276">
        <v>1.157980488</v>
      </c>
      <c r="CN10" s="276">
        <v>0.87185112000000009</v>
      </c>
      <c r="CO10" s="276">
        <v>1.43539024</v>
      </c>
      <c r="CP10" s="276">
        <v>2.3046051999999992</v>
      </c>
      <c r="CQ10" s="276">
        <v>3.9092795999999992</v>
      </c>
      <c r="CR10" s="313">
        <v>3.9707318239999996</v>
      </c>
      <c r="CS10" s="212"/>
      <c r="CT10" s="273">
        <v>0.55184122478613817</v>
      </c>
      <c r="CU10" s="278">
        <v>1.104525377020092</v>
      </c>
      <c r="CV10" s="278">
        <v>0.51422116028739373</v>
      </c>
      <c r="CW10" s="278">
        <v>0.95136758477911088</v>
      </c>
      <c r="CX10" s="278">
        <v>4.0540560185589101</v>
      </c>
      <c r="CY10" s="278">
        <v>2.3930214403820003</v>
      </c>
      <c r="CZ10" s="278">
        <v>9.7071241553529086E-2</v>
      </c>
      <c r="DA10" s="278">
        <v>0.83828072171707857</v>
      </c>
      <c r="DB10" s="278">
        <v>0.95016340271080268</v>
      </c>
      <c r="DC10" s="278">
        <v>0.40018511841857701</v>
      </c>
      <c r="DD10" s="278">
        <v>0.74210199157888401</v>
      </c>
      <c r="DE10" s="278">
        <v>0.23786845903451986</v>
      </c>
      <c r="DF10" s="390">
        <f t="shared" si="4"/>
        <v>1.3801555690319809</v>
      </c>
      <c r="DG10" s="273">
        <v>0</v>
      </c>
      <c r="DH10" s="311">
        <v>2.0522006551780203</v>
      </c>
      <c r="DI10" s="309">
        <v>1.6574130840880423</v>
      </c>
      <c r="DJ10" s="278">
        <v>1.2504864265161453</v>
      </c>
      <c r="DK10" s="278">
        <v>8.6646002827138737</v>
      </c>
      <c r="DL10" s="278">
        <v>1.6784035308726923</v>
      </c>
      <c r="DM10" s="278">
        <v>1.0866148293984468</v>
      </c>
      <c r="DN10" s="278">
        <v>0.66038185605340827</v>
      </c>
      <c r="DO10" s="278">
        <v>0.72291390919913334</v>
      </c>
      <c r="DP10" s="278">
        <v>0.72291390919913334</v>
      </c>
      <c r="DQ10" s="278">
        <v>2.557888818072577</v>
      </c>
      <c r="DR10" s="282">
        <v>3.351306634693235</v>
      </c>
      <c r="DS10" s="283"/>
      <c r="DT10" s="312">
        <v>4.3805978663758488E-2</v>
      </c>
      <c r="DU10" s="274">
        <v>5.8159550386594955E-2</v>
      </c>
      <c r="DV10" s="274">
        <v>6.958924541479003E-2</v>
      </c>
      <c r="DW10" s="278">
        <v>8.0019135271157518E-2</v>
      </c>
      <c r="DX10" s="276">
        <v>0.56996438025311824</v>
      </c>
      <c r="DY10" s="309">
        <v>6.2880896800001848E-2</v>
      </c>
      <c r="DZ10" s="276">
        <v>7.7356166983827399E-2</v>
      </c>
      <c r="EA10" s="276">
        <v>5.8412911027947385E-2</v>
      </c>
      <c r="EB10" s="276">
        <v>0.11266077212182521</v>
      </c>
      <c r="EC10" s="276">
        <v>0.18088363291920767</v>
      </c>
      <c r="ED10" s="276">
        <v>0.31627312440183197</v>
      </c>
      <c r="EE10" s="313">
        <v>0.32559824281084371</v>
      </c>
      <c r="EF10" s="212"/>
      <c r="EG10" s="312">
        <v>0.33814999655010353</v>
      </c>
      <c r="EH10" s="274">
        <v>6.5786432593313127E-2</v>
      </c>
      <c r="EI10" s="278">
        <v>0.66074267429781608</v>
      </c>
      <c r="EJ10" s="278">
        <v>0.3621355519497319</v>
      </c>
      <c r="EK10" s="276">
        <v>3.9224014811879724</v>
      </c>
      <c r="EL10" s="309">
        <v>-1.5384366811820021</v>
      </c>
      <c r="EM10" s="276">
        <v>0.98355307946264348</v>
      </c>
      <c r="EN10" s="276">
        <v>-2.4842512745025941E-2</v>
      </c>
      <c r="EO10" s="276">
        <v>0.37256606516737212</v>
      </c>
      <c r="EP10" s="276">
        <v>1.7235364486622147</v>
      </c>
      <c r="EQ10" s="276">
        <v>2.8509044840192832</v>
      </c>
      <c r="ER10" s="313">
        <v>3.407265122154636</v>
      </c>
      <c r="ES10" s="283"/>
      <c r="ET10" s="312">
        <v>0.93379720000000022</v>
      </c>
      <c r="EU10" s="274">
        <v>-1.2565116725254529E-2</v>
      </c>
      <c r="EV10" s="274">
        <v>-2.4258197078417454E-3</v>
      </c>
      <c r="EW10" s="278">
        <v>-1.1610071087142126E-2</v>
      </c>
      <c r="EX10" s="276">
        <v>-1.5371479529959984E-2</v>
      </c>
      <c r="EY10" s="309">
        <v>1.2358817106241221E-3</v>
      </c>
      <c r="EZ10" s="276">
        <v>-4.9565810080086877E-5</v>
      </c>
      <c r="FA10" s="276">
        <v>-2.4128077847277118E-2</v>
      </c>
      <c r="FB10" s="276">
        <v>-2.7618105799450315E-5</v>
      </c>
      <c r="FC10" s="276">
        <v>-4.4342526837832525E-5</v>
      </c>
      <c r="FD10" s="276">
        <v>4.1177975002919802E-2</v>
      </c>
      <c r="FE10" s="313">
        <v>4.1193136347247757E-2</v>
      </c>
      <c r="FF10" s="212"/>
      <c r="FG10" s="312">
        <v>0</v>
      </c>
      <c r="FH10" s="274">
        <v>-0.81116417845276578</v>
      </c>
      <c r="FI10" s="278">
        <v>-0.41043418438020074</v>
      </c>
      <c r="FJ10" s="278">
        <v>0.15464591657099716</v>
      </c>
      <c r="FK10" s="276">
        <v>-0.10280692318391256</v>
      </c>
      <c r="FL10" s="309">
        <v>-0.76217375658331632</v>
      </c>
      <c r="FM10" s="276">
        <v>7.1415224411633255E-2</v>
      </c>
      <c r="FN10" s="276">
        <v>0.23559734179386888</v>
      </c>
      <c r="FO10" s="276">
        <v>0.71250394890666613</v>
      </c>
      <c r="FP10" s="276">
        <v>1.5817356333277037</v>
      </c>
      <c r="FQ10" s="276">
        <v>1.3102128069245025</v>
      </c>
      <c r="FR10" s="313">
        <v>0.57823205295951707</v>
      </c>
      <c r="FS10" s="283"/>
      <c r="FT10" s="286">
        <v>2338.0349999999994</v>
      </c>
      <c r="FU10" s="260">
        <v>1156.0000000000002</v>
      </c>
      <c r="FV10" s="260">
        <v>2047.6287</v>
      </c>
      <c r="FW10" s="260">
        <v>1182.0349999999992</v>
      </c>
      <c r="FX10" s="287">
        <v>1.0225216262975769</v>
      </c>
      <c r="FY10" s="314">
        <v>27.914069919999996</v>
      </c>
      <c r="FZ10" s="275">
        <v>12.834703740827036</v>
      </c>
      <c r="GA10" s="275">
        <v>24.405123935984705</v>
      </c>
      <c r="GB10" s="275">
        <v>15.079366179172959</v>
      </c>
      <c r="GC10" s="275">
        <v>13.123762142118057</v>
      </c>
      <c r="GD10" s="275">
        <v>1.9556040370549044</v>
      </c>
      <c r="GE10" s="275">
        <v>2.5577638822946933</v>
      </c>
      <c r="GF10" s="277">
        <v>0.95118210172059903</v>
      </c>
      <c r="GG10" s="214">
        <v>0</v>
      </c>
      <c r="GH10" s="286">
        <v>328.31099999999998</v>
      </c>
      <c r="GI10" s="260">
        <v>21.42440871223306</v>
      </c>
      <c r="GJ10" s="260">
        <v>280</v>
      </c>
      <c r="GK10" s="260">
        <v>306.88659128776692</v>
      </c>
      <c r="GL10" s="291">
        <v>14.324156872181899</v>
      </c>
      <c r="GM10" s="275">
        <v>3.9707318239999996</v>
      </c>
      <c r="GN10" s="275">
        <v>0.23786845903451986</v>
      </c>
      <c r="GO10" s="275">
        <v>3.351306634693235</v>
      </c>
      <c r="GP10" s="275">
        <v>3.7328633649654797</v>
      </c>
      <c r="GQ10" s="275">
        <v>3.407265122154636</v>
      </c>
      <c r="GR10" s="277">
        <v>0.32559824281084371</v>
      </c>
      <c r="GS10" s="275">
        <v>0.57823205295951707</v>
      </c>
      <c r="GT10" s="284">
        <v>4.1193136347247757E-2</v>
      </c>
      <c r="GU10" s="292">
        <v>0.50293362567136224</v>
      </c>
      <c r="GV10" s="214">
        <v>0</v>
      </c>
      <c r="GW10" s="293">
        <v>3.4318225922337922</v>
      </c>
      <c r="GX10" s="294"/>
      <c r="GY10" s="293">
        <v>3.5089459840152912</v>
      </c>
      <c r="GZ10" s="293">
        <v>0</v>
      </c>
      <c r="HA10" s="293">
        <v>0.6194251893067646</v>
      </c>
      <c r="HB10" s="293">
        <v>4.1193136347247528E-2</v>
      </c>
      <c r="HC10" s="295">
        <v>3.4677981983286372</v>
      </c>
    </row>
    <row r="11" spans="2:211" s="213" customFormat="1" ht="12.75" customHeight="1">
      <c r="B11" s="296" t="s">
        <v>145</v>
      </c>
      <c r="C11" s="297" t="s">
        <v>135</v>
      </c>
      <c r="D11" s="298" t="s">
        <v>136</v>
      </c>
      <c r="E11" s="299" t="s">
        <v>137</v>
      </c>
      <c r="F11" s="300" t="s">
        <v>146</v>
      </c>
      <c r="G11" s="301">
        <v>10.863</v>
      </c>
      <c r="H11" s="301">
        <v>182.18699999999998</v>
      </c>
      <c r="I11" s="258">
        <v>131.66299999999998</v>
      </c>
      <c r="J11" s="302">
        <v>272.74799999999993</v>
      </c>
      <c r="K11" s="302">
        <v>152.44499999999999</v>
      </c>
      <c r="L11" s="261">
        <v>38.475000000000001</v>
      </c>
      <c r="M11" s="261">
        <v>129.10299999999995</v>
      </c>
      <c r="N11" s="261">
        <v>112.47299999999997</v>
      </c>
      <c r="O11" s="261">
        <v>80.73</v>
      </c>
      <c r="P11" s="261">
        <v>132.21</v>
      </c>
      <c r="Q11" s="261">
        <v>93.221999999999994</v>
      </c>
      <c r="R11" s="303">
        <v>0</v>
      </c>
      <c r="S11" s="261">
        <f t="shared" si="3"/>
        <v>225.43200000000002</v>
      </c>
      <c r="T11" s="270">
        <v>126.35933537385225</v>
      </c>
      <c r="U11" s="304">
        <v>126.69235430070586</v>
      </c>
      <c r="V11" s="258">
        <v>167.32066337685055</v>
      </c>
      <c r="W11" s="259">
        <v>63.358985570616547</v>
      </c>
      <c r="X11" s="259">
        <v>111.60403523018302</v>
      </c>
      <c r="Y11" s="259">
        <v>118.72551689674559</v>
      </c>
      <c r="Z11" s="259">
        <v>79.156037229058668</v>
      </c>
      <c r="AA11" s="259">
        <v>112.8080267349616</v>
      </c>
      <c r="AB11" s="259">
        <v>90.299362858392172</v>
      </c>
      <c r="AC11" s="259">
        <v>158.78171653444937</v>
      </c>
      <c r="AD11" s="259">
        <v>120.48453994628024</v>
      </c>
      <c r="AE11" s="268">
        <v>91.409425947904339</v>
      </c>
      <c r="AF11" s="209"/>
      <c r="AG11" s="270">
        <v>0</v>
      </c>
      <c r="AH11" s="304">
        <v>219.21</v>
      </c>
      <c r="AI11" s="258">
        <v>214.58099999999999</v>
      </c>
      <c r="AJ11" s="259">
        <v>141.75</v>
      </c>
      <c r="AK11" s="259">
        <v>102.74299999999999</v>
      </c>
      <c r="AL11" s="259">
        <v>102.7225</v>
      </c>
      <c r="AM11" s="259">
        <v>127</v>
      </c>
      <c r="AN11" s="259">
        <v>68</v>
      </c>
      <c r="AO11" s="259">
        <v>118</v>
      </c>
      <c r="AP11" s="259">
        <v>117</v>
      </c>
      <c r="AQ11" s="259">
        <v>76</v>
      </c>
      <c r="AR11" s="268">
        <v>0</v>
      </c>
      <c r="AS11" s="269">
        <v>0</v>
      </c>
      <c r="AT11" s="305">
        <v>113394.44444444445</v>
      </c>
      <c r="AU11" s="302">
        <v>113885.43035452584</v>
      </c>
      <c r="AV11" s="259">
        <v>114263.78572567848</v>
      </c>
      <c r="AW11" s="302">
        <v>114327.97615381231</v>
      </c>
      <c r="AX11" s="302">
        <v>115854.5313391715</v>
      </c>
      <c r="AY11" s="302">
        <v>115927.77777777778</v>
      </c>
      <c r="AZ11" s="302">
        <v>115859.01497254138</v>
      </c>
      <c r="BA11" s="302">
        <v>116914.45902572178</v>
      </c>
      <c r="BB11" s="302">
        <v>117000</v>
      </c>
      <c r="BC11" s="302">
        <v>116999.99999999999</v>
      </c>
      <c r="BD11" s="302">
        <v>117022.88193774004</v>
      </c>
      <c r="BE11" s="306">
        <v>0</v>
      </c>
      <c r="BF11" s="209"/>
      <c r="BG11" s="305">
        <v>108091.77343953229</v>
      </c>
      <c r="BH11" s="302">
        <v>108091.77343953229</v>
      </c>
      <c r="BI11" s="259">
        <v>108091.77343953231</v>
      </c>
      <c r="BJ11" s="302">
        <v>108091.77343953229</v>
      </c>
      <c r="BK11" s="302">
        <v>108091.77343953231</v>
      </c>
      <c r="BL11" s="302">
        <v>108091.77343953229</v>
      </c>
      <c r="BM11" s="302">
        <v>108091.77343953231</v>
      </c>
      <c r="BN11" s="302">
        <v>108091.77343953231</v>
      </c>
      <c r="BO11" s="302">
        <v>108091.77343953229</v>
      </c>
      <c r="BP11" s="302">
        <v>108091.77343953229</v>
      </c>
      <c r="BQ11" s="302">
        <v>108091.77343953231</v>
      </c>
      <c r="BR11" s="306">
        <v>108091.77343953229</v>
      </c>
      <c r="BS11" s="209"/>
      <c r="BT11" s="270">
        <v>0</v>
      </c>
      <c r="BU11" s="307">
        <v>114396.9506121662</v>
      </c>
      <c r="BV11" s="307">
        <v>114397.63582383958</v>
      </c>
      <c r="BW11" s="307">
        <v>115753.03655288043</v>
      </c>
      <c r="BX11" s="307">
        <v>115804.18635088789</v>
      </c>
      <c r="BY11" s="307">
        <v>115921.56355689318</v>
      </c>
      <c r="BZ11" s="307">
        <v>115855.04266118909</v>
      </c>
      <c r="CA11" s="307">
        <v>118752.90125546828</v>
      </c>
      <c r="CB11" s="307">
        <v>116997.93227139734</v>
      </c>
      <c r="CC11" s="307">
        <v>116997.93227139732</v>
      </c>
      <c r="CD11" s="307">
        <v>116997.93227139732</v>
      </c>
      <c r="CE11" s="308">
        <v>0</v>
      </c>
      <c r="CF11" s="212"/>
      <c r="CG11" s="315">
        <v>0.123180385</v>
      </c>
      <c r="CH11" s="274">
        <v>2.0748444899999998</v>
      </c>
      <c r="CI11" s="274">
        <v>1.5044312820000003</v>
      </c>
      <c r="CJ11" s="274">
        <v>3.1182726839999995</v>
      </c>
      <c r="CK11" s="274">
        <v>1.766144403</v>
      </c>
      <c r="CL11" s="309">
        <v>0.446032125</v>
      </c>
      <c r="CM11" s="276">
        <v>1.4957746410000003</v>
      </c>
      <c r="CN11" s="276">
        <v>1.3149719950000003</v>
      </c>
      <c r="CO11" s="276">
        <v>0.94454100000000007</v>
      </c>
      <c r="CP11" s="276">
        <v>1.5468569999999999</v>
      </c>
      <c r="CQ11" s="276">
        <v>1.0909107100000002</v>
      </c>
      <c r="CR11" s="313">
        <v>0</v>
      </c>
      <c r="CS11" s="212"/>
      <c r="CT11" s="273">
        <v>1.3658404651200315</v>
      </c>
      <c r="CU11" s="278">
        <v>1.3694401257592852</v>
      </c>
      <c r="CV11" s="278">
        <v>1.8085987237482779</v>
      </c>
      <c r="CW11" s="278">
        <v>0.68485851136576792</v>
      </c>
      <c r="CX11" s="278">
        <v>1.2063478091038524</v>
      </c>
      <c r="CY11" s="278">
        <v>1.2833251673894386</v>
      </c>
      <c r="CZ11" s="278">
        <v>0.85561164425345937</v>
      </c>
      <c r="DA11" s="278">
        <v>1.2193619667996172</v>
      </c>
      <c r="DB11" s="278">
        <v>0.97606182718234435</v>
      </c>
      <c r="DC11" s="278">
        <v>1.716299732998174</v>
      </c>
      <c r="DD11" s="278">
        <v>1.3023387594839602</v>
      </c>
      <c r="DE11" s="278">
        <v>0.98806069597985802</v>
      </c>
      <c r="DF11" s="390">
        <f t="shared" si="4"/>
        <v>4.006699188461992</v>
      </c>
      <c r="DG11" s="273">
        <v>0</v>
      </c>
      <c r="DH11" s="311">
        <v>2.5076955543692954</v>
      </c>
      <c r="DI11" s="309">
        <v>2.4547559092715319</v>
      </c>
      <c r="DJ11" s="278">
        <v>1.6407992931370801</v>
      </c>
      <c r="DK11" s="278">
        <v>1.1898069518249275</v>
      </c>
      <c r="DL11" s="278">
        <v>1.1907752812472958</v>
      </c>
      <c r="DM11" s="278">
        <v>1.4713590417971014</v>
      </c>
      <c r="DN11" s="278">
        <v>0.80751972853718434</v>
      </c>
      <c r="DO11" s="278">
        <v>1.3805756008024885</v>
      </c>
      <c r="DP11" s="278">
        <v>1.3688758075753487</v>
      </c>
      <c r="DQ11" s="278">
        <v>0.88918428526261972</v>
      </c>
      <c r="DR11" s="282">
        <v>0</v>
      </c>
      <c r="DS11" s="283"/>
      <c r="DT11" s="312">
        <v>5.760291512636081E-3</v>
      </c>
      <c r="DU11" s="274">
        <v>0.10555289723719302</v>
      </c>
      <c r="DV11" s="274">
        <v>8.1262565363086334E-2</v>
      </c>
      <c r="DW11" s="278">
        <v>0.17009118179144467</v>
      </c>
      <c r="DX11" s="276">
        <v>0.11833936280104972</v>
      </c>
      <c r="DY11" s="309">
        <v>3.014902669139952E-2</v>
      </c>
      <c r="DZ11" s="276">
        <v>0.100277418363607</v>
      </c>
      <c r="EA11" s="276">
        <v>9.9231391593548823E-2</v>
      </c>
      <c r="EB11" s="276">
        <v>7.1916113022655825E-2</v>
      </c>
      <c r="EC11" s="276">
        <v>0.1177756633559434</v>
      </c>
      <c r="ED11" s="276">
        <v>8.3257579641992097E-2</v>
      </c>
      <c r="EE11" s="313">
        <v>0</v>
      </c>
      <c r="EF11" s="212"/>
      <c r="EG11" s="312">
        <v>-1.2484203716326676</v>
      </c>
      <c r="EH11" s="274">
        <v>0.59985146700352165</v>
      </c>
      <c r="EI11" s="278">
        <v>-0.38543000711136394</v>
      </c>
      <c r="EJ11" s="278">
        <v>2.263322990842787</v>
      </c>
      <c r="EK11" s="276">
        <v>0.44145723109509777</v>
      </c>
      <c r="EL11" s="309">
        <v>-0.86744206908083821</v>
      </c>
      <c r="EM11" s="276">
        <v>0.53988557838293394</v>
      </c>
      <c r="EN11" s="276">
        <v>-3.6213633931658777E-3</v>
      </c>
      <c r="EO11" s="276">
        <v>-0.10343694020500013</v>
      </c>
      <c r="EP11" s="276">
        <v>-0.2872183963541175</v>
      </c>
      <c r="EQ11" s="276">
        <v>-0.29468562912595231</v>
      </c>
      <c r="ER11" s="313">
        <v>-0.98806069597985802</v>
      </c>
      <c r="ES11" s="283"/>
      <c r="ET11" s="312">
        <v>0.123180385</v>
      </c>
      <c r="EU11" s="274">
        <v>-9.3192341178723066E-3</v>
      </c>
      <c r="EV11" s="274">
        <v>-1.7623105474184853E-3</v>
      </c>
      <c r="EW11" s="278">
        <v>-3.8868237372502938E-2</v>
      </c>
      <c r="EX11" s="276">
        <v>7.6748417388955252E-4</v>
      </c>
      <c r="EY11" s="309">
        <v>2.3909214853518936E-5</v>
      </c>
      <c r="EZ11" s="276">
        <v>5.1283731251499372E-5</v>
      </c>
      <c r="FA11" s="276">
        <v>-2.0677511290627875E-2</v>
      </c>
      <c r="FB11" s="276">
        <v>1.6692773009291138E-5</v>
      </c>
      <c r="FC11" s="276">
        <v>2.7337439855795635E-5</v>
      </c>
      <c r="FD11" s="276">
        <v>2.3258577958003529E-4</v>
      </c>
      <c r="FE11" s="313">
        <v>0</v>
      </c>
      <c r="FF11" s="212"/>
      <c r="FG11" s="312">
        <v>0</v>
      </c>
      <c r="FH11" s="274">
        <v>-0.42353183025142316</v>
      </c>
      <c r="FI11" s="278">
        <v>-0.94856231672411295</v>
      </c>
      <c r="FJ11" s="278">
        <v>1.5163416282354223</v>
      </c>
      <c r="FK11" s="276">
        <v>0.57556996700118301</v>
      </c>
      <c r="FL11" s="309">
        <v>-0.74476706546214955</v>
      </c>
      <c r="FM11" s="276">
        <v>2.4364315471647507E-2</v>
      </c>
      <c r="FN11" s="276">
        <v>0.52812977775344372</v>
      </c>
      <c r="FO11" s="276">
        <v>-0.43605129357549782</v>
      </c>
      <c r="FP11" s="276">
        <v>0.17795385498479541</v>
      </c>
      <c r="FQ11" s="276">
        <v>0.2014938389578004</v>
      </c>
      <c r="FR11" s="313">
        <v>0</v>
      </c>
      <c r="FS11" s="283"/>
      <c r="FT11" s="286">
        <v>1336.1189999999999</v>
      </c>
      <c r="FU11" s="260">
        <v>1367.0000000000002</v>
      </c>
      <c r="FV11" s="260">
        <v>1287.0065</v>
      </c>
      <c r="FW11" s="260">
        <v>-30.881000000000313</v>
      </c>
      <c r="FX11" s="287">
        <v>-2.2590343818581059E-2</v>
      </c>
      <c r="FY11" s="314">
        <v>15.425960714999999</v>
      </c>
      <c r="FZ11" s="275">
        <v>14.776145429184066</v>
      </c>
      <c r="GA11" s="275">
        <v>14.901347453824872</v>
      </c>
      <c r="GB11" s="275">
        <v>0.64981528581593295</v>
      </c>
      <c r="GC11" s="275">
        <v>-0.33379820555862338</v>
      </c>
      <c r="GD11" s="275">
        <v>0.98361349137455656</v>
      </c>
      <c r="GE11" s="275">
        <v>0.47094087639110882</v>
      </c>
      <c r="GF11" s="277">
        <v>5.3672384784018076E-2</v>
      </c>
      <c r="GG11" s="214">
        <v>0</v>
      </c>
      <c r="GH11" s="286">
        <v>0</v>
      </c>
      <c r="GI11" s="260">
        <v>91.409425947904339</v>
      </c>
      <c r="GJ11" s="260">
        <v>0</v>
      </c>
      <c r="GK11" s="260">
        <v>-91.409425947904339</v>
      </c>
      <c r="GL11" s="291">
        <v>-1</v>
      </c>
      <c r="GM11" s="275">
        <v>0</v>
      </c>
      <c r="GN11" s="275">
        <v>0.98806069597985802</v>
      </c>
      <c r="GO11" s="275">
        <v>0</v>
      </c>
      <c r="GP11" s="275">
        <v>-0.98806069597985802</v>
      </c>
      <c r="GQ11" s="275">
        <v>-0.98806069597985802</v>
      </c>
      <c r="GR11" s="277">
        <v>0</v>
      </c>
      <c r="GS11" s="275">
        <v>0</v>
      </c>
      <c r="GT11" s="284">
        <v>0</v>
      </c>
      <c r="GU11" s="292">
        <v>0</v>
      </c>
      <c r="GV11" s="214">
        <v>0</v>
      </c>
      <c r="GW11" s="293">
        <v>0</v>
      </c>
      <c r="GX11" s="294"/>
      <c r="GY11" s="293">
        <v>0.52461326117512641</v>
      </c>
      <c r="GZ11" s="293">
        <v>0</v>
      </c>
      <c r="HA11" s="293">
        <v>0</v>
      </c>
      <c r="HB11" s="293">
        <v>0</v>
      </c>
      <c r="HC11" s="295">
        <v>0</v>
      </c>
    </row>
    <row r="12" spans="2:211" s="213" customFormat="1" ht="12.75" customHeight="1">
      <c r="B12" s="296" t="s">
        <v>147</v>
      </c>
      <c r="C12" s="297" t="s">
        <v>135</v>
      </c>
      <c r="D12" s="298" t="s">
        <v>136</v>
      </c>
      <c r="E12" s="299" t="s">
        <v>148</v>
      </c>
      <c r="F12" s="300" t="s">
        <v>142</v>
      </c>
      <c r="G12" s="301">
        <v>23.048999999999999</v>
      </c>
      <c r="H12" s="301">
        <v>97.956000000000003</v>
      </c>
      <c r="I12" s="258">
        <v>1.2689999999999999</v>
      </c>
      <c r="J12" s="302">
        <v>109.45799999999998</v>
      </c>
      <c r="K12" s="302">
        <v>0</v>
      </c>
      <c r="L12" s="261">
        <v>43.244999999999997</v>
      </c>
      <c r="M12" s="261">
        <v>46.737000000000002</v>
      </c>
      <c r="N12" s="316">
        <v>39.680999999999997</v>
      </c>
      <c r="O12" s="261">
        <v>0</v>
      </c>
      <c r="P12" s="261">
        <v>27</v>
      </c>
      <c r="Q12" s="261">
        <v>107.63999999999997</v>
      </c>
      <c r="R12" s="303">
        <v>13.563000000000001</v>
      </c>
      <c r="S12" s="261">
        <f t="shared" si="3"/>
        <v>148.20299999999997</v>
      </c>
      <c r="T12" s="270">
        <v>0</v>
      </c>
      <c r="U12" s="304">
        <v>118.44346712687191</v>
      </c>
      <c r="V12" s="258">
        <v>40.032288593219391</v>
      </c>
      <c r="W12" s="259">
        <v>51.786449924845513</v>
      </c>
      <c r="X12" s="259">
        <v>25.271947892890942</v>
      </c>
      <c r="Y12" s="259">
        <v>43.278962311417907</v>
      </c>
      <c r="Z12" s="259">
        <v>56.916996047430835</v>
      </c>
      <c r="AA12" s="259">
        <v>23.658631631687353</v>
      </c>
      <c r="AB12" s="259">
        <v>19.991092801870508</v>
      </c>
      <c r="AC12" s="259">
        <v>49.682124366753882</v>
      </c>
      <c r="AD12" s="259">
        <v>46.495574235929411</v>
      </c>
      <c r="AE12" s="268">
        <v>64.442465067082338</v>
      </c>
      <c r="AF12" s="209"/>
      <c r="AG12" s="270">
        <v>0</v>
      </c>
      <c r="AH12" s="304">
        <v>97.56</v>
      </c>
      <c r="AI12" s="258">
        <v>0</v>
      </c>
      <c r="AJ12" s="259">
        <v>111.75</v>
      </c>
      <c r="AK12" s="259">
        <v>20</v>
      </c>
      <c r="AL12" s="259">
        <v>25</v>
      </c>
      <c r="AM12" s="259">
        <v>46.8</v>
      </c>
      <c r="AN12" s="259">
        <v>63</v>
      </c>
      <c r="AO12" s="259">
        <v>45</v>
      </c>
      <c r="AP12" s="259">
        <v>36</v>
      </c>
      <c r="AQ12" s="259">
        <v>138</v>
      </c>
      <c r="AR12" s="268">
        <v>13.56</v>
      </c>
      <c r="AS12" s="269">
        <v>3.4204575497633061E-3</v>
      </c>
      <c r="AT12" s="305">
        <v>135022.22222222222</v>
      </c>
      <c r="AU12" s="302">
        <v>138765.99289476906</v>
      </c>
      <c r="AV12" s="259">
        <v>139822.22222222222</v>
      </c>
      <c r="AW12" s="302">
        <v>139822.22222222225</v>
      </c>
      <c r="AX12" s="302">
        <v>0</v>
      </c>
      <c r="AY12" s="302">
        <v>137288.88888888888</v>
      </c>
      <c r="AZ12" s="302">
        <v>137288.88888888885</v>
      </c>
      <c r="BA12" s="302">
        <v>137288.86620800887</v>
      </c>
      <c r="BB12" s="302">
        <v>0</v>
      </c>
      <c r="BC12" s="302">
        <v>137188.88888888891</v>
      </c>
      <c r="BD12" s="302">
        <v>137188.88888888896</v>
      </c>
      <c r="BE12" s="306">
        <v>137644.44444444444</v>
      </c>
      <c r="BF12" s="209"/>
      <c r="BG12" s="305">
        <v>135022.22222222222</v>
      </c>
      <c r="BH12" s="302">
        <v>129413.93881138884</v>
      </c>
      <c r="BI12" s="259">
        <v>129413.93881138887</v>
      </c>
      <c r="BJ12" s="302">
        <v>129413.93881138884</v>
      </c>
      <c r="BK12" s="302">
        <v>129413.93881138884</v>
      </c>
      <c r="BL12" s="302">
        <v>129413.93881138884</v>
      </c>
      <c r="BM12" s="302">
        <v>129413.93881138887</v>
      </c>
      <c r="BN12" s="302">
        <v>129413.93881138884</v>
      </c>
      <c r="BO12" s="302">
        <v>129413.93881138883</v>
      </c>
      <c r="BP12" s="302">
        <v>129413.93881138887</v>
      </c>
      <c r="BQ12" s="302">
        <v>129413.93881138887</v>
      </c>
      <c r="BR12" s="306">
        <v>129413.93881138884</v>
      </c>
      <c r="BS12" s="209"/>
      <c r="BT12" s="270">
        <v>0</v>
      </c>
      <c r="BU12" s="307">
        <v>139821.2933338471</v>
      </c>
      <c r="BV12" s="307">
        <v>0</v>
      </c>
      <c r="BW12" s="307">
        <v>139327.99457779984</v>
      </c>
      <c r="BX12" s="307">
        <v>137284.99796954673</v>
      </c>
      <c r="BY12" s="307">
        <v>137284.99796954673</v>
      </c>
      <c r="BZ12" s="307">
        <v>137284.99796954673</v>
      </c>
      <c r="CA12" s="307">
        <v>124247.14142399462</v>
      </c>
      <c r="CB12" s="307">
        <v>137186.92914573711</v>
      </c>
      <c r="CC12" s="307">
        <v>137186.92914573711</v>
      </c>
      <c r="CD12" s="307">
        <v>137186.92914573711</v>
      </c>
      <c r="CE12" s="308">
        <v>137186.92914573714</v>
      </c>
      <c r="CF12" s="212"/>
      <c r="CG12" s="273">
        <v>0.31121272</v>
      </c>
      <c r="CH12" s="274">
        <v>1.35929616</v>
      </c>
      <c r="CI12" s="274">
        <v>1.7743439999999999E-2</v>
      </c>
      <c r="CJ12" s="274">
        <v>1.5304660800000001</v>
      </c>
      <c r="CK12" s="274">
        <v>0</v>
      </c>
      <c r="CL12" s="276">
        <v>0.59370579999999995</v>
      </c>
      <c r="CM12" s="276">
        <v>0.64164707999999993</v>
      </c>
      <c r="CN12" s="276">
        <v>0.5447759499999999</v>
      </c>
      <c r="CO12" s="317">
        <v>0</v>
      </c>
      <c r="CP12" s="276">
        <v>0.37041000000000002</v>
      </c>
      <c r="CQ12" s="276">
        <v>1.4767012000000004</v>
      </c>
      <c r="CR12" s="313">
        <v>0.18668715999999999</v>
      </c>
      <c r="CS12" s="212"/>
      <c r="CT12" s="273">
        <v>0</v>
      </c>
      <c r="CU12" s="278">
        <v>1.5328235607365748</v>
      </c>
      <c r="CV12" s="278">
        <v>0.5180736146482755</v>
      </c>
      <c r="CW12" s="278">
        <v>0.67018884618330099</v>
      </c>
      <c r="CX12" s="278">
        <v>0.32705423182551957</v>
      </c>
      <c r="CY12" s="278">
        <v>0.5600900980390241</v>
      </c>
      <c r="CZ12" s="278">
        <v>0.73658526438102756</v>
      </c>
      <c r="DA12" s="278">
        <v>0.30617567063443757</v>
      </c>
      <c r="DB12" s="278">
        <v>0.25871260606340657</v>
      </c>
      <c r="DC12" s="278">
        <v>0.64295594028188985</v>
      </c>
      <c r="DD12" s="278">
        <v>0.60171753991689569</v>
      </c>
      <c r="DE12" s="278">
        <v>0.83397532310464573</v>
      </c>
      <c r="DF12" s="390">
        <f t="shared" si="4"/>
        <v>2.0786488033034312</v>
      </c>
      <c r="DG12" s="273">
        <v>0</v>
      </c>
      <c r="DH12" s="311">
        <v>1.3640965377650123</v>
      </c>
      <c r="DI12" s="309">
        <v>0</v>
      </c>
      <c r="DJ12" s="278">
        <v>1.5569903394069131</v>
      </c>
      <c r="DK12" s="278">
        <v>0.27456999593909348</v>
      </c>
      <c r="DL12" s="278">
        <v>0.3432124949238668</v>
      </c>
      <c r="DM12" s="278">
        <v>0.64249379049747868</v>
      </c>
      <c r="DN12" s="278">
        <v>0.78275699097116613</v>
      </c>
      <c r="DO12" s="278">
        <v>0.61734118115581704</v>
      </c>
      <c r="DP12" s="278">
        <v>0.49387294492465361</v>
      </c>
      <c r="DQ12" s="278">
        <v>1.8931796222111721</v>
      </c>
      <c r="DR12" s="282">
        <v>0.18602547592161955</v>
      </c>
      <c r="DS12" s="283"/>
      <c r="DT12" s="312">
        <v>0</v>
      </c>
      <c r="DU12" s="274">
        <v>9.1608980979159316E-2</v>
      </c>
      <c r="DV12" s="274">
        <v>1.3208111648347518E-3</v>
      </c>
      <c r="DW12" s="278">
        <v>0.11392698855830029</v>
      </c>
      <c r="DX12" s="276">
        <v>0</v>
      </c>
      <c r="DY12" s="276">
        <v>3.40552216101489E-2</v>
      </c>
      <c r="DZ12" s="276">
        <v>3.6805154177211641E-2</v>
      </c>
      <c r="EA12" s="276">
        <v>3.124849940252793E-2</v>
      </c>
      <c r="EB12" s="317">
        <v>0</v>
      </c>
      <c r="EC12" s="276">
        <v>2.0992365209250095E-2</v>
      </c>
      <c r="ED12" s="276">
        <v>8.3689562634210971E-2</v>
      </c>
      <c r="EE12" s="313">
        <v>1.1163034790113307E-2</v>
      </c>
      <c r="EF12" s="212"/>
      <c r="EG12" s="312">
        <v>0.31121272</v>
      </c>
      <c r="EH12" s="274">
        <v>-0.26513638171573412</v>
      </c>
      <c r="EI12" s="278">
        <v>-0.50165098581311018</v>
      </c>
      <c r="EJ12" s="278">
        <v>0.74635024525839877</v>
      </c>
      <c r="EK12" s="276">
        <v>-0.32705423182551951</v>
      </c>
      <c r="EL12" s="276">
        <v>-4.3951964917306158E-4</v>
      </c>
      <c r="EM12" s="276">
        <v>-0.13174333855823944</v>
      </c>
      <c r="EN12" s="276">
        <v>0.20735177996303447</v>
      </c>
      <c r="EO12" s="317">
        <v>-0.25871260606340657</v>
      </c>
      <c r="EP12" s="276">
        <v>-0.29353830549113991</v>
      </c>
      <c r="EQ12" s="276">
        <v>0.79129409744889379</v>
      </c>
      <c r="ER12" s="313">
        <v>-0.65845119789475892</v>
      </c>
      <c r="ES12" s="283"/>
      <c r="ET12" s="312">
        <v>0.31121272</v>
      </c>
      <c r="EU12" s="274">
        <v>-1.0337300981032856E-2</v>
      </c>
      <c r="EV12" s="274">
        <v>1.7743439999999999E-2</v>
      </c>
      <c r="EW12" s="278">
        <v>5.4097169503188325E-3</v>
      </c>
      <c r="EX12" s="276">
        <v>0</v>
      </c>
      <c r="EY12" s="276">
        <v>1.6826280695094363E-5</v>
      </c>
      <c r="EZ12" s="276">
        <v>1.8184989729234431E-5</v>
      </c>
      <c r="FA12" s="276">
        <v>5.1750868115446949E-2</v>
      </c>
      <c r="FB12" s="317">
        <v>0</v>
      </c>
      <c r="FC12" s="276">
        <v>5.291306509834249E-6</v>
      </c>
      <c r="FD12" s="276">
        <v>2.109467528649908E-5</v>
      </c>
      <c r="FE12" s="313">
        <v>6.2052799963670322E-4</v>
      </c>
      <c r="FF12" s="212"/>
      <c r="FG12" s="312">
        <v>0</v>
      </c>
      <c r="FH12" s="274">
        <v>5.536923216020357E-3</v>
      </c>
      <c r="FI12" s="278">
        <v>0</v>
      </c>
      <c r="FJ12" s="278">
        <v>-3.1933976357231941E-2</v>
      </c>
      <c r="FK12" s="276">
        <v>-0.27456999593909348</v>
      </c>
      <c r="FL12" s="276">
        <v>0.250476478795438</v>
      </c>
      <c r="FM12" s="276">
        <v>-8.6489548720807962E-4</v>
      </c>
      <c r="FN12" s="276">
        <v>-0.28973190908661306</v>
      </c>
      <c r="FO12" s="317">
        <v>-0.61734118115581704</v>
      </c>
      <c r="FP12" s="276">
        <v>-0.1234682362311634</v>
      </c>
      <c r="FQ12" s="276">
        <v>-0.41649951688645825</v>
      </c>
      <c r="FR12" s="313">
        <v>4.1156078743722701E-5</v>
      </c>
      <c r="FS12" s="283"/>
      <c r="FT12" s="286">
        <v>509.59799999999996</v>
      </c>
      <c r="FU12" s="260">
        <v>540</v>
      </c>
      <c r="FV12" s="260">
        <v>596.66999999999996</v>
      </c>
      <c r="FW12" s="260">
        <v>-30.402000000000044</v>
      </c>
      <c r="FX12" s="287">
        <v>-5.6300000000000079E-2</v>
      </c>
      <c r="FY12" s="314">
        <v>7.0326455899999996</v>
      </c>
      <c r="FZ12" s="275">
        <v>6.9883526958149975</v>
      </c>
      <c r="GA12" s="275">
        <v>8.1545393737167942</v>
      </c>
      <c r="GB12" s="275">
        <v>4.4292894185002041E-2</v>
      </c>
      <c r="GC12" s="275">
        <v>-0.3805177243407547</v>
      </c>
      <c r="GD12" s="275">
        <v>0.42481061852575719</v>
      </c>
      <c r="GE12" s="275">
        <v>-1.4983551530533832</v>
      </c>
      <c r="GF12" s="277">
        <v>0.37646136933659025</v>
      </c>
      <c r="GG12" s="214">
        <v>4.4408920985006262E-16</v>
      </c>
      <c r="GH12" s="286">
        <v>13.563000000000001</v>
      </c>
      <c r="GI12" s="260">
        <v>64.442465067082338</v>
      </c>
      <c r="GJ12" s="260">
        <v>13.56</v>
      </c>
      <c r="GK12" s="260">
        <v>-50.879465067082336</v>
      </c>
      <c r="GL12" s="291">
        <v>-0.78953319079458872</v>
      </c>
      <c r="GM12" s="275">
        <v>0.18668715999999999</v>
      </c>
      <c r="GN12" s="275">
        <v>0.83397532310464573</v>
      </c>
      <c r="GO12" s="275">
        <v>0.18602547592161955</v>
      </c>
      <c r="GP12" s="275">
        <v>-0.64728816310464576</v>
      </c>
      <c r="GQ12" s="275">
        <v>-0.65845119789475892</v>
      </c>
      <c r="GR12" s="277">
        <v>1.1163034790113307E-2</v>
      </c>
      <c r="GS12" s="275">
        <v>4.1156078743722701E-5</v>
      </c>
      <c r="GT12" s="284">
        <v>6.2052799963670322E-4</v>
      </c>
      <c r="GU12" s="292">
        <v>-4.4429190392624648E-3</v>
      </c>
      <c r="GV12" s="214">
        <v>0</v>
      </c>
      <c r="GW12" s="293">
        <v>0.1904947832555747</v>
      </c>
      <c r="GX12" s="294"/>
      <c r="GY12" s="293">
        <v>-1.1218937837167946</v>
      </c>
      <c r="GZ12" s="293">
        <v>1.7763568394002505E-15</v>
      </c>
      <c r="HA12" s="293">
        <v>6.6168407838043675E-4</v>
      </c>
      <c r="HB12" s="293">
        <v>6.2052799963671407E-4</v>
      </c>
      <c r="HC12" s="295">
        <v>0.19113007903926246</v>
      </c>
    </row>
    <row r="13" spans="2:211" s="213" customFormat="1" ht="14.25">
      <c r="B13" s="296" t="s">
        <v>149</v>
      </c>
      <c r="C13" s="297" t="s">
        <v>135</v>
      </c>
      <c r="D13" s="298" t="s">
        <v>136</v>
      </c>
      <c r="E13" s="299" t="s">
        <v>148</v>
      </c>
      <c r="F13" s="300" t="s">
        <v>140</v>
      </c>
      <c r="G13" s="301">
        <v>0</v>
      </c>
      <c r="H13" s="301">
        <v>0</v>
      </c>
      <c r="I13" s="258">
        <v>0</v>
      </c>
      <c r="J13" s="302">
        <v>0</v>
      </c>
      <c r="K13" s="302">
        <v>0</v>
      </c>
      <c r="L13" s="261">
        <v>0</v>
      </c>
      <c r="M13" s="261">
        <v>0</v>
      </c>
      <c r="N13" s="261">
        <v>0</v>
      </c>
      <c r="O13" s="261">
        <v>0</v>
      </c>
      <c r="P13" s="261">
        <v>0</v>
      </c>
      <c r="Q13" s="261">
        <v>0</v>
      </c>
      <c r="R13" s="303">
        <v>0</v>
      </c>
      <c r="S13" s="261">
        <f t="shared" si="3"/>
        <v>0</v>
      </c>
      <c r="T13" s="270">
        <v>0</v>
      </c>
      <c r="U13" s="304">
        <v>0</v>
      </c>
      <c r="V13" s="258">
        <v>0</v>
      </c>
      <c r="W13" s="259">
        <v>0</v>
      </c>
      <c r="X13" s="259">
        <v>0</v>
      </c>
      <c r="Y13" s="259">
        <v>0</v>
      </c>
      <c r="Z13" s="259">
        <v>0</v>
      </c>
      <c r="AA13" s="259">
        <v>0</v>
      </c>
      <c r="AB13" s="259">
        <v>0</v>
      </c>
      <c r="AC13" s="259">
        <v>0</v>
      </c>
      <c r="AD13" s="259">
        <v>0</v>
      </c>
      <c r="AE13" s="268">
        <v>0</v>
      </c>
      <c r="AF13" s="209"/>
      <c r="AG13" s="270">
        <v>0</v>
      </c>
      <c r="AH13" s="304">
        <v>0</v>
      </c>
      <c r="AI13" s="258">
        <v>0</v>
      </c>
      <c r="AJ13" s="259">
        <v>0</v>
      </c>
      <c r="AK13" s="259">
        <v>0</v>
      </c>
      <c r="AL13" s="259">
        <v>0</v>
      </c>
      <c r="AM13" s="259">
        <v>0</v>
      </c>
      <c r="AN13" s="259">
        <v>0</v>
      </c>
      <c r="AO13" s="259">
        <v>0</v>
      </c>
      <c r="AP13" s="259">
        <v>0</v>
      </c>
      <c r="AQ13" s="259">
        <v>0</v>
      </c>
      <c r="AR13" s="268">
        <v>0</v>
      </c>
      <c r="AS13" s="269">
        <v>0</v>
      </c>
      <c r="AT13" s="305">
        <v>0</v>
      </c>
      <c r="AU13" s="302">
        <v>0</v>
      </c>
      <c r="AV13" s="259">
        <v>0</v>
      </c>
      <c r="AW13" s="302">
        <v>0</v>
      </c>
      <c r="AX13" s="302">
        <v>0</v>
      </c>
      <c r="AY13" s="302">
        <v>0</v>
      </c>
      <c r="AZ13" s="302">
        <v>0</v>
      </c>
      <c r="BA13" s="302">
        <v>0</v>
      </c>
      <c r="BB13" s="302">
        <v>0</v>
      </c>
      <c r="BC13" s="302">
        <v>0</v>
      </c>
      <c r="BD13" s="302">
        <v>0</v>
      </c>
      <c r="BE13" s="306">
        <v>0</v>
      </c>
      <c r="BF13" s="209"/>
      <c r="BG13" s="305">
        <v>0</v>
      </c>
      <c r="BH13" s="302">
        <v>0</v>
      </c>
      <c r="BI13" s="259">
        <v>0</v>
      </c>
      <c r="BJ13" s="302">
        <v>0</v>
      </c>
      <c r="BK13" s="302">
        <v>0</v>
      </c>
      <c r="BL13" s="302">
        <v>0</v>
      </c>
      <c r="BM13" s="302">
        <v>0</v>
      </c>
      <c r="BN13" s="302">
        <v>0</v>
      </c>
      <c r="BO13" s="302">
        <v>0</v>
      </c>
      <c r="BP13" s="302">
        <v>0</v>
      </c>
      <c r="BQ13" s="302">
        <v>0</v>
      </c>
      <c r="BR13" s="306">
        <v>0</v>
      </c>
      <c r="BS13" s="209"/>
      <c r="BT13" s="270">
        <v>0</v>
      </c>
      <c r="BU13" s="307">
        <v>0</v>
      </c>
      <c r="BV13" s="307">
        <v>0</v>
      </c>
      <c r="BW13" s="307">
        <v>0</v>
      </c>
      <c r="BX13" s="307">
        <v>0</v>
      </c>
      <c r="BY13" s="307">
        <v>0</v>
      </c>
      <c r="BZ13" s="307">
        <v>0</v>
      </c>
      <c r="CA13" s="307">
        <v>0</v>
      </c>
      <c r="CB13" s="307">
        <v>0</v>
      </c>
      <c r="CC13" s="307">
        <v>0</v>
      </c>
      <c r="CD13" s="307">
        <v>0</v>
      </c>
      <c r="CE13" s="308">
        <v>0</v>
      </c>
      <c r="CF13" s="212"/>
      <c r="CG13" s="315">
        <v>0</v>
      </c>
      <c r="CH13" s="274">
        <v>0</v>
      </c>
      <c r="CI13" s="274">
        <v>0</v>
      </c>
      <c r="CJ13" s="274">
        <v>0</v>
      </c>
      <c r="CK13" s="274">
        <v>0</v>
      </c>
      <c r="CL13" s="276">
        <v>0</v>
      </c>
      <c r="CM13" s="276">
        <v>0</v>
      </c>
      <c r="CN13" s="276">
        <v>0</v>
      </c>
      <c r="CO13" s="276">
        <v>0</v>
      </c>
      <c r="CP13" s="276">
        <v>0</v>
      </c>
      <c r="CQ13" s="276">
        <v>0</v>
      </c>
      <c r="CR13" s="313">
        <v>0</v>
      </c>
      <c r="CS13" s="212"/>
      <c r="CT13" s="273">
        <v>0</v>
      </c>
      <c r="CU13" s="278">
        <v>0</v>
      </c>
      <c r="CV13" s="278">
        <v>0</v>
      </c>
      <c r="CW13" s="278">
        <v>0</v>
      </c>
      <c r="CX13" s="278">
        <v>0</v>
      </c>
      <c r="CY13" s="278">
        <v>0</v>
      </c>
      <c r="CZ13" s="278">
        <v>0</v>
      </c>
      <c r="DA13" s="278">
        <v>0</v>
      </c>
      <c r="DB13" s="278">
        <v>0</v>
      </c>
      <c r="DC13" s="278">
        <v>0</v>
      </c>
      <c r="DD13" s="278">
        <v>0</v>
      </c>
      <c r="DE13" s="278">
        <v>0</v>
      </c>
      <c r="DF13" s="390">
        <f t="shared" si="4"/>
        <v>0</v>
      </c>
      <c r="DG13" s="273">
        <v>0</v>
      </c>
      <c r="DH13" s="311">
        <v>0</v>
      </c>
      <c r="DI13" s="309">
        <v>0</v>
      </c>
      <c r="DJ13" s="278">
        <v>0</v>
      </c>
      <c r="DK13" s="278">
        <v>0</v>
      </c>
      <c r="DL13" s="278">
        <v>0</v>
      </c>
      <c r="DM13" s="278">
        <v>0</v>
      </c>
      <c r="DN13" s="278">
        <v>0</v>
      </c>
      <c r="DO13" s="278">
        <v>0</v>
      </c>
      <c r="DP13" s="278">
        <v>0</v>
      </c>
      <c r="DQ13" s="278">
        <v>0</v>
      </c>
      <c r="DR13" s="282">
        <v>0</v>
      </c>
      <c r="DS13" s="283"/>
      <c r="DT13" s="312">
        <v>0</v>
      </c>
      <c r="DU13" s="274">
        <v>0</v>
      </c>
      <c r="DV13" s="274">
        <v>0</v>
      </c>
      <c r="DW13" s="278">
        <v>0</v>
      </c>
      <c r="DX13" s="276">
        <v>0</v>
      </c>
      <c r="DY13" s="309">
        <v>0</v>
      </c>
      <c r="DZ13" s="276">
        <v>0</v>
      </c>
      <c r="EA13" s="276">
        <v>0</v>
      </c>
      <c r="EB13" s="276">
        <v>0</v>
      </c>
      <c r="EC13" s="276">
        <v>0</v>
      </c>
      <c r="ED13" s="276">
        <v>0</v>
      </c>
      <c r="EE13" s="313">
        <v>0</v>
      </c>
      <c r="EF13" s="212"/>
      <c r="EG13" s="312">
        <v>0</v>
      </c>
      <c r="EH13" s="274">
        <v>0</v>
      </c>
      <c r="EI13" s="278">
        <v>0</v>
      </c>
      <c r="EJ13" s="278">
        <v>0</v>
      </c>
      <c r="EK13" s="276">
        <v>0</v>
      </c>
      <c r="EL13" s="309">
        <v>0</v>
      </c>
      <c r="EM13" s="276">
        <v>0</v>
      </c>
      <c r="EN13" s="276">
        <v>0</v>
      </c>
      <c r="EO13" s="276">
        <v>0</v>
      </c>
      <c r="EP13" s="276">
        <v>0</v>
      </c>
      <c r="EQ13" s="276">
        <v>0</v>
      </c>
      <c r="ER13" s="313">
        <v>0</v>
      </c>
      <c r="ES13" s="283"/>
      <c r="ET13" s="312">
        <v>0</v>
      </c>
      <c r="EU13" s="274">
        <v>0</v>
      </c>
      <c r="EV13" s="274">
        <v>0</v>
      </c>
      <c r="EW13" s="278">
        <v>0</v>
      </c>
      <c r="EX13" s="276">
        <v>0</v>
      </c>
      <c r="EY13" s="309">
        <v>0</v>
      </c>
      <c r="EZ13" s="276">
        <v>0</v>
      </c>
      <c r="FA13" s="276">
        <v>0</v>
      </c>
      <c r="FB13" s="276">
        <v>0</v>
      </c>
      <c r="FC13" s="276">
        <v>0</v>
      </c>
      <c r="FD13" s="276">
        <v>0</v>
      </c>
      <c r="FE13" s="313">
        <v>0</v>
      </c>
      <c r="FF13" s="212"/>
      <c r="FG13" s="312">
        <v>0</v>
      </c>
      <c r="FH13" s="274">
        <v>0</v>
      </c>
      <c r="FI13" s="278">
        <v>0</v>
      </c>
      <c r="FJ13" s="278">
        <v>0</v>
      </c>
      <c r="FK13" s="276">
        <v>0</v>
      </c>
      <c r="FL13" s="309">
        <v>0</v>
      </c>
      <c r="FM13" s="276">
        <v>0</v>
      </c>
      <c r="FN13" s="276">
        <v>0</v>
      </c>
      <c r="FO13" s="276">
        <v>0</v>
      </c>
      <c r="FP13" s="276">
        <v>0</v>
      </c>
      <c r="FQ13" s="276">
        <v>0</v>
      </c>
      <c r="FR13" s="313">
        <v>0</v>
      </c>
      <c r="FS13" s="283"/>
      <c r="FT13" s="286">
        <v>0</v>
      </c>
      <c r="FU13" s="260">
        <v>0</v>
      </c>
      <c r="FV13" s="260">
        <v>0</v>
      </c>
      <c r="FW13" s="260">
        <v>0</v>
      </c>
      <c r="FX13" s="287">
        <v>0</v>
      </c>
      <c r="FY13" s="314">
        <v>0</v>
      </c>
      <c r="FZ13" s="275">
        <v>0</v>
      </c>
      <c r="GA13" s="275">
        <v>0</v>
      </c>
      <c r="GB13" s="275">
        <v>0</v>
      </c>
      <c r="GC13" s="275">
        <v>0</v>
      </c>
      <c r="GD13" s="275">
        <v>0</v>
      </c>
      <c r="GE13" s="275">
        <v>0</v>
      </c>
      <c r="GF13" s="277">
        <v>0</v>
      </c>
      <c r="GG13" s="214">
        <v>0</v>
      </c>
      <c r="GH13" s="286">
        <v>0</v>
      </c>
      <c r="GI13" s="260">
        <v>0</v>
      </c>
      <c r="GJ13" s="260">
        <v>0</v>
      </c>
      <c r="GK13" s="260">
        <v>0</v>
      </c>
      <c r="GL13" s="291">
        <v>0</v>
      </c>
      <c r="GM13" s="275">
        <v>0</v>
      </c>
      <c r="GN13" s="275">
        <v>0</v>
      </c>
      <c r="GO13" s="275">
        <v>0</v>
      </c>
      <c r="GP13" s="275">
        <v>0</v>
      </c>
      <c r="GQ13" s="275">
        <v>0</v>
      </c>
      <c r="GR13" s="277">
        <v>0</v>
      </c>
      <c r="GS13" s="275">
        <v>0</v>
      </c>
      <c r="GT13" s="284">
        <v>0</v>
      </c>
      <c r="GU13" s="292">
        <v>0</v>
      </c>
      <c r="GV13" s="214">
        <v>0</v>
      </c>
      <c r="GW13" s="293">
        <v>0</v>
      </c>
      <c r="GX13" s="294"/>
      <c r="GY13" s="293">
        <v>0</v>
      </c>
      <c r="GZ13" s="293">
        <v>0</v>
      </c>
      <c r="HA13" s="293">
        <v>0</v>
      </c>
      <c r="HB13" s="293">
        <v>0</v>
      </c>
      <c r="HC13" s="295">
        <v>0</v>
      </c>
    </row>
    <row r="14" spans="2:211" s="213" customFormat="1" ht="14.25">
      <c r="B14" s="296" t="s">
        <v>150</v>
      </c>
      <c r="C14" s="297" t="s">
        <v>135</v>
      </c>
      <c r="D14" s="298" t="s">
        <v>136</v>
      </c>
      <c r="E14" s="299" t="s">
        <v>148</v>
      </c>
      <c r="F14" s="300" t="s">
        <v>144</v>
      </c>
      <c r="G14" s="301">
        <v>0</v>
      </c>
      <c r="H14" s="301">
        <v>0</v>
      </c>
      <c r="I14" s="258">
        <v>0</v>
      </c>
      <c r="J14" s="302">
        <v>0</v>
      </c>
      <c r="K14" s="302">
        <v>0</v>
      </c>
      <c r="L14" s="261">
        <v>0</v>
      </c>
      <c r="M14" s="261">
        <v>84.490000000000009</v>
      </c>
      <c r="N14" s="261">
        <v>5.8000000000000003E-2</v>
      </c>
      <c r="O14" s="261">
        <v>0</v>
      </c>
      <c r="P14" s="261">
        <v>0</v>
      </c>
      <c r="Q14" s="261">
        <v>0</v>
      </c>
      <c r="R14" s="303">
        <v>0</v>
      </c>
      <c r="S14" s="261">
        <f t="shared" si="3"/>
        <v>0</v>
      </c>
      <c r="T14" s="270">
        <v>0</v>
      </c>
      <c r="U14" s="304">
        <v>0</v>
      </c>
      <c r="V14" s="258">
        <v>0</v>
      </c>
      <c r="W14" s="259">
        <v>0</v>
      </c>
      <c r="X14" s="259">
        <v>0</v>
      </c>
      <c r="Y14" s="259">
        <v>0</v>
      </c>
      <c r="Z14" s="259">
        <v>0</v>
      </c>
      <c r="AA14" s="259">
        <v>0</v>
      </c>
      <c r="AB14" s="259">
        <v>0</v>
      </c>
      <c r="AC14" s="259">
        <v>0</v>
      </c>
      <c r="AD14" s="259">
        <v>0</v>
      </c>
      <c r="AE14" s="268">
        <v>0</v>
      </c>
      <c r="AF14" s="209"/>
      <c r="AG14" s="270">
        <v>0</v>
      </c>
      <c r="AH14" s="304">
        <v>0</v>
      </c>
      <c r="AI14" s="258">
        <v>0</v>
      </c>
      <c r="AJ14" s="259">
        <v>0</v>
      </c>
      <c r="AK14" s="259">
        <v>0</v>
      </c>
      <c r="AL14" s="259">
        <v>50</v>
      </c>
      <c r="AM14" s="259">
        <v>78</v>
      </c>
      <c r="AN14" s="259">
        <v>0</v>
      </c>
      <c r="AO14" s="259">
        <v>0</v>
      </c>
      <c r="AP14" s="259">
        <v>0</v>
      </c>
      <c r="AQ14" s="259">
        <v>0</v>
      </c>
      <c r="AR14" s="268">
        <v>0</v>
      </c>
      <c r="AS14" s="269">
        <v>0</v>
      </c>
      <c r="AT14" s="305">
        <v>0</v>
      </c>
      <c r="AU14" s="302">
        <v>0</v>
      </c>
      <c r="AV14" s="259">
        <v>0</v>
      </c>
      <c r="AW14" s="302">
        <v>0</v>
      </c>
      <c r="AX14" s="302">
        <v>0</v>
      </c>
      <c r="AY14" s="302">
        <v>0</v>
      </c>
      <c r="AZ14" s="302">
        <v>133991.03231151617</v>
      </c>
      <c r="BA14" s="302">
        <v>133067.58620689655</v>
      </c>
      <c r="BB14" s="302">
        <v>0</v>
      </c>
      <c r="BC14" s="302">
        <v>0</v>
      </c>
      <c r="BD14" s="302">
        <v>0</v>
      </c>
      <c r="BE14" s="306">
        <v>0</v>
      </c>
      <c r="BF14" s="209"/>
      <c r="BG14" s="305">
        <v>0</v>
      </c>
      <c r="BH14" s="302">
        <v>0</v>
      </c>
      <c r="BI14" s="259">
        <v>0</v>
      </c>
      <c r="BJ14" s="302">
        <v>0</v>
      </c>
      <c r="BK14" s="302">
        <v>0</v>
      </c>
      <c r="BL14" s="302">
        <v>0</v>
      </c>
      <c r="BM14" s="302">
        <v>133991.03231151617</v>
      </c>
      <c r="BN14" s="302">
        <v>133067.58620689655</v>
      </c>
      <c r="BO14" s="302">
        <v>0</v>
      </c>
      <c r="BP14" s="302">
        <v>0</v>
      </c>
      <c r="BQ14" s="302">
        <v>0</v>
      </c>
      <c r="BR14" s="306">
        <v>0</v>
      </c>
      <c r="BS14" s="209"/>
      <c r="BT14" s="270">
        <v>0</v>
      </c>
      <c r="BU14" s="307">
        <v>0</v>
      </c>
      <c r="BV14" s="307">
        <v>0</v>
      </c>
      <c r="BW14" s="307">
        <v>0</v>
      </c>
      <c r="BX14" s="307">
        <v>0</v>
      </c>
      <c r="BY14" s="307">
        <v>133992.35818058081</v>
      </c>
      <c r="BZ14" s="307">
        <v>133992.35818058081</v>
      </c>
      <c r="CA14" s="307">
        <v>0</v>
      </c>
      <c r="CB14" s="307">
        <v>0</v>
      </c>
      <c r="CC14" s="307">
        <v>0</v>
      </c>
      <c r="CD14" s="307">
        <v>0</v>
      </c>
      <c r="CE14" s="308">
        <v>0</v>
      </c>
      <c r="CF14" s="212"/>
      <c r="CG14" s="315">
        <v>0</v>
      </c>
      <c r="CH14" s="274">
        <v>0</v>
      </c>
      <c r="CI14" s="274">
        <v>0</v>
      </c>
      <c r="CJ14" s="274">
        <v>0</v>
      </c>
      <c r="CK14" s="274">
        <v>0</v>
      </c>
      <c r="CL14" s="309">
        <v>0</v>
      </c>
      <c r="CM14" s="276">
        <v>1.1320902320000001</v>
      </c>
      <c r="CN14" s="276">
        <v>7.7179199999999999E-4</v>
      </c>
      <c r="CO14" s="276">
        <v>0</v>
      </c>
      <c r="CP14" s="276">
        <v>0</v>
      </c>
      <c r="CQ14" s="276">
        <v>0</v>
      </c>
      <c r="CR14" s="313">
        <v>0</v>
      </c>
      <c r="CS14" s="212"/>
      <c r="CT14" s="273">
        <v>0</v>
      </c>
      <c r="CU14" s="278">
        <v>0</v>
      </c>
      <c r="CV14" s="278">
        <v>0</v>
      </c>
      <c r="CW14" s="278">
        <v>0</v>
      </c>
      <c r="CX14" s="278">
        <v>0</v>
      </c>
      <c r="CY14" s="278">
        <v>0</v>
      </c>
      <c r="CZ14" s="278">
        <v>0</v>
      </c>
      <c r="DA14" s="278">
        <v>0</v>
      </c>
      <c r="DB14" s="278">
        <v>0</v>
      </c>
      <c r="DC14" s="278">
        <v>0</v>
      </c>
      <c r="DD14" s="278">
        <v>0</v>
      </c>
      <c r="DE14" s="278">
        <v>0</v>
      </c>
      <c r="DF14" s="390">
        <f t="shared" si="4"/>
        <v>0</v>
      </c>
      <c r="DG14" s="273">
        <v>0</v>
      </c>
      <c r="DH14" s="311">
        <v>0</v>
      </c>
      <c r="DI14" s="309">
        <v>0</v>
      </c>
      <c r="DJ14" s="278">
        <v>0</v>
      </c>
      <c r="DK14" s="278">
        <v>0</v>
      </c>
      <c r="DL14" s="278">
        <v>0.66996179090290409</v>
      </c>
      <c r="DM14" s="278">
        <v>1.0451403938085304</v>
      </c>
      <c r="DN14" s="278">
        <v>0</v>
      </c>
      <c r="DO14" s="278">
        <v>0</v>
      </c>
      <c r="DP14" s="278">
        <v>0</v>
      </c>
      <c r="DQ14" s="278">
        <v>0</v>
      </c>
      <c r="DR14" s="282">
        <v>0</v>
      </c>
      <c r="DS14" s="283"/>
      <c r="DT14" s="312">
        <v>0</v>
      </c>
      <c r="DU14" s="274">
        <v>0</v>
      </c>
      <c r="DV14" s="274">
        <v>0</v>
      </c>
      <c r="DW14" s="278">
        <v>0</v>
      </c>
      <c r="DX14" s="276">
        <v>0</v>
      </c>
      <c r="DY14" s="309">
        <v>0</v>
      </c>
      <c r="DZ14" s="276">
        <v>0</v>
      </c>
      <c r="EA14" s="276">
        <v>0</v>
      </c>
      <c r="EB14" s="276">
        <v>0</v>
      </c>
      <c r="EC14" s="276">
        <v>0</v>
      </c>
      <c r="ED14" s="276">
        <v>0</v>
      </c>
      <c r="EE14" s="313">
        <v>0</v>
      </c>
      <c r="EF14" s="212"/>
      <c r="EG14" s="312">
        <v>0</v>
      </c>
      <c r="EH14" s="274">
        <v>0</v>
      </c>
      <c r="EI14" s="278">
        <v>0</v>
      </c>
      <c r="EJ14" s="278">
        <v>0</v>
      </c>
      <c r="EK14" s="276">
        <v>0</v>
      </c>
      <c r="EL14" s="309">
        <v>0</v>
      </c>
      <c r="EM14" s="276">
        <v>1.1320902320000001</v>
      </c>
      <c r="EN14" s="276">
        <v>7.7179199999999999E-4</v>
      </c>
      <c r="EO14" s="276">
        <v>0</v>
      </c>
      <c r="EP14" s="276">
        <v>0</v>
      </c>
      <c r="EQ14" s="276">
        <v>0</v>
      </c>
      <c r="ER14" s="313">
        <v>0</v>
      </c>
      <c r="ES14" s="283"/>
      <c r="ET14" s="312">
        <v>0</v>
      </c>
      <c r="EU14" s="274">
        <v>0</v>
      </c>
      <c r="EV14" s="274">
        <v>0</v>
      </c>
      <c r="EW14" s="278">
        <v>0</v>
      </c>
      <c r="EX14" s="276">
        <v>0</v>
      </c>
      <c r="EY14" s="309">
        <v>0</v>
      </c>
      <c r="EZ14" s="276">
        <v>-1.1202267727080589E-5</v>
      </c>
      <c r="FA14" s="276">
        <v>7.7179199999999999E-4</v>
      </c>
      <c r="FB14" s="276">
        <v>0</v>
      </c>
      <c r="FC14" s="276">
        <v>0</v>
      </c>
      <c r="FD14" s="276">
        <v>0</v>
      </c>
      <c r="FE14" s="313">
        <v>0</v>
      </c>
      <c r="FF14" s="212"/>
      <c r="FG14" s="312">
        <v>0</v>
      </c>
      <c r="FH14" s="274">
        <v>0</v>
      </c>
      <c r="FI14" s="278">
        <v>0</v>
      </c>
      <c r="FJ14" s="278">
        <v>0</v>
      </c>
      <c r="FK14" s="276">
        <v>0</v>
      </c>
      <c r="FL14" s="309">
        <v>-0.66996179090290409</v>
      </c>
      <c r="FM14" s="276">
        <v>8.6961040459197059E-2</v>
      </c>
      <c r="FN14" s="276">
        <v>0</v>
      </c>
      <c r="FO14" s="276">
        <v>0</v>
      </c>
      <c r="FP14" s="276">
        <v>0</v>
      </c>
      <c r="FQ14" s="276">
        <v>0</v>
      </c>
      <c r="FR14" s="313">
        <v>0</v>
      </c>
      <c r="FS14" s="283"/>
      <c r="FT14" s="286">
        <v>84.548000000000016</v>
      </c>
      <c r="FU14" s="260">
        <v>0</v>
      </c>
      <c r="FV14" s="260">
        <v>128</v>
      </c>
      <c r="FW14" s="260">
        <v>84.548000000000016</v>
      </c>
      <c r="FX14" s="287">
        <v>0</v>
      </c>
      <c r="FY14" s="314">
        <v>1.1328620240000002</v>
      </c>
      <c r="FZ14" s="275">
        <v>0</v>
      </c>
      <c r="GA14" s="275">
        <v>1.7151021847114345</v>
      </c>
      <c r="GB14" s="275">
        <v>1.1328620240000002</v>
      </c>
      <c r="GC14" s="275">
        <v>1.1328620240000002</v>
      </c>
      <c r="GD14" s="275">
        <v>0</v>
      </c>
      <c r="GE14" s="275">
        <v>-0.58300075044370703</v>
      </c>
      <c r="GF14" s="277">
        <v>7.6058973227291938E-4</v>
      </c>
      <c r="GG14" s="214">
        <v>0</v>
      </c>
      <c r="GH14" s="286">
        <v>0</v>
      </c>
      <c r="GI14" s="260">
        <v>0</v>
      </c>
      <c r="GJ14" s="260">
        <v>0</v>
      </c>
      <c r="GK14" s="260">
        <v>0</v>
      </c>
      <c r="GL14" s="291">
        <v>0</v>
      </c>
      <c r="GM14" s="275">
        <v>0</v>
      </c>
      <c r="GN14" s="275">
        <v>0</v>
      </c>
      <c r="GO14" s="275">
        <v>0</v>
      </c>
      <c r="GP14" s="275">
        <v>0</v>
      </c>
      <c r="GQ14" s="275">
        <v>0</v>
      </c>
      <c r="GR14" s="277">
        <v>0</v>
      </c>
      <c r="GS14" s="275">
        <v>0</v>
      </c>
      <c r="GT14" s="284">
        <v>0</v>
      </c>
      <c r="GU14" s="292">
        <v>0</v>
      </c>
      <c r="GV14" s="214">
        <v>0</v>
      </c>
      <c r="GW14" s="293">
        <v>0</v>
      </c>
      <c r="GX14" s="294"/>
      <c r="GY14" s="293">
        <v>-0.58224016071143425</v>
      </c>
      <c r="GZ14" s="293">
        <v>0</v>
      </c>
      <c r="HA14" s="293">
        <v>0</v>
      </c>
      <c r="HB14" s="293">
        <v>0</v>
      </c>
      <c r="HC14" s="295">
        <v>0</v>
      </c>
    </row>
    <row r="15" spans="2:211" s="213" customFormat="1" ht="14.25" customHeight="1">
      <c r="B15" s="296" t="s">
        <v>151</v>
      </c>
      <c r="C15" s="297" t="s">
        <v>135</v>
      </c>
      <c r="D15" s="298" t="s">
        <v>136</v>
      </c>
      <c r="E15" s="299" t="s">
        <v>152</v>
      </c>
      <c r="F15" s="300" t="s">
        <v>142</v>
      </c>
      <c r="G15" s="318">
        <v>23.688000000000002</v>
      </c>
      <c r="H15" s="318">
        <v>20.961000000000002</v>
      </c>
      <c r="I15" s="319">
        <v>21.284999999999997</v>
      </c>
      <c r="J15" s="320">
        <v>41.840999999999994</v>
      </c>
      <c r="K15" s="320">
        <v>0</v>
      </c>
      <c r="L15" s="261">
        <v>14.13</v>
      </c>
      <c r="M15" s="261">
        <v>64.322000000000003</v>
      </c>
      <c r="N15" s="261">
        <v>31.635000000000002</v>
      </c>
      <c r="O15" s="261">
        <v>0</v>
      </c>
      <c r="P15" s="261">
        <v>36.630000000000003</v>
      </c>
      <c r="Q15" s="261">
        <v>0</v>
      </c>
      <c r="R15" s="303">
        <v>20.052</v>
      </c>
      <c r="S15" s="261">
        <f t="shared" si="3"/>
        <v>56.682000000000002</v>
      </c>
      <c r="T15" s="270">
        <v>46.579872894428327</v>
      </c>
      <c r="U15" s="304">
        <v>36.675819090516448</v>
      </c>
      <c r="V15" s="258">
        <v>32.644227802801261</v>
      </c>
      <c r="W15" s="259">
        <v>50.203307212932685</v>
      </c>
      <c r="X15" s="259">
        <v>8.9294749182452033</v>
      </c>
      <c r="Y15" s="259">
        <v>83.522243475041648</v>
      </c>
      <c r="Z15" s="259">
        <v>40.940642932066389</v>
      </c>
      <c r="AA15" s="259">
        <v>63.5725303881039</v>
      </c>
      <c r="AB15" s="259">
        <v>0.15826494724501761</v>
      </c>
      <c r="AC15" s="259">
        <v>16.559511322268158</v>
      </c>
      <c r="AD15" s="259">
        <v>13.177639291664097</v>
      </c>
      <c r="AE15" s="268">
        <v>12.036465724686863</v>
      </c>
      <c r="AF15" s="209"/>
      <c r="AG15" s="270">
        <v>0</v>
      </c>
      <c r="AH15" s="304">
        <v>25</v>
      </c>
      <c r="AI15" s="258">
        <v>0</v>
      </c>
      <c r="AJ15" s="259">
        <v>42.2</v>
      </c>
      <c r="AK15" s="259">
        <v>23</v>
      </c>
      <c r="AL15" s="259">
        <v>56</v>
      </c>
      <c r="AM15" s="259">
        <v>64.97</v>
      </c>
      <c r="AN15" s="259">
        <v>70</v>
      </c>
      <c r="AO15" s="259">
        <v>14</v>
      </c>
      <c r="AP15" s="259">
        <v>43</v>
      </c>
      <c r="AQ15" s="259">
        <v>0</v>
      </c>
      <c r="AR15" s="268">
        <v>25</v>
      </c>
      <c r="AS15" s="269">
        <v>6.3061532997111093E-3</v>
      </c>
      <c r="AT15" s="321">
        <v>120344.44444444445</v>
      </c>
      <c r="AU15" s="320">
        <v>122599.99999999999</v>
      </c>
      <c r="AV15" s="259">
        <v>122600.00000000003</v>
      </c>
      <c r="AW15" s="320">
        <v>122600.00000000001</v>
      </c>
      <c r="AX15" s="320">
        <v>0</v>
      </c>
      <c r="AY15" s="320">
        <v>123877.77777777781</v>
      </c>
      <c r="AZ15" s="320">
        <v>121707.72177482044</v>
      </c>
      <c r="BA15" s="320">
        <v>123877.75881144301</v>
      </c>
      <c r="BB15" s="320">
        <v>0</v>
      </c>
      <c r="BC15" s="320">
        <v>123811.11111111109</v>
      </c>
      <c r="BD15" s="320">
        <v>0</v>
      </c>
      <c r="BE15" s="322">
        <v>123744.44444444445</v>
      </c>
      <c r="BF15" s="209"/>
      <c r="BG15" s="321">
        <v>113887.10787088913</v>
      </c>
      <c r="BH15" s="320">
        <v>113887.10787088913</v>
      </c>
      <c r="BI15" s="259">
        <v>113887.10787088913</v>
      </c>
      <c r="BJ15" s="320">
        <v>113887.10787088913</v>
      </c>
      <c r="BK15" s="320">
        <v>113887.10787088911</v>
      </c>
      <c r="BL15" s="320">
        <v>113887.10787088913</v>
      </c>
      <c r="BM15" s="320">
        <v>113887.10787088914</v>
      </c>
      <c r="BN15" s="320">
        <v>113887.10787088913</v>
      </c>
      <c r="BO15" s="320">
        <v>113887.10787088913</v>
      </c>
      <c r="BP15" s="320">
        <v>113887.10787088913</v>
      </c>
      <c r="BQ15" s="320">
        <v>113887.10787088913</v>
      </c>
      <c r="BR15" s="322">
        <v>113887.10787088913</v>
      </c>
      <c r="BS15" s="209"/>
      <c r="BT15" s="270">
        <v>0</v>
      </c>
      <c r="BU15" s="323">
        <v>122604.73804181145</v>
      </c>
      <c r="BV15" s="323">
        <v>0</v>
      </c>
      <c r="BW15" s="323">
        <v>123211.69841271962</v>
      </c>
      <c r="BX15" s="323">
        <v>123880.80787729171</v>
      </c>
      <c r="BY15" s="323">
        <v>121380.76189037687</v>
      </c>
      <c r="BZ15" s="323">
        <v>121725.92754379577</v>
      </c>
      <c r="CA15" s="323">
        <v>123880.80787729171</v>
      </c>
      <c r="CB15" s="323">
        <v>123811.31007191513</v>
      </c>
      <c r="CC15" s="323">
        <v>123811.31007191513</v>
      </c>
      <c r="CD15" s="323">
        <v>0</v>
      </c>
      <c r="CE15" s="324">
        <v>123811.31007191513</v>
      </c>
      <c r="CF15" s="212"/>
      <c r="CG15" s="273">
        <v>0.28507192000000003</v>
      </c>
      <c r="CH15" s="274">
        <v>0.25698186000000001</v>
      </c>
      <c r="CI15" s="325">
        <v>0.26095410000000002</v>
      </c>
      <c r="CJ15" s="325">
        <v>0.51297066000000002</v>
      </c>
      <c r="CK15" s="325">
        <v>0</v>
      </c>
      <c r="CL15" s="276">
        <v>0.17503930000000004</v>
      </c>
      <c r="CM15" s="276">
        <v>0.78284840800000011</v>
      </c>
      <c r="CN15" s="276">
        <v>0.39188729</v>
      </c>
      <c r="CO15" s="276">
        <v>0</v>
      </c>
      <c r="CP15" s="276">
        <v>0.45352009999999998</v>
      </c>
      <c r="CQ15" s="276">
        <v>0</v>
      </c>
      <c r="CR15" s="313">
        <v>0.24813236</v>
      </c>
      <c r="CS15" s="212"/>
      <c r="CT15" s="273">
        <v>0.53048470089400634</v>
      </c>
      <c r="CU15" s="278">
        <v>0.41769029650148615</v>
      </c>
      <c r="CV15" s="278">
        <v>0.37177566931395051</v>
      </c>
      <c r="CW15" s="278">
        <v>0.57175094640346513</v>
      </c>
      <c r="CX15" s="278">
        <v>0.10169520732445902</v>
      </c>
      <c r="CY15" s="278">
        <v>0.95121067522607339</v>
      </c>
      <c r="CZ15" s="278">
        <v>0.46626114179077999</v>
      </c>
      <c r="DA15" s="278">
        <v>0.72400916259353665</v>
      </c>
      <c r="DB15" s="278">
        <v>1.8024337119073898E-3</v>
      </c>
      <c r="DC15" s="278">
        <v>0.18859148522483635</v>
      </c>
      <c r="DD15" s="278">
        <v>0.1500763227493416</v>
      </c>
      <c r="DE15" s="278">
        <v>0.13707982703716726</v>
      </c>
      <c r="DF15" s="390">
        <f t="shared" si="4"/>
        <v>0.4757476350113452</v>
      </c>
      <c r="DG15" s="273">
        <v>0</v>
      </c>
      <c r="DH15" s="311">
        <v>0.30651184510452861</v>
      </c>
      <c r="DI15" s="309">
        <v>0</v>
      </c>
      <c r="DJ15" s="278">
        <v>0.51995336730167685</v>
      </c>
      <c r="DK15" s="278">
        <v>0.28492585811777094</v>
      </c>
      <c r="DL15" s="278">
        <v>0.67973226658611052</v>
      </c>
      <c r="DM15" s="278">
        <v>0.79085335125204115</v>
      </c>
      <c r="DN15" s="278">
        <v>0.86716565514104194</v>
      </c>
      <c r="DO15" s="278">
        <v>0.17333583410068118</v>
      </c>
      <c r="DP15" s="278">
        <v>0.53238863330923503</v>
      </c>
      <c r="DQ15" s="278">
        <v>0</v>
      </c>
      <c r="DR15" s="282">
        <v>0.30952827517978782</v>
      </c>
      <c r="DS15" s="283"/>
      <c r="DT15" s="312">
        <v>1.5296138875437851E-2</v>
      </c>
      <c r="DU15" s="274">
        <v>1.8263093191829269E-2</v>
      </c>
      <c r="DV15" s="274">
        <v>1.8545390896812546E-2</v>
      </c>
      <c r="DW15" s="278">
        <v>3.6455611957412856E-2</v>
      </c>
      <c r="DX15" s="276">
        <v>0</v>
      </c>
      <c r="DY15" s="309">
        <v>1.4116816578433706E-2</v>
      </c>
      <c r="DZ15" s="276">
        <v>5.0303752752866901E-2</v>
      </c>
      <c r="EA15" s="276">
        <v>3.1605424250442209E-2</v>
      </c>
      <c r="EB15" s="276">
        <v>0</v>
      </c>
      <c r="EC15" s="276">
        <v>3.6351623868933064E-2</v>
      </c>
      <c r="ED15" s="276">
        <v>0</v>
      </c>
      <c r="EE15" s="313">
        <v>1.9765931297293135E-2</v>
      </c>
      <c r="EF15" s="212"/>
      <c r="EG15" s="312">
        <v>-0.26070891976944416</v>
      </c>
      <c r="EH15" s="274">
        <v>-0.17897152969331542</v>
      </c>
      <c r="EI15" s="278">
        <v>-0.12936696021076305</v>
      </c>
      <c r="EJ15" s="278">
        <v>-9.5235898360877966E-2</v>
      </c>
      <c r="EK15" s="276">
        <v>-0.10169520732445902</v>
      </c>
      <c r="EL15" s="309">
        <v>-0.79028819180450705</v>
      </c>
      <c r="EM15" s="276">
        <v>0.26628351345635315</v>
      </c>
      <c r="EN15" s="276">
        <v>-0.36372729684397881</v>
      </c>
      <c r="EO15" s="276">
        <v>-1.8024337119073898E-3</v>
      </c>
      <c r="EP15" s="276">
        <v>0.22857699090623054</v>
      </c>
      <c r="EQ15" s="276">
        <v>-0.1500763227493416</v>
      </c>
      <c r="ER15" s="313">
        <v>9.1286601665539632E-2</v>
      </c>
      <c r="ES15" s="283"/>
      <c r="ET15" s="312">
        <v>0.28507192000000009</v>
      </c>
      <c r="EU15" s="274">
        <v>-9.931409441006773E-6</v>
      </c>
      <c r="EV15" s="274">
        <v>0.26095410000000002</v>
      </c>
      <c r="EW15" s="278">
        <v>-2.5594073286600975E-3</v>
      </c>
      <c r="EX15" s="276">
        <v>0</v>
      </c>
      <c r="EY15" s="309">
        <v>3.5282834488975226E-3</v>
      </c>
      <c r="EZ15" s="276">
        <v>-1.1710314720310074E-4</v>
      </c>
      <c r="FA15" s="276">
        <v>-9.6457198123499416E-6</v>
      </c>
      <c r="FB15" s="276">
        <v>0</v>
      </c>
      <c r="FC15" s="276">
        <v>-7.2879342516639739E-7</v>
      </c>
      <c r="FD15" s="276">
        <v>0</v>
      </c>
      <c r="FE15" s="313">
        <v>-1.3407895620419478E-4</v>
      </c>
      <c r="FF15" s="212"/>
      <c r="FG15" s="312">
        <v>0</v>
      </c>
      <c r="FH15" s="274">
        <v>-4.9520053695087621E-2</v>
      </c>
      <c r="FI15" s="278">
        <v>0</v>
      </c>
      <c r="FJ15" s="278">
        <v>-4.4232999730167439E-3</v>
      </c>
      <c r="FK15" s="276">
        <v>-0.28492585811777094</v>
      </c>
      <c r="FL15" s="309">
        <v>-0.50822125003500795</v>
      </c>
      <c r="FM15" s="276">
        <v>-7.8878401048379197E-3</v>
      </c>
      <c r="FN15" s="276">
        <v>-0.47526871942122961</v>
      </c>
      <c r="FO15" s="276">
        <v>-0.17333583410068118</v>
      </c>
      <c r="FP15" s="276">
        <v>-7.8867804515809908E-2</v>
      </c>
      <c r="FQ15" s="276">
        <v>0</v>
      </c>
      <c r="FR15" s="313">
        <v>-6.126183622358361E-2</v>
      </c>
      <c r="FS15" s="283"/>
      <c r="FT15" s="286">
        <v>274.54399999999998</v>
      </c>
      <c r="FU15" s="260">
        <v>405</v>
      </c>
      <c r="FV15" s="260">
        <v>363.16999999999996</v>
      </c>
      <c r="FW15" s="260">
        <v>-130.45600000000002</v>
      </c>
      <c r="FX15" s="287">
        <v>-0.32211358024691361</v>
      </c>
      <c r="FY15" s="314">
        <v>3.3674059980000006</v>
      </c>
      <c r="FZ15" s="275">
        <v>4.6124278687710101</v>
      </c>
      <c r="GA15" s="275">
        <v>4.4643950860928738</v>
      </c>
      <c r="GB15" s="275">
        <v>-1.2450218707710095</v>
      </c>
      <c r="GC15" s="275">
        <v>-1.4857256544404711</v>
      </c>
      <c r="GD15" s="275">
        <v>0.24070378366946155</v>
      </c>
      <c r="GE15" s="275">
        <v>-1.6437124961870255</v>
      </c>
      <c r="GF15" s="277">
        <v>0.54672340809415176</v>
      </c>
      <c r="GG15" s="214">
        <v>0</v>
      </c>
      <c r="GH15" s="286">
        <v>20.052</v>
      </c>
      <c r="GI15" s="260">
        <v>12.036465724686863</v>
      </c>
      <c r="GJ15" s="260">
        <v>25</v>
      </c>
      <c r="GK15" s="260">
        <v>8.0155342753131364</v>
      </c>
      <c r="GL15" s="291">
        <v>0.66593753171856984</v>
      </c>
      <c r="GM15" s="275">
        <v>0.24813236</v>
      </c>
      <c r="GN15" s="275">
        <v>0.13707982703716726</v>
      </c>
      <c r="GO15" s="275">
        <v>0.30952827517978782</v>
      </c>
      <c r="GP15" s="275">
        <v>0.11105253296283274</v>
      </c>
      <c r="GQ15" s="275">
        <v>9.1286601665539632E-2</v>
      </c>
      <c r="GR15" s="277">
        <v>1.9765931297293135E-2</v>
      </c>
      <c r="GS15" s="275">
        <v>-6.126183622358361E-2</v>
      </c>
      <c r="GT15" s="284">
        <v>-1.3407895620419478E-4</v>
      </c>
      <c r="GU15" s="292">
        <v>-6.8661227097959035E-2</v>
      </c>
      <c r="GV15" s="214">
        <v>0</v>
      </c>
      <c r="GW15" s="293">
        <v>0.31696476732407014</v>
      </c>
      <c r="GX15" s="294"/>
      <c r="GY15" s="293">
        <v>-1.0969890880928732</v>
      </c>
      <c r="GZ15" s="293">
        <v>0</v>
      </c>
      <c r="HA15" s="293">
        <v>-6.1395915179787819E-2</v>
      </c>
      <c r="HB15" s="293">
        <v>-1.3407895620420884E-4</v>
      </c>
      <c r="HC15" s="295">
        <v>0.31679358709795902</v>
      </c>
    </row>
    <row r="16" spans="2:211" s="213" customFormat="1" ht="14.25">
      <c r="B16" s="296" t="s">
        <v>153</v>
      </c>
      <c r="C16" s="297" t="s">
        <v>135</v>
      </c>
      <c r="D16" s="298" t="s">
        <v>136</v>
      </c>
      <c r="E16" s="299" t="s">
        <v>152</v>
      </c>
      <c r="F16" s="300" t="s">
        <v>140</v>
      </c>
      <c r="G16" s="318">
        <v>0</v>
      </c>
      <c r="H16" s="318">
        <v>0</v>
      </c>
      <c r="I16" s="319">
        <v>0</v>
      </c>
      <c r="J16" s="320">
        <v>0</v>
      </c>
      <c r="K16" s="320">
        <v>0</v>
      </c>
      <c r="L16" s="261">
        <v>0</v>
      </c>
      <c r="M16" s="261">
        <v>0</v>
      </c>
      <c r="N16" s="261">
        <v>0</v>
      </c>
      <c r="O16" s="261">
        <v>0</v>
      </c>
      <c r="P16" s="261">
        <v>0</v>
      </c>
      <c r="Q16" s="261">
        <v>0</v>
      </c>
      <c r="R16" s="303">
        <v>0</v>
      </c>
      <c r="S16" s="261">
        <f t="shared" si="3"/>
        <v>0</v>
      </c>
      <c r="T16" s="270">
        <v>0</v>
      </c>
      <c r="U16" s="304">
        <v>0</v>
      </c>
      <c r="V16" s="258">
        <v>0</v>
      </c>
      <c r="W16" s="259">
        <v>0</v>
      </c>
      <c r="X16" s="259">
        <v>0</v>
      </c>
      <c r="Y16" s="259">
        <v>0</v>
      </c>
      <c r="Z16" s="259">
        <v>0</v>
      </c>
      <c r="AA16" s="259">
        <v>0</v>
      </c>
      <c r="AB16" s="259">
        <v>0</v>
      </c>
      <c r="AC16" s="259">
        <v>0</v>
      </c>
      <c r="AD16" s="259">
        <v>0</v>
      </c>
      <c r="AE16" s="268">
        <v>0</v>
      </c>
      <c r="AF16" s="209"/>
      <c r="AG16" s="270">
        <v>0</v>
      </c>
      <c r="AH16" s="304">
        <v>0</v>
      </c>
      <c r="AI16" s="258">
        <v>0</v>
      </c>
      <c r="AJ16" s="259">
        <v>0</v>
      </c>
      <c r="AK16" s="259">
        <v>0</v>
      </c>
      <c r="AL16" s="259">
        <v>0</v>
      </c>
      <c r="AM16" s="259">
        <v>0</v>
      </c>
      <c r="AN16" s="259">
        <v>0</v>
      </c>
      <c r="AO16" s="259">
        <v>0</v>
      </c>
      <c r="AP16" s="259">
        <v>0</v>
      </c>
      <c r="AQ16" s="259">
        <v>0</v>
      </c>
      <c r="AR16" s="268">
        <v>0</v>
      </c>
      <c r="AS16" s="269">
        <v>0</v>
      </c>
      <c r="AT16" s="321">
        <v>0</v>
      </c>
      <c r="AU16" s="320">
        <v>0</v>
      </c>
      <c r="AV16" s="259">
        <v>0</v>
      </c>
      <c r="AW16" s="320">
        <v>0</v>
      </c>
      <c r="AX16" s="320">
        <v>0</v>
      </c>
      <c r="AY16" s="320">
        <v>0</v>
      </c>
      <c r="AZ16" s="320">
        <v>0</v>
      </c>
      <c r="BA16" s="320">
        <v>0</v>
      </c>
      <c r="BB16" s="320">
        <v>0</v>
      </c>
      <c r="BC16" s="320">
        <v>0</v>
      </c>
      <c r="BD16" s="320">
        <v>0</v>
      </c>
      <c r="BE16" s="322">
        <v>0</v>
      </c>
      <c r="BF16" s="209"/>
      <c r="BG16" s="321">
        <v>0</v>
      </c>
      <c r="BH16" s="320">
        <v>0</v>
      </c>
      <c r="BI16" s="259">
        <v>0</v>
      </c>
      <c r="BJ16" s="320">
        <v>0</v>
      </c>
      <c r="BK16" s="320">
        <v>0</v>
      </c>
      <c r="BL16" s="320">
        <v>0</v>
      </c>
      <c r="BM16" s="320">
        <v>0</v>
      </c>
      <c r="BN16" s="320">
        <v>0</v>
      </c>
      <c r="BO16" s="320">
        <v>0</v>
      </c>
      <c r="BP16" s="320">
        <v>0</v>
      </c>
      <c r="BQ16" s="320">
        <v>0</v>
      </c>
      <c r="BR16" s="322">
        <v>0</v>
      </c>
      <c r="BS16" s="209"/>
      <c r="BT16" s="270">
        <v>0</v>
      </c>
      <c r="BU16" s="323">
        <v>0</v>
      </c>
      <c r="BV16" s="323">
        <v>0</v>
      </c>
      <c r="BW16" s="323">
        <v>0</v>
      </c>
      <c r="BX16" s="323">
        <v>0</v>
      </c>
      <c r="BY16" s="323">
        <v>0</v>
      </c>
      <c r="BZ16" s="323">
        <v>0</v>
      </c>
      <c r="CA16" s="323">
        <v>0</v>
      </c>
      <c r="CB16" s="323">
        <v>0</v>
      </c>
      <c r="CC16" s="323">
        <v>0</v>
      </c>
      <c r="CD16" s="323">
        <v>0</v>
      </c>
      <c r="CE16" s="324">
        <v>0</v>
      </c>
      <c r="CF16" s="212"/>
      <c r="CG16" s="315">
        <v>0</v>
      </c>
      <c r="CH16" s="325">
        <v>0</v>
      </c>
      <c r="CI16" s="325">
        <v>0</v>
      </c>
      <c r="CJ16" s="325">
        <v>0</v>
      </c>
      <c r="CK16" s="325">
        <v>0</v>
      </c>
      <c r="CL16" s="276">
        <v>0</v>
      </c>
      <c r="CM16" s="276">
        <v>0</v>
      </c>
      <c r="CN16" s="276">
        <v>0</v>
      </c>
      <c r="CO16" s="276">
        <v>0</v>
      </c>
      <c r="CP16" s="276">
        <v>0</v>
      </c>
      <c r="CQ16" s="276">
        <v>0</v>
      </c>
      <c r="CR16" s="313">
        <v>0</v>
      </c>
      <c r="CS16" s="212"/>
      <c r="CT16" s="273">
        <v>0</v>
      </c>
      <c r="CU16" s="278">
        <v>0</v>
      </c>
      <c r="CV16" s="278">
        <v>0</v>
      </c>
      <c r="CW16" s="278">
        <v>0</v>
      </c>
      <c r="CX16" s="278">
        <v>0</v>
      </c>
      <c r="CY16" s="278">
        <v>0</v>
      </c>
      <c r="CZ16" s="278">
        <v>0</v>
      </c>
      <c r="DA16" s="278">
        <v>0</v>
      </c>
      <c r="DB16" s="278">
        <v>0</v>
      </c>
      <c r="DC16" s="278">
        <v>0</v>
      </c>
      <c r="DD16" s="278">
        <v>0</v>
      </c>
      <c r="DE16" s="278">
        <v>0</v>
      </c>
      <c r="DF16" s="390">
        <f t="shared" si="4"/>
        <v>0</v>
      </c>
      <c r="DG16" s="273">
        <v>0</v>
      </c>
      <c r="DH16" s="311">
        <v>0</v>
      </c>
      <c r="DI16" s="309">
        <v>0</v>
      </c>
      <c r="DJ16" s="278">
        <v>0</v>
      </c>
      <c r="DK16" s="278">
        <v>0</v>
      </c>
      <c r="DL16" s="278">
        <v>0</v>
      </c>
      <c r="DM16" s="278">
        <v>0</v>
      </c>
      <c r="DN16" s="278">
        <v>0</v>
      </c>
      <c r="DO16" s="278">
        <v>0</v>
      </c>
      <c r="DP16" s="278">
        <v>0</v>
      </c>
      <c r="DQ16" s="278">
        <v>0</v>
      </c>
      <c r="DR16" s="282">
        <v>0</v>
      </c>
      <c r="DS16" s="283"/>
      <c r="DT16" s="312">
        <v>0</v>
      </c>
      <c r="DU16" s="274">
        <v>0</v>
      </c>
      <c r="DV16" s="274">
        <v>0</v>
      </c>
      <c r="DW16" s="278">
        <v>0</v>
      </c>
      <c r="DX16" s="276">
        <v>0</v>
      </c>
      <c r="DY16" s="309">
        <v>0</v>
      </c>
      <c r="DZ16" s="276">
        <v>0</v>
      </c>
      <c r="EA16" s="276">
        <v>0</v>
      </c>
      <c r="EB16" s="276">
        <v>0</v>
      </c>
      <c r="EC16" s="276">
        <v>0</v>
      </c>
      <c r="ED16" s="276">
        <v>0</v>
      </c>
      <c r="EE16" s="313">
        <v>0</v>
      </c>
      <c r="EF16" s="212"/>
      <c r="EG16" s="312">
        <v>0</v>
      </c>
      <c r="EH16" s="274">
        <v>0</v>
      </c>
      <c r="EI16" s="278">
        <v>0</v>
      </c>
      <c r="EJ16" s="278">
        <v>0</v>
      </c>
      <c r="EK16" s="276">
        <v>0</v>
      </c>
      <c r="EL16" s="309">
        <v>0</v>
      </c>
      <c r="EM16" s="276">
        <v>0</v>
      </c>
      <c r="EN16" s="276">
        <v>0</v>
      </c>
      <c r="EO16" s="276">
        <v>0</v>
      </c>
      <c r="EP16" s="276">
        <v>0</v>
      </c>
      <c r="EQ16" s="276">
        <v>0</v>
      </c>
      <c r="ER16" s="313">
        <v>0</v>
      </c>
      <c r="ES16" s="283"/>
      <c r="ET16" s="312">
        <v>0</v>
      </c>
      <c r="EU16" s="274">
        <v>0</v>
      </c>
      <c r="EV16" s="274">
        <v>0</v>
      </c>
      <c r="EW16" s="278">
        <v>0</v>
      </c>
      <c r="EX16" s="276">
        <v>0</v>
      </c>
      <c r="EY16" s="309">
        <v>0</v>
      </c>
      <c r="EZ16" s="276">
        <v>0</v>
      </c>
      <c r="FA16" s="276">
        <v>0</v>
      </c>
      <c r="FB16" s="276">
        <v>0</v>
      </c>
      <c r="FC16" s="276">
        <v>0</v>
      </c>
      <c r="FD16" s="276">
        <v>0</v>
      </c>
      <c r="FE16" s="313">
        <v>0</v>
      </c>
      <c r="FF16" s="212"/>
      <c r="FG16" s="312">
        <v>0</v>
      </c>
      <c r="FH16" s="274">
        <v>0</v>
      </c>
      <c r="FI16" s="278">
        <v>0</v>
      </c>
      <c r="FJ16" s="278">
        <v>0</v>
      </c>
      <c r="FK16" s="276">
        <v>0</v>
      </c>
      <c r="FL16" s="309">
        <v>0</v>
      </c>
      <c r="FM16" s="276">
        <v>0</v>
      </c>
      <c r="FN16" s="276">
        <v>0</v>
      </c>
      <c r="FO16" s="276">
        <v>0</v>
      </c>
      <c r="FP16" s="276">
        <v>0</v>
      </c>
      <c r="FQ16" s="276">
        <v>0</v>
      </c>
      <c r="FR16" s="313">
        <v>0</v>
      </c>
      <c r="FS16" s="283"/>
      <c r="FT16" s="286">
        <v>0</v>
      </c>
      <c r="FU16" s="260">
        <v>0</v>
      </c>
      <c r="FV16" s="260">
        <v>0</v>
      </c>
      <c r="FW16" s="260">
        <v>0</v>
      </c>
      <c r="FX16" s="287">
        <v>0</v>
      </c>
      <c r="FY16" s="314">
        <v>0</v>
      </c>
      <c r="FZ16" s="275">
        <v>0</v>
      </c>
      <c r="GA16" s="275">
        <v>0</v>
      </c>
      <c r="GB16" s="275">
        <v>0</v>
      </c>
      <c r="GC16" s="275">
        <v>0</v>
      </c>
      <c r="GD16" s="275">
        <v>0</v>
      </c>
      <c r="GE16" s="275">
        <v>0</v>
      </c>
      <c r="GF16" s="277">
        <v>0</v>
      </c>
      <c r="GG16" s="214">
        <v>0</v>
      </c>
      <c r="GH16" s="286">
        <v>0</v>
      </c>
      <c r="GI16" s="260">
        <v>0</v>
      </c>
      <c r="GJ16" s="260">
        <v>0</v>
      </c>
      <c r="GK16" s="260">
        <v>0</v>
      </c>
      <c r="GL16" s="291">
        <v>0</v>
      </c>
      <c r="GM16" s="275">
        <v>0</v>
      </c>
      <c r="GN16" s="275">
        <v>0</v>
      </c>
      <c r="GO16" s="275">
        <v>0</v>
      </c>
      <c r="GP16" s="275">
        <v>0</v>
      </c>
      <c r="GQ16" s="275">
        <v>0</v>
      </c>
      <c r="GR16" s="277">
        <v>0</v>
      </c>
      <c r="GS16" s="275">
        <v>0</v>
      </c>
      <c r="GT16" s="284">
        <v>0</v>
      </c>
      <c r="GU16" s="292">
        <v>0</v>
      </c>
      <c r="GV16" s="214">
        <v>0</v>
      </c>
      <c r="GW16" s="293">
        <v>0</v>
      </c>
      <c r="GX16" s="294"/>
      <c r="GY16" s="293">
        <v>0</v>
      </c>
      <c r="GZ16" s="293">
        <v>0</v>
      </c>
      <c r="HA16" s="293">
        <v>0</v>
      </c>
      <c r="HB16" s="293">
        <v>0</v>
      </c>
      <c r="HC16" s="295">
        <v>0</v>
      </c>
    </row>
    <row r="17" spans="1:211" ht="15" customHeight="1">
      <c r="A17" s="213"/>
      <c r="B17" s="296" t="s">
        <v>154</v>
      </c>
      <c r="C17" s="297" t="s">
        <v>135</v>
      </c>
      <c r="D17" s="298" t="s">
        <v>136</v>
      </c>
      <c r="E17" s="299" t="s">
        <v>152</v>
      </c>
      <c r="F17" s="300" t="s">
        <v>144</v>
      </c>
      <c r="G17" s="318">
        <v>0</v>
      </c>
      <c r="H17" s="318">
        <v>0</v>
      </c>
      <c r="I17" s="319">
        <v>0</v>
      </c>
      <c r="J17" s="320">
        <v>0</v>
      </c>
      <c r="K17" s="320">
        <v>0</v>
      </c>
      <c r="L17" s="261">
        <v>0</v>
      </c>
      <c r="M17" s="261">
        <v>0</v>
      </c>
      <c r="N17" s="261">
        <v>0</v>
      </c>
      <c r="O17" s="261">
        <v>0</v>
      </c>
      <c r="P17" s="261">
        <v>0</v>
      </c>
      <c r="Q17" s="261">
        <v>0</v>
      </c>
      <c r="R17" s="303">
        <v>0</v>
      </c>
      <c r="S17" s="261">
        <f t="shared" si="3"/>
        <v>0</v>
      </c>
      <c r="T17" s="270">
        <v>0</v>
      </c>
      <c r="U17" s="304">
        <v>0</v>
      </c>
      <c r="V17" s="258">
        <v>0</v>
      </c>
      <c r="W17" s="259">
        <v>0</v>
      </c>
      <c r="X17" s="259">
        <v>0</v>
      </c>
      <c r="Y17" s="259">
        <v>0</v>
      </c>
      <c r="Z17" s="259">
        <v>0</v>
      </c>
      <c r="AA17" s="259">
        <v>0</v>
      </c>
      <c r="AB17" s="259">
        <v>0</v>
      </c>
      <c r="AC17" s="259">
        <v>0</v>
      </c>
      <c r="AD17" s="259">
        <v>0</v>
      </c>
      <c r="AE17" s="268">
        <v>0</v>
      </c>
      <c r="AG17" s="270">
        <v>0</v>
      </c>
      <c r="AH17" s="304">
        <v>0</v>
      </c>
      <c r="AI17" s="258">
        <v>0</v>
      </c>
      <c r="AJ17" s="259">
        <v>0</v>
      </c>
      <c r="AK17" s="259">
        <v>0</v>
      </c>
      <c r="AL17" s="259">
        <v>0</v>
      </c>
      <c r="AM17" s="259">
        <v>0</v>
      </c>
      <c r="AN17" s="259">
        <v>0</v>
      </c>
      <c r="AO17" s="259">
        <v>0</v>
      </c>
      <c r="AP17" s="259">
        <v>0</v>
      </c>
      <c r="AQ17" s="259">
        <v>0</v>
      </c>
      <c r="AR17" s="268">
        <v>0</v>
      </c>
      <c r="AS17" s="269">
        <v>0</v>
      </c>
      <c r="AT17" s="321">
        <v>0</v>
      </c>
      <c r="AU17" s="320">
        <v>0</v>
      </c>
      <c r="AV17" s="259">
        <v>0</v>
      </c>
      <c r="AW17" s="320">
        <v>0</v>
      </c>
      <c r="AX17" s="320">
        <v>0</v>
      </c>
      <c r="AY17" s="320">
        <v>0</v>
      </c>
      <c r="AZ17" s="320">
        <v>0</v>
      </c>
      <c r="BA17" s="320">
        <v>0</v>
      </c>
      <c r="BB17" s="320">
        <v>0</v>
      </c>
      <c r="BC17" s="320">
        <v>0</v>
      </c>
      <c r="BD17" s="320">
        <v>0</v>
      </c>
      <c r="BE17" s="322">
        <v>0</v>
      </c>
      <c r="BG17" s="321">
        <v>0</v>
      </c>
      <c r="BH17" s="320">
        <v>0</v>
      </c>
      <c r="BI17" s="259">
        <v>0</v>
      </c>
      <c r="BJ17" s="320">
        <v>0</v>
      </c>
      <c r="BK17" s="320">
        <v>0</v>
      </c>
      <c r="BL17" s="320">
        <v>0</v>
      </c>
      <c r="BM17" s="320">
        <v>0</v>
      </c>
      <c r="BN17" s="320">
        <v>0</v>
      </c>
      <c r="BO17" s="320">
        <v>0</v>
      </c>
      <c r="BP17" s="320">
        <v>0</v>
      </c>
      <c r="BQ17" s="320">
        <v>0</v>
      </c>
      <c r="BR17" s="322">
        <v>0</v>
      </c>
      <c r="BT17" s="270">
        <v>0</v>
      </c>
      <c r="BU17" s="323">
        <v>0</v>
      </c>
      <c r="BV17" s="323">
        <v>0</v>
      </c>
      <c r="BW17" s="323">
        <v>0</v>
      </c>
      <c r="BX17" s="323">
        <v>0</v>
      </c>
      <c r="BY17" s="323">
        <v>0</v>
      </c>
      <c r="BZ17" s="323">
        <v>0</v>
      </c>
      <c r="CA17" s="323">
        <v>0</v>
      </c>
      <c r="CB17" s="323">
        <v>0</v>
      </c>
      <c r="CC17" s="323">
        <v>0</v>
      </c>
      <c r="CD17" s="323">
        <v>0</v>
      </c>
      <c r="CE17" s="324">
        <v>0</v>
      </c>
      <c r="CF17" s="212"/>
      <c r="CG17" s="315">
        <v>0</v>
      </c>
      <c r="CH17" s="325">
        <v>0</v>
      </c>
      <c r="CI17" s="325">
        <v>0</v>
      </c>
      <c r="CJ17" s="325">
        <v>0</v>
      </c>
      <c r="CK17" s="325">
        <v>0</v>
      </c>
      <c r="CL17" s="276">
        <v>0</v>
      </c>
      <c r="CM17" s="276">
        <v>0</v>
      </c>
      <c r="CN17" s="276">
        <v>0</v>
      </c>
      <c r="CO17" s="276">
        <v>0</v>
      </c>
      <c r="CP17" s="276">
        <v>0</v>
      </c>
      <c r="CQ17" s="276">
        <v>0</v>
      </c>
      <c r="CR17" s="313">
        <v>0</v>
      </c>
      <c r="CS17" s="212"/>
      <c r="CT17" s="273">
        <v>0</v>
      </c>
      <c r="CU17" s="278">
        <v>0</v>
      </c>
      <c r="CV17" s="278">
        <v>0</v>
      </c>
      <c r="CW17" s="278">
        <v>0</v>
      </c>
      <c r="CX17" s="278">
        <v>0</v>
      </c>
      <c r="CY17" s="278">
        <v>0</v>
      </c>
      <c r="CZ17" s="278">
        <v>0</v>
      </c>
      <c r="DA17" s="278">
        <v>0</v>
      </c>
      <c r="DB17" s="278">
        <v>0</v>
      </c>
      <c r="DC17" s="278">
        <v>0</v>
      </c>
      <c r="DD17" s="278">
        <v>0</v>
      </c>
      <c r="DE17" s="278">
        <v>0</v>
      </c>
      <c r="DF17" s="390">
        <f t="shared" si="4"/>
        <v>0</v>
      </c>
      <c r="DG17" s="273">
        <v>0</v>
      </c>
      <c r="DH17" s="311">
        <v>0</v>
      </c>
      <c r="DI17" s="309">
        <v>0</v>
      </c>
      <c r="DJ17" s="278">
        <v>0</v>
      </c>
      <c r="DK17" s="278">
        <v>0</v>
      </c>
      <c r="DL17" s="278">
        <v>0</v>
      </c>
      <c r="DM17" s="278">
        <v>0</v>
      </c>
      <c r="DN17" s="278">
        <v>0</v>
      </c>
      <c r="DO17" s="278">
        <v>0</v>
      </c>
      <c r="DP17" s="278">
        <v>0</v>
      </c>
      <c r="DQ17" s="278">
        <v>0</v>
      </c>
      <c r="DR17" s="282">
        <v>0</v>
      </c>
      <c r="DS17" s="283"/>
      <c r="DT17" s="312">
        <v>0</v>
      </c>
      <c r="DU17" s="274">
        <v>0</v>
      </c>
      <c r="DV17" s="274">
        <v>0</v>
      </c>
      <c r="DW17" s="278">
        <v>0</v>
      </c>
      <c r="DX17" s="276">
        <v>0</v>
      </c>
      <c r="DY17" s="309">
        <v>0</v>
      </c>
      <c r="DZ17" s="276">
        <v>0</v>
      </c>
      <c r="EA17" s="276">
        <v>0</v>
      </c>
      <c r="EB17" s="276">
        <v>0</v>
      </c>
      <c r="EC17" s="276">
        <v>0</v>
      </c>
      <c r="ED17" s="276">
        <v>0</v>
      </c>
      <c r="EE17" s="313">
        <v>0</v>
      </c>
      <c r="EF17" s="212"/>
      <c r="EG17" s="312">
        <v>0</v>
      </c>
      <c r="EH17" s="274">
        <v>0</v>
      </c>
      <c r="EI17" s="278">
        <v>0</v>
      </c>
      <c r="EJ17" s="278">
        <v>0</v>
      </c>
      <c r="EK17" s="276">
        <v>0</v>
      </c>
      <c r="EL17" s="309">
        <v>0</v>
      </c>
      <c r="EM17" s="276">
        <v>0</v>
      </c>
      <c r="EN17" s="276">
        <v>0</v>
      </c>
      <c r="EO17" s="276">
        <v>0</v>
      </c>
      <c r="EP17" s="276">
        <v>0</v>
      </c>
      <c r="EQ17" s="276">
        <v>0</v>
      </c>
      <c r="ER17" s="313">
        <v>0</v>
      </c>
      <c r="ES17" s="283"/>
      <c r="ET17" s="312">
        <v>0</v>
      </c>
      <c r="EU17" s="274">
        <v>0</v>
      </c>
      <c r="EV17" s="274">
        <v>0</v>
      </c>
      <c r="EW17" s="278">
        <v>0</v>
      </c>
      <c r="EX17" s="276">
        <v>0</v>
      </c>
      <c r="EY17" s="309">
        <v>0</v>
      </c>
      <c r="EZ17" s="276">
        <v>0</v>
      </c>
      <c r="FA17" s="276">
        <v>0</v>
      </c>
      <c r="FB17" s="276">
        <v>0</v>
      </c>
      <c r="FC17" s="276">
        <v>0</v>
      </c>
      <c r="FD17" s="276">
        <v>0</v>
      </c>
      <c r="FE17" s="313">
        <v>0</v>
      </c>
      <c r="FF17" s="212"/>
      <c r="FG17" s="312">
        <v>0</v>
      </c>
      <c r="FH17" s="274">
        <v>0</v>
      </c>
      <c r="FI17" s="278">
        <v>0</v>
      </c>
      <c r="FJ17" s="278">
        <v>0</v>
      </c>
      <c r="FK17" s="276">
        <v>0</v>
      </c>
      <c r="FL17" s="309">
        <v>0</v>
      </c>
      <c r="FM17" s="276">
        <v>0</v>
      </c>
      <c r="FN17" s="276">
        <v>0</v>
      </c>
      <c r="FO17" s="276">
        <v>0</v>
      </c>
      <c r="FP17" s="276">
        <v>0</v>
      </c>
      <c r="FQ17" s="276">
        <v>0</v>
      </c>
      <c r="FR17" s="313">
        <v>0</v>
      </c>
      <c r="FS17" s="283"/>
      <c r="FT17" s="286">
        <v>0</v>
      </c>
      <c r="FU17" s="260">
        <v>0</v>
      </c>
      <c r="FV17" s="260">
        <v>0</v>
      </c>
      <c r="FW17" s="260">
        <v>0</v>
      </c>
      <c r="FX17" s="287">
        <v>0</v>
      </c>
      <c r="FY17" s="314">
        <v>0</v>
      </c>
      <c r="FZ17" s="275">
        <v>0</v>
      </c>
      <c r="GA17" s="275">
        <v>0</v>
      </c>
      <c r="GB17" s="275">
        <v>0</v>
      </c>
      <c r="GC17" s="275">
        <v>0</v>
      </c>
      <c r="GD17" s="275">
        <v>0</v>
      </c>
      <c r="GE17" s="275">
        <v>0</v>
      </c>
      <c r="GF17" s="277">
        <v>0</v>
      </c>
      <c r="GG17" s="214">
        <v>0</v>
      </c>
      <c r="GH17" s="286">
        <v>0</v>
      </c>
      <c r="GI17" s="260">
        <v>0</v>
      </c>
      <c r="GJ17" s="260">
        <v>0</v>
      </c>
      <c r="GK17" s="260">
        <v>0</v>
      </c>
      <c r="GL17" s="291">
        <v>0</v>
      </c>
      <c r="GM17" s="275">
        <v>0</v>
      </c>
      <c r="GN17" s="275">
        <v>0</v>
      </c>
      <c r="GO17" s="275">
        <v>0</v>
      </c>
      <c r="GP17" s="275">
        <v>0</v>
      </c>
      <c r="GQ17" s="275">
        <v>0</v>
      </c>
      <c r="GR17" s="277">
        <v>0</v>
      </c>
      <c r="GS17" s="275">
        <v>0</v>
      </c>
      <c r="GT17" s="284">
        <v>0</v>
      </c>
      <c r="GU17" s="292">
        <v>0</v>
      </c>
      <c r="GV17" s="214">
        <v>0</v>
      </c>
      <c r="GW17" s="293">
        <v>0</v>
      </c>
      <c r="GX17" s="294"/>
      <c r="GY17" s="293">
        <v>0</v>
      </c>
      <c r="GZ17" s="293">
        <v>0</v>
      </c>
      <c r="HA17" s="293">
        <v>0</v>
      </c>
      <c r="HB17" s="293">
        <v>0</v>
      </c>
      <c r="HC17" s="295">
        <v>0</v>
      </c>
    </row>
    <row r="18" spans="1:211" ht="15" customHeight="1">
      <c r="A18" s="213"/>
      <c r="B18" s="296" t="s">
        <v>155</v>
      </c>
      <c r="C18" s="297" t="s">
        <v>135</v>
      </c>
      <c r="D18" s="298" t="s">
        <v>136</v>
      </c>
      <c r="E18" s="299"/>
      <c r="F18" s="300" t="s">
        <v>142</v>
      </c>
      <c r="G18" s="318"/>
      <c r="H18" s="318"/>
      <c r="I18" s="319"/>
      <c r="J18" s="320"/>
      <c r="K18" s="320"/>
      <c r="L18" s="261">
        <v>0</v>
      </c>
      <c r="M18" s="261">
        <v>0</v>
      </c>
      <c r="N18" s="261">
        <v>0</v>
      </c>
      <c r="O18" s="261">
        <v>0</v>
      </c>
      <c r="P18" s="261">
        <v>0</v>
      </c>
      <c r="Q18" s="261">
        <v>0</v>
      </c>
      <c r="R18" s="303">
        <v>0</v>
      </c>
      <c r="S18" s="261">
        <f t="shared" si="3"/>
        <v>0</v>
      </c>
      <c r="T18" s="270">
        <v>0</v>
      </c>
      <c r="U18" s="304">
        <v>0</v>
      </c>
      <c r="V18" s="258">
        <v>0</v>
      </c>
      <c r="W18" s="259">
        <v>0</v>
      </c>
      <c r="X18" s="259">
        <v>0</v>
      </c>
      <c r="Y18" s="259">
        <v>50</v>
      </c>
      <c r="Z18" s="259">
        <v>0</v>
      </c>
      <c r="AA18" s="259">
        <v>50</v>
      </c>
      <c r="AB18" s="259">
        <v>50</v>
      </c>
      <c r="AC18" s="259">
        <v>50</v>
      </c>
      <c r="AD18" s="259">
        <v>0</v>
      </c>
      <c r="AE18" s="268">
        <v>50</v>
      </c>
      <c r="AG18" s="270">
        <v>0</v>
      </c>
      <c r="AH18" s="304">
        <v>0</v>
      </c>
      <c r="AI18" s="258">
        <v>0</v>
      </c>
      <c r="AJ18" s="259">
        <v>0</v>
      </c>
      <c r="AK18" s="259">
        <v>0</v>
      </c>
      <c r="AL18" s="259">
        <v>0</v>
      </c>
      <c r="AM18" s="259">
        <v>0</v>
      </c>
      <c r="AN18" s="259">
        <v>0</v>
      </c>
      <c r="AO18" s="259">
        <v>0</v>
      </c>
      <c r="AP18" s="259">
        <v>0</v>
      </c>
      <c r="AQ18" s="259">
        <v>0</v>
      </c>
      <c r="AR18" s="268">
        <v>0</v>
      </c>
      <c r="AS18" s="269">
        <v>0</v>
      </c>
      <c r="AT18" s="321">
        <v>0</v>
      </c>
      <c r="AU18" s="320">
        <v>0</v>
      </c>
      <c r="AV18" s="259">
        <v>0</v>
      </c>
      <c r="AW18" s="320">
        <v>0</v>
      </c>
      <c r="AX18" s="320">
        <v>0</v>
      </c>
      <c r="AY18" s="320">
        <v>0</v>
      </c>
      <c r="AZ18" s="320">
        <v>0</v>
      </c>
      <c r="BA18" s="320">
        <v>0</v>
      </c>
      <c r="BB18" s="320">
        <v>0</v>
      </c>
      <c r="BC18" s="320">
        <v>0</v>
      </c>
      <c r="BD18" s="320">
        <v>0</v>
      </c>
      <c r="BE18" s="322">
        <v>0</v>
      </c>
      <c r="BG18" s="321">
        <v>0</v>
      </c>
      <c r="BH18" s="320">
        <v>0</v>
      </c>
      <c r="BI18" s="259">
        <v>0</v>
      </c>
      <c r="BJ18" s="320">
        <v>0</v>
      </c>
      <c r="BK18" s="320">
        <v>0</v>
      </c>
      <c r="BL18" s="320">
        <v>113887.10787088911</v>
      </c>
      <c r="BM18" s="320">
        <v>0</v>
      </c>
      <c r="BN18" s="320">
        <v>113887.10787088911</v>
      </c>
      <c r="BO18" s="320">
        <v>113887.10787088911</v>
      </c>
      <c r="BP18" s="320">
        <v>113887.10787088911</v>
      </c>
      <c r="BQ18" s="320">
        <v>0</v>
      </c>
      <c r="BR18" s="322">
        <v>113887.10787088911</v>
      </c>
      <c r="BT18" s="270">
        <v>0</v>
      </c>
      <c r="BU18" s="323">
        <v>0</v>
      </c>
      <c r="BV18" s="323">
        <v>0</v>
      </c>
      <c r="BW18" s="323">
        <v>0</v>
      </c>
      <c r="BX18" s="323">
        <v>0</v>
      </c>
      <c r="BY18" s="323">
        <v>0</v>
      </c>
      <c r="BZ18" s="323">
        <v>0</v>
      </c>
      <c r="CA18" s="323">
        <v>0</v>
      </c>
      <c r="CB18" s="323">
        <v>0</v>
      </c>
      <c r="CC18" s="323">
        <v>0</v>
      </c>
      <c r="CD18" s="323">
        <v>0</v>
      </c>
      <c r="CE18" s="324">
        <v>0</v>
      </c>
      <c r="CF18" s="212"/>
      <c r="CG18" s="326"/>
      <c r="CH18" s="325"/>
      <c r="CI18" s="325"/>
      <c r="CJ18" s="325"/>
      <c r="CK18" s="325">
        <v>0</v>
      </c>
      <c r="CL18" s="276">
        <v>0</v>
      </c>
      <c r="CM18" s="276">
        <v>0</v>
      </c>
      <c r="CN18" s="276">
        <v>0</v>
      </c>
      <c r="CO18" s="276">
        <v>0</v>
      </c>
      <c r="CP18" s="276">
        <v>0</v>
      </c>
      <c r="CQ18" s="276">
        <v>0</v>
      </c>
      <c r="CR18" s="313">
        <v>0</v>
      </c>
      <c r="CS18" s="212"/>
      <c r="CT18" s="273">
        <v>0</v>
      </c>
      <c r="CU18" s="278">
        <v>0</v>
      </c>
      <c r="CV18" s="278">
        <v>0</v>
      </c>
      <c r="CW18" s="278">
        <v>0</v>
      </c>
      <c r="CX18" s="278">
        <v>0</v>
      </c>
      <c r="CY18" s="278">
        <v>0.56943553935444557</v>
      </c>
      <c r="CZ18" s="278">
        <v>0</v>
      </c>
      <c r="DA18" s="278">
        <v>0.56943553935444557</v>
      </c>
      <c r="DB18" s="278">
        <v>0.56943553935444557</v>
      </c>
      <c r="DC18" s="278">
        <v>0.56943553935444557</v>
      </c>
      <c r="DD18" s="278">
        <v>0</v>
      </c>
      <c r="DE18" s="278">
        <v>0.56943553935444557</v>
      </c>
      <c r="DF18" s="390">
        <f t="shared" si="4"/>
        <v>1.1388710787088911</v>
      </c>
      <c r="DG18" s="273">
        <v>0</v>
      </c>
      <c r="DH18" s="311">
        <v>0</v>
      </c>
      <c r="DI18" s="309">
        <v>0</v>
      </c>
      <c r="DJ18" s="278">
        <v>0</v>
      </c>
      <c r="DK18" s="278">
        <v>0</v>
      </c>
      <c r="DL18" s="278">
        <v>0</v>
      </c>
      <c r="DM18" s="278">
        <v>0</v>
      </c>
      <c r="DN18" s="278">
        <v>0</v>
      </c>
      <c r="DO18" s="278">
        <v>0</v>
      </c>
      <c r="DP18" s="278">
        <v>0</v>
      </c>
      <c r="DQ18" s="278">
        <v>0</v>
      </c>
      <c r="DR18" s="282">
        <v>0</v>
      </c>
      <c r="DS18" s="283"/>
      <c r="DT18" s="312">
        <v>0</v>
      </c>
      <c r="DU18" s="274">
        <v>0</v>
      </c>
      <c r="DV18" s="274">
        <v>0</v>
      </c>
      <c r="DW18" s="278">
        <v>0</v>
      </c>
      <c r="DX18" s="276">
        <v>0</v>
      </c>
      <c r="DY18" s="309">
        <v>0</v>
      </c>
      <c r="DZ18" s="276">
        <v>0</v>
      </c>
      <c r="EA18" s="276">
        <v>0</v>
      </c>
      <c r="EB18" s="276">
        <v>0</v>
      </c>
      <c r="EC18" s="276">
        <v>0</v>
      </c>
      <c r="ED18" s="276">
        <v>0</v>
      </c>
      <c r="EE18" s="313">
        <v>0</v>
      </c>
      <c r="EF18" s="212"/>
      <c r="EG18" s="312">
        <v>0</v>
      </c>
      <c r="EH18" s="274">
        <v>0</v>
      </c>
      <c r="EI18" s="278">
        <v>0</v>
      </c>
      <c r="EJ18" s="278">
        <v>0</v>
      </c>
      <c r="EK18" s="276">
        <v>0</v>
      </c>
      <c r="EL18" s="309">
        <v>-0.56943553935444557</v>
      </c>
      <c r="EM18" s="276">
        <v>0</v>
      </c>
      <c r="EN18" s="276">
        <v>-0.56943553935444557</v>
      </c>
      <c r="EO18" s="276">
        <v>-0.56943553935444557</v>
      </c>
      <c r="EP18" s="276">
        <v>-0.56943553935444557</v>
      </c>
      <c r="EQ18" s="276">
        <v>0</v>
      </c>
      <c r="ER18" s="313">
        <v>-0.56943553935444557</v>
      </c>
      <c r="ES18" s="283"/>
      <c r="ET18" s="312">
        <v>0</v>
      </c>
      <c r="EU18" s="274">
        <v>0</v>
      </c>
      <c r="EV18" s="274">
        <v>0</v>
      </c>
      <c r="EW18" s="278">
        <v>0</v>
      </c>
      <c r="EX18" s="276">
        <v>0</v>
      </c>
      <c r="EY18" s="309">
        <v>0</v>
      </c>
      <c r="EZ18" s="276">
        <v>0</v>
      </c>
      <c r="FA18" s="276">
        <v>0</v>
      </c>
      <c r="FB18" s="276">
        <v>0</v>
      </c>
      <c r="FC18" s="276">
        <v>0</v>
      </c>
      <c r="FD18" s="276">
        <v>0</v>
      </c>
      <c r="FE18" s="313">
        <v>0</v>
      </c>
      <c r="FF18" s="212"/>
      <c r="FG18" s="312">
        <v>0</v>
      </c>
      <c r="FH18" s="274">
        <v>0</v>
      </c>
      <c r="FI18" s="278">
        <v>0</v>
      </c>
      <c r="FJ18" s="278">
        <v>0</v>
      </c>
      <c r="FK18" s="276">
        <v>0</v>
      </c>
      <c r="FL18" s="309">
        <v>0</v>
      </c>
      <c r="FM18" s="276">
        <v>0</v>
      </c>
      <c r="FN18" s="276">
        <v>0</v>
      </c>
      <c r="FO18" s="276">
        <v>0</v>
      </c>
      <c r="FP18" s="276">
        <v>0</v>
      </c>
      <c r="FQ18" s="276">
        <v>0</v>
      </c>
      <c r="FR18" s="313">
        <v>0</v>
      </c>
      <c r="FS18" s="283"/>
      <c r="FT18" s="286">
        <v>0</v>
      </c>
      <c r="FU18" s="260">
        <v>250</v>
      </c>
      <c r="FV18" s="260">
        <v>0</v>
      </c>
      <c r="FW18" s="260">
        <v>-250</v>
      </c>
      <c r="FX18" s="287">
        <v>-1</v>
      </c>
      <c r="FY18" s="327">
        <v>0</v>
      </c>
      <c r="FZ18" s="275">
        <v>2.8471776967722278</v>
      </c>
      <c r="GA18" s="275">
        <v>0</v>
      </c>
      <c r="GB18" s="275">
        <v>-2.8471776967722278</v>
      </c>
      <c r="GC18" s="275">
        <v>-2.8471776967722278</v>
      </c>
      <c r="GD18" s="275">
        <v>0</v>
      </c>
      <c r="GE18" s="275">
        <v>0</v>
      </c>
      <c r="GF18" s="277">
        <v>0</v>
      </c>
      <c r="GG18" s="214">
        <v>0</v>
      </c>
      <c r="GH18" s="286">
        <v>0</v>
      </c>
      <c r="GI18" s="260">
        <v>50</v>
      </c>
      <c r="GJ18" s="260">
        <v>0</v>
      </c>
      <c r="GK18" s="260">
        <v>-50</v>
      </c>
      <c r="GL18" s="291">
        <v>-1</v>
      </c>
      <c r="GM18" s="275">
        <v>0</v>
      </c>
      <c r="GN18" s="275">
        <v>0.56943553935444557</v>
      </c>
      <c r="GO18" s="275">
        <v>0</v>
      </c>
      <c r="GP18" s="275">
        <v>-0.56943553935444557</v>
      </c>
      <c r="GQ18" s="275">
        <v>-0.56943553935444557</v>
      </c>
      <c r="GR18" s="277">
        <v>0</v>
      </c>
      <c r="GS18" s="275">
        <v>0</v>
      </c>
      <c r="GT18" s="284">
        <v>0</v>
      </c>
      <c r="GU18" s="292">
        <v>0</v>
      </c>
      <c r="GV18" s="214">
        <v>0</v>
      </c>
      <c r="GW18" s="293">
        <v>0</v>
      </c>
      <c r="GX18" s="294"/>
      <c r="GY18" s="293">
        <v>0</v>
      </c>
      <c r="GZ18" s="293">
        <v>0</v>
      </c>
      <c r="HA18" s="293">
        <v>0</v>
      </c>
      <c r="HB18" s="293">
        <v>0</v>
      </c>
      <c r="HC18" s="295">
        <v>0</v>
      </c>
    </row>
    <row r="19" spans="1:211" ht="15" customHeight="1">
      <c r="A19" s="213"/>
      <c r="B19" s="296" t="s">
        <v>156</v>
      </c>
      <c r="C19" s="297" t="s">
        <v>135</v>
      </c>
      <c r="D19" s="298" t="s">
        <v>136</v>
      </c>
      <c r="E19" s="299" t="s">
        <v>157</v>
      </c>
      <c r="F19" s="300" t="s">
        <v>142</v>
      </c>
      <c r="G19" s="318">
        <v>0</v>
      </c>
      <c r="H19" s="318">
        <v>0</v>
      </c>
      <c r="I19" s="319">
        <v>0</v>
      </c>
      <c r="J19" s="320">
        <v>0</v>
      </c>
      <c r="K19" s="320">
        <v>0</v>
      </c>
      <c r="L19" s="261">
        <v>0</v>
      </c>
      <c r="M19" s="261">
        <v>0</v>
      </c>
      <c r="N19" s="261">
        <v>0</v>
      </c>
      <c r="O19" s="261">
        <v>0</v>
      </c>
      <c r="P19" s="261">
        <v>4.7249999999999996</v>
      </c>
      <c r="Q19" s="261">
        <v>0</v>
      </c>
      <c r="R19" s="303">
        <v>0</v>
      </c>
      <c r="S19" s="261">
        <f t="shared" si="3"/>
        <v>4.7249999999999996</v>
      </c>
      <c r="T19" s="270">
        <v>0</v>
      </c>
      <c r="U19" s="311">
        <v>0</v>
      </c>
      <c r="V19" s="258">
        <v>0</v>
      </c>
      <c r="W19" s="259">
        <v>0</v>
      </c>
      <c r="X19" s="259">
        <v>0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68">
        <v>0</v>
      </c>
      <c r="AG19" s="270">
        <v>0</v>
      </c>
      <c r="AH19" s="304">
        <v>0</v>
      </c>
      <c r="AI19" s="258">
        <v>0</v>
      </c>
      <c r="AJ19" s="259">
        <v>0</v>
      </c>
      <c r="AK19" s="259">
        <v>0</v>
      </c>
      <c r="AL19" s="259">
        <v>0</v>
      </c>
      <c r="AM19" s="259">
        <v>0</v>
      </c>
      <c r="AN19" s="259">
        <v>0</v>
      </c>
      <c r="AO19" s="259">
        <v>0</v>
      </c>
      <c r="AP19" s="259">
        <v>5</v>
      </c>
      <c r="AQ19" s="259">
        <v>0</v>
      </c>
      <c r="AR19" s="268">
        <v>0</v>
      </c>
      <c r="AS19" s="269">
        <v>0</v>
      </c>
      <c r="AT19" s="321">
        <v>0</v>
      </c>
      <c r="AU19" s="320">
        <v>0</v>
      </c>
      <c r="AV19" s="259">
        <v>0</v>
      </c>
      <c r="AW19" s="320">
        <v>0</v>
      </c>
      <c r="AX19" s="320">
        <v>0</v>
      </c>
      <c r="AY19" s="320">
        <v>0</v>
      </c>
      <c r="AZ19" s="320">
        <v>0</v>
      </c>
      <c r="BA19" s="320">
        <v>0</v>
      </c>
      <c r="BB19" s="320">
        <v>0</v>
      </c>
      <c r="BC19" s="320">
        <v>356000</v>
      </c>
      <c r="BD19" s="320">
        <v>0</v>
      </c>
      <c r="BE19" s="322">
        <v>0</v>
      </c>
      <c r="BG19" s="321">
        <v>0</v>
      </c>
      <c r="BH19" s="320">
        <v>0</v>
      </c>
      <c r="BI19" s="259">
        <v>0</v>
      </c>
      <c r="BJ19" s="320">
        <v>0</v>
      </c>
      <c r="BK19" s="320">
        <v>0</v>
      </c>
      <c r="BL19" s="320">
        <v>0</v>
      </c>
      <c r="BM19" s="320">
        <v>0</v>
      </c>
      <c r="BN19" s="320">
        <v>0</v>
      </c>
      <c r="BO19" s="320">
        <v>0</v>
      </c>
      <c r="BP19" s="320">
        <v>356000</v>
      </c>
      <c r="BQ19" s="320">
        <v>0</v>
      </c>
      <c r="BR19" s="322">
        <v>0</v>
      </c>
      <c r="BT19" s="270">
        <v>0</v>
      </c>
      <c r="BU19" s="323">
        <v>0</v>
      </c>
      <c r="BV19" s="323">
        <v>0</v>
      </c>
      <c r="BW19" s="323">
        <v>0</v>
      </c>
      <c r="BX19" s="323">
        <v>0</v>
      </c>
      <c r="BY19" s="323">
        <v>0</v>
      </c>
      <c r="BZ19" s="323">
        <v>0</v>
      </c>
      <c r="CA19" s="323">
        <v>0</v>
      </c>
      <c r="CB19" s="323">
        <v>0</v>
      </c>
      <c r="CC19" s="323">
        <v>355948.03274410934</v>
      </c>
      <c r="CD19" s="323">
        <v>0</v>
      </c>
      <c r="CE19" s="324">
        <v>0</v>
      </c>
      <c r="CF19" s="212"/>
      <c r="CG19" s="326">
        <v>0</v>
      </c>
      <c r="CH19" s="325">
        <v>0</v>
      </c>
      <c r="CI19" s="325">
        <v>0</v>
      </c>
      <c r="CJ19" s="325">
        <v>0</v>
      </c>
      <c r="CK19" s="325">
        <v>0</v>
      </c>
      <c r="CL19" s="276">
        <v>0</v>
      </c>
      <c r="CM19" s="276">
        <v>0</v>
      </c>
      <c r="CN19" s="276">
        <v>0</v>
      </c>
      <c r="CO19" s="276">
        <v>0</v>
      </c>
      <c r="CP19" s="276">
        <v>0.16821</v>
      </c>
      <c r="CQ19" s="276">
        <v>0</v>
      </c>
      <c r="CR19" s="313">
        <v>0</v>
      </c>
      <c r="CS19" s="212"/>
      <c r="CT19" s="273">
        <v>0</v>
      </c>
      <c r="CU19" s="278">
        <v>0</v>
      </c>
      <c r="CV19" s="278">
        <v>0</v>
      </c>
      <c r="CW19" s="278">
        <v>0</v>
      </c>
      <c r="CX19" s="278">
        <v>0</v>
      </c>
      <c r="CY19" s="278">
        <v>0</v>
      </c>
      <c r="CZ19" s="278">
        <v>0</v>
      </c>
      <c r="DA19" s="278">
        <v>0</v>
      </c>
      <c r="DB19" s="278">
        <v>0</v>
      </c>
      <c r="DC19" s="278">
        <v>0</v>
      </c>
      <c r="DD19" s="278">
        <v>0</v>
      </c>
      <c r="DE19" s="278">
        <v>0</v>
      </c>
      <c r="DF19" s="390">
        <f t="shared" si="4"/>
        <v>0</v>
      </c>
      <c r="DG19" s="273">
        <v>0</v>
      </c>
      <c r="DH19" s="311">
        <v>0</v>
      </c>
      <c r="DI19" s="309">
        <v>0</v>
      </c>
      <c r="DJ19" s="278">
        <v>0</v>
      </c>
      <c r="DK19" s="278">
        <v>0</v>
      </c>
      <c r="DL19" s="278">
        <v>0</v>
      </c>
      <c r="DM19" s="278">
        <v>0</v>
      </c>
      <c r="DN19" s="278">
        <v>0</v>
      </c>
      <c r="DO19" s="278">
        <v>0</v>
      </c>
      <c r="DP19" s="278">
        <v>0.17797401637205468</v>
      </c>
      <c r="DQ19" s="278">
        <v>0</v>
      </c>
      <c r="DR19" s="282">
        <v>0</v>
      </c>
      <c r="DS19" s="283"/>
      <c r="DT19" s="312">
        <v>0</v>
      </c>
      <c r="DU19" s="274">
        <v>0</v>
      </c>
      <c r="DV19" s="274">
        <v>0</v>
      </c>
      <c r="DW19" s="278">
        <v>0</v>
      </c>
      <c r="DX19" s="276">
        <v>0</v>
      </c>
      <c r="DY19" s="309">
        <v>0</v>
      </c>
      <c r="DZ19" s="276">
        <v>0</v>
      </c>
      <c r="EA19" s="276">
        <v>0</v>
      </c>
      <c r="EB19" s="276">
        <v>0</v>
      </c>
      <c r="EC19" s="276">
        <v>0</v>
      </c>
      <c r="ED19" s="276">
        <v>0</v>
      </c>
      <c r="EE19" s="313">
        <v>0</v>
      </c>
      <c r="EF19" s="212"/>
      <c r="EG19" s="312">
        <v>0</v>
      </c>
      <c r="EH19" s="274">
        <v>0</v>
      </c>
      <c r="EI19" s="278">
        <v>0</v>
      </c>
      <c r="EJ19" s="278">
        <v>0</v>
      </c>
      <c r="EK19" s="276">
        <v>0</v>
      </c>
      <c r="EL19" s="309">
        <v>0</v>
      </c>
      <c r="EM19" s="276">
        <v>0</v>
      </c>
      <c r="EN19" s="276">
        <v>0</v>
      </c>
      <c r="EO19" s="276">
        <v>0</v>
      </c>
      <c r="EP19" s="276">
        <v>0.16820999999999997</v>
      </c>
      <c r="EQ19" s="276">
        <v>0</v>
      </c>
      <c r="ER19" s="313">
        <v>0</v>
      </c>
      <c r="ES19" s="283"/>
      <c r="ET19" s="312">
        <v>0</v>
      </c>
      <c r="EU19" s="274">
        <v>0</v>
      </c>
      <c r="EV19" s="274">
        <v>0</v>
      </c>
      <c r="EW19" s="278">
        <v>0</v>
      </c>
      <c r="EX19" s="276">
        <v>0</v>
      </c>
      <c r="EY19" s="309">
        <v>0</v>
      </c>
      <c r="EZ19" s="276">
        <v>0</v>
      </c>
      <c r="FA19" s="276">
        <v>0</v>
      </c>
      <c r="FB19" s="276">
        <v>0</v>
      </c>
      <c r="FC19" s="276">
        <v>2.4554528408337064E-5</v>
      </c>
      <c r="FD19" s="276">
        <v>0</v>
      </c>
      <c r="FE19" s="313">
        <v>0</v>
      </c>
      <c r="FF19" s="212"/>
      <c r="FG19" s="312">
        <v>0</v>
      </c>
      <c r="FH19" s="274">
        <v>0</v>
      </c>
      <c r="FI19" s="278">
        <v>0</v>
      </c>
      <c r="FJ19" s="278">
        <v>0</v>
      </c>
      <c r="FK19" s="276">
        <v>0</v>
      </c>
      <c r="FL19" s="309">
        <v>0</v>
      </c>
      <c r="FM19" s="276">
        <v>0</v>
      </c>
      <c r="FN19" s="276">
        <v>0</v>
      </c>
      <c r="FO19" s="276">
        <v>0</v>
      </c>
      <c r="FP19" s="276">
        <v>-9.7885709004630183E-3</v>
      </c>
      <c r="FQ19" s="276">
        <v>0</v>
      </c>
      <c r="FR19" s="313">
        <v>0</v>
      </c>
      <c r="FS19" s="283"/>
      <c r="FT19" s="286">
        <v>4.7249999999999996</v>
      </c>
      <c r="FU19" s="260">
        <v>0</v>
      </c>
      <c r="FV19" s="260">
        <v>5</v>
      </c>
      <c r="FW19" s="260">
        <v>4.7249999999999996</v>
      </c>
      <c r="FX19" s="287">
        <v>0</v>
      </c>
      <c r="FY19" s="327">
        <v>0.16821</v>
      </c>
      <c r="FZ19" s="275">
        <v>0</v>
      </c>
      <c r="GA19" s="275">
        <v>0.17797401637205468</v>
      </c>
      <c r="GB19" s="275">
        <v>0.16821</v>
      </c>
      <c r="GC19" s="275">
        <v>0.16820999999999997</v>
      </c>
      <c r="GD19" s="275">
        <v>0</v>
      </c>
      <c r="GE19" s="275">
        <v>-9.7885709004630183E-3</v>
      </c>
      <c r="GF19" s="277">
        <v>2.4554528408337064E-5</v>
      </c>
      <c r="GG19" s="214">
        <v>0</v>
      </c>
      <c r="GH19" s="286">
        <v>0</v>
      </c>
      <c r="GI19" s="260">
        <v>0</v>
      </c>
      <c r="GJ19" s="260">
        <v>0</v>
      </c>
      <c r="GK19" s="260">
        <v>0</v>
      </c>
      <c r="GL19" s="291">
        <v>0</v>
      </c>
      <c r="GM19" s="275">
        <v>0</v>
      </c>
      <c r="GN19" s="275">
        <v>0</v>
      </c>
      <c r="GO19" s="275">
        <v>0</v>
      </c>
      <c r="GP19" s="275">
        <v>0</v>
      </c>
      <c r="GQ19" s="275">
        <v>0</v>
      </c>
      <c r="GR19" s="277">
        <v>0</v>
      </c>
      <c r="GS19" s="275">
        <v>0</v>
      </c>
      <c r="GT19" s="284">
        <v>0</v>
      </c>
      <c r="GU19" s="292">
        <v>0</v>
      </c>
      <c r="GV19" s="214">
        <v>0</v>
      </c>
      <c r="GW19" s="293">
        <v>0</v>
      </c>
      <c r="GX19" s="294"/>
      <c r="GY19" s="293">
        <v>-9.7640163720546791E-3</v>
      </c>
      <c r="GZ19" s="293">
        <v>0</v>
      </c>
      <c r="HA19" s="293">
        <v>0</v>
      </c>
      <c r="HB19" s="293">
        <v>0</v>
      </c>
      <c r="HC19" s="295">
        <v>0</v>
      </c>
    </row>
    <row r="20" spans="1:211" ht="12.75" customHeight="1">
      <c r="A20" s="213"/>
      <c r="B20" s="296" t="s">
        <v>158</v>
      </c>
      <c r="C20" s="297" t="s">
        <v>159</v>
      </c>
      <c r="D20" s="298" t="s">
        <v>136</v>
      </c>
      <c r="E20" s="328" t="s">
        <v>160</v>
      </c>
      <c r="F20" s="300" t="s">
        <v>161</v>
      </c>
      <c r="G20" s="318">
        <v>0</v>
      </c>
      <c r="H20" s="318">
        <v>0</v>
      </c>
      <c r="I20" s="319">
        <v>0</v>
      </c>
      <c r="J20" s="320">
        <v>0</v>
      </c>
      <c r="K20" s="320">
        <v>0</v>
      </c>
      <c r="L20" s="261">
        <v>0</v>
      </c>
      <c r="M20" s="261">
        <v>0</v>
      </c>
      <c r="N20" s="261">
        <v>0</v>
      </c>
      <c r="O20" s="261">
        <v>0</v>
      </c>
      <c r="P20" s="261">
        <v>0</v>
      </c>
      <c r="Q20" s="261">
        <v>0</v>
      </c>
      <c r="R20" s="303">
        <v>0</v>
      </c>
      <c r="S20" s="261">
        <f t="shared" si="3"/>
        <v>0</v>
      </c>
      <c r="T20" s="270">
        <v>0</v>
      </c>
      <c r="U20" s="304">
        <v>0</v>
      </c>
      <c r="V20" s="258">
        <v>0</v>
      </c>
      <c r="W20" s="259">
        <v>0</v>
      </c>
      <c r="X20" s="259">
        <v>0</v>
      </c>
      <c r="Y20" s="259">
        <v>0</v>
      </c>
      <c r="Z20" s="259">
        <v>0</v>
      </c>
      <c r="AA20" s="259">
        <v>0</v>
      </c>
      <c r="AB20" s="259">
        <v>0</v>
      </c>
      <c r="AC20" s="259">
        <v>0</v>
      </c>
      <c r="AD20" s="259">
        <v>0</v>
      </c>
      <c r="AE20" s="268">
        <v>0</v>
      </c>
      <c r="AG20" s="270">
        <v>0</v>
      </c>
      <c r="AH20" s="304">
        <v>0</v>
      </c>
      <c r="AI20" s="258">
        <v>0</v>
      </c>
      <c r="AJ20" s="259">
        <v>0</v>
      </c>
      <c r="AK20" s="259">
        <v>0</v>
      </c>
      <c r="AL20" s="259">
        <v>0</v>
      </c>
      <c r="AM20" s="259">
        <v>0</v>
      </c>
      <c r="AN20" s="259">
        <v>0</v>
      </c>
      <c r="AO20" s="259">
        <v>0</v>
      </c>
      <c r="AP20" s="259">
        <v>0</v>
      </c>
      <c r="AQ20" s="259">
        <v>0</v>
      </c>
      <c r="AR20" s="268">
        <v>0</v>
      </c>
      <c r="AS20" s="269">
        <v>0</v>
      </c>
      <c r="AT20" s="321">
        <v>0</v>
      </c>
      <c r="AU20" s="320">
        <v>0</v>
      </c>
      <c r="AV20" s="259">
        <v>0</v>
      </c>
      <c r="AW20" s="320">
        <v>0</v>
      </c>
      <c r="AX20" s="320">
        <v>0</v>
      </c>
      <c r="AY20" s="320">
        <v>0</v>
      </c>
      <c r="AZ20" s="320">
        <v>0</v>
      </c>
      <c r="BA20" s="320">
        <v>0</v>
      </c>
      <c r="BB20" s="320">
        <v>0</v>
      </c>
      <c r="BC20" s="320">
        <v>0</v>
      </c>
      <c r="BD20" s="320">
        <v>0</v>
      </c>
      <c r="BE20" s="322">
        <v>0</v>
      </c>
      <c r="BG20" s="321">
        <v>0</v>
      </c>
      <c r="BH20" s="320">
        <v>0</v>
      </c>
      <c r="BI20" s="320">
        <v>0</v>
      </c>
      <c r="BJ20" s="320">
        <v>0</v>
      </c>
      <c r="BK20" s="320">
        <v>0</v>
      </c>
      <c r="BL20" s="320">
        <v>0</v>
      </c>
      <c r="BM20" s="320">
        <v>0</v>
      </c>
      <c r="BN20" s="320">
        <v>0</v>
      </c>
      <c r="BO20" s="320">
        <v>0</v>
      </c>
      <c r="BP20" s="320">
        <v>0</v>
      </c>
      <c r="BQ20" s="320">
        <v>0</v>
      </c>
      <c r="BR20" s="322">
        <v>0</v>
      </c>
      <c r="BT20" s="270">
        <v>0</v>
      </c>
      <c r="BU20" s="323">
        <v>0</v>
      </c>
      <c r="BV20" s="323">
        <v>0</v>
      </c>
      <c r="BW20" s="323">
        <v>0</v>
      </c>
      <c r="BX20" s="323">
        <v>0</v>
      </c>
      <c r="BY20" s="323">
        <v>0</v>
      </c>
      <c r="BZ20" s="323">
        <v>0</v>
      </c>
      <c r="CA20" s="323">
        <v>0</v>
      </c>
      <c r="CB20" s="323">
        <v>0</v>
      </c>
      <c r="CC20" s="323">
        <v>0</v>
      </c>
      <c r="CD20" s="323">
        <v>0</v>
      </c>
      <c r="CE20" s="324">
        <v>0</v>
      </c>
      <c r="CF20" s="212"/>
      <c r="CG20" s="315">
        <v>0</v>
      </c>
      <c r="CH20" s="325">
        <v>0</v>
      </c>
      <c r="CI20" s="325">
        <v>0</v>
      </c>
      <c r="CJ20" s="325">
        <v>0</v>
      </c>
      <c r="CK20" s="325">
        <v>0</v>
      </c>
      <c r="CL20" s="276">
        <v>0</v>
      </c>
      <c r="CM20" s="276">
        <v>0</v>
      </c>
      <c r="CN20" s="276">
        <v>0</v>
      </c>
      <c r="CO20" s="276">
        <v>0</v>
      </c>
      <c r="CP20" s="276">
        <v>0</v>
      </c>
      <c r="CQ20" s="276">
        <v>0</v>
      </c>
      <c r="CR20" s="313">
        <v>0</v>
      </c>
      <c r="CS20" s="212"/>
      <c r="CT20" s="273">
        <v>0</v>
      </c>
      <c r="CU20" s="278">
        <v>0</v>
      </c>
      <c r="CV20" s="278">
        <v>0</v>
      </c>
      <c r="CW20" s="278">
        <v>0</v>
      </c>
      <c r="CX20" s="278">
        <v>0</v>
      </c>
      <c r="CY20" s="278">
        <v>0</v>
      </c>
      <c r="CZ20" s="278">
        <v>0</v>
      </c>
      <c r="DA20" s="278">
        <v>0</v>
      </c>
      <c r="DB20" s="278">
        <v>0</v>
      </c>
      <c r="DC20" s="278">
        <v>0</v>
      </c>
      <c r="DD20" s="278">
        <v>0</v>
      </c>
      <c r="DE20" s="278">
        <v>0</v>
      </c>
      <c r="DF20" s="390">
        <f t="shared" si="4"/>
        <v>0</v>
      </c>
      <c r="DG20" s="273">
        <v>0</v>
      </c>
      <c r="DH20" s="311">
        <v>0</v>
      </c>
      <c r="DI20" s="309">
        <v>0</v>
      </c>
      <c r="DJ20" s="278">
        <v>0</v>
      </c>
      <c r="DK20" s="278">
        <v>0</v>
      </c>
      <c r="DL20" s="278">
        <v>0</v>
      </c>
      <c r="DM20" s="278">
        <v>0</v>
      </c>
      <c r="DN20" s="278">
        <v>0</v>
      </c>
      <c r="DO20" s="278">
        <v>0</v>
      </c>
      <c r="DP20" s="278">
        <v>0</v>
      </c>
      <c r="DQ20" s="278">
        <v>0</v>
      </c>
      <c r="DR20" s="282">
        <v>0</v>
      </c>
      <c r="DS20" s="283"/>
      <c r="DT20" s="312">
        <v>0</v>
      </c>
      <c r="DU20" s="274">
        <v>0</v>
      </c>
      <c r="DV20" s="274">
        <v>0</v>
      </c>
      <c r="DW20" s="278">
        <v>0</v>
      </c>
      <c r="DX20" s="276">
        <v>0</v>
      </c>
      <c r="DY20" s="309">
        <v>0</v>
      </c>
      <c r="DZ20" s="276">
        <v>0</v>
      </c>
      <c r="EA20" s="276">
        <v>0</v>
      </c>
      <c r="EB20" s="276">
        <v>0</v>
      </c>
      <c r="EC20" s="276">
        <v>0</v>
      </c>
      <c r="ED20" s="276">
        <v>0</v>
      </c>
      <c r="EE20" s="313">
        <v>0</v>
      </c>
      <c r="EF20" s="212"/>
      <c r="EG20" s="312">
        <v>0</v>
      </c>
      <c r="EH20" s="274">
        <v>0</v>
      </c>
      <c r="EI20" s="278">
        <v>0</v>
      </c>
      <c r="EJ20" s="278">
        <v>0</v>
      </c>
      <c r="EK20" s="276">
        <v>0</v>
      </c>
      <c r="EL20" s="309">
        <v>0</v>
      </c>
      <c r="EM20" s="276">
        <v>0</v>
      </c>
      <c r="EN20" s="276">
        <v>0</v>
      </c>
      <c r="EO20" s="276">
        <v>0</v>
      </c>
      <c r="EP20" s="276">
        <v>0</v>
      </c>
      <c r="EQ20" s="276">
        <v>0</v>
      </c>
      <c r="ER20" s="313">
        <v>0</v>
      </c>
      <c r="ES20" s="283"/>
      <c r="ET20" s="312">
        <v>0</v>
      </c>
      <c r="EU20" s="274">
        <v>0</v>
      </c>
      <c r="EV20" s="274">
        <v>0</v>
      </c>
      <c r="EW20" s="278">
        <v>0</v>
      </c>
      <c r="EX20" s="276">
        <v>0</v>
      </c>
      <c r="EY20" s="309">
        <v>0</v>
      </c>
      <c r="EZ20" s="276">
        <v>0</v>
      </c>
      <c r="FA20" s="276">
        <v>0</v>
      </c>
      <c r="FB20" s="276">
        <v>0</v>
      </c>
      <c r="FC20" s="276">
        <v>0</v>
      </c>
      <c r="FD20" s="276">
        <v>0</v>
      </c>
      <c r="FE20" s="313">
        <v>0</v>
      </c>
      <c r="FF20" s="212"/>
      <c r="FG20" s="312">
        <v>0</v>
      </c>
      <c r="FH20" s="274">
        <v>0</v>
      </c>
      <c r="FI20" s="278">
        <v>0</v>
      </c>
      <c r="FJ20" s="278">
        <v>0</v>
      </c>
      <c r="FK20" s="276">
        <v>0</v>
      </c>
      <c r="FL20" s="309">
        <v>0</v>
      </c>
      <c r="FM20" s="276">
        <v>0</v>
      </c>
      <c r="FN20" s="276">
        <v>0</v>
      </c>
      <c r="FO20" s="276">
        <v>0</v>
      </c>
      <c r="FP20" s="276">
        <v>0</v>
      </c>
      <c r="FQ20" s="276">
        <v>0</v>
      </c>
      <c r="FR20" s="313">
        <v>0</v>
      </c>
      <c r="FS20" s="283"/>
      <c r="FT20" s="286">
        <v>0</v>
      </c>
      <c r="FU20" s="260">
        <v>0</v>
      </c>
      <c r="FV20" s="260">
        <v>0</v>
      </c>
      <c r="FW20" s="260">
        <v>0</v>
      </c>
      <c r="FX20" s="287">
        <v>0</v>
      </c>
      <c r="FY20" s="327">
        <v>0</v>
      </c>
      <c r="FZ20" s="275">
        <v>0</v>
      </c>
      <c r="GA20" s="275">
        <v>0</v>
      </c>
      <c r="GB20" s="275">
        <v>0</v>
      </c>
      <c r="GC20" s="275">
        <v>0</v>
      </c>
      <c r="GD20" s="275">
        <v>0</v>
      </c>
      <c r="GE20" s="275">
        <v>0</v>
      </c>
      <c r="GF20" s="277">
        <v>0</v>
      </c>
      <c r="GG20" s="214">
        <v>0</v>
      </c>
      <c r="GH20" s="286">
        <v>0</v>
      </c>
      <c r="GI20" s="260">
        <v>0</v>
      </c>
      <c r="GJ20" s="260">
        <v>0</v>
      </c>
      <c r="GK20" s="260">
        <v>0</v>
      </c>
      <c r="GL20" s="291">
        <v>0</v>
      </c>
      <c r="GM20" s="275">
        <v>0</v>
      </c>
      <c r="GN20" s="275">
        <v>0</v>
      </c>
      <c r="GO20" s="275">
        <v>0</v>
      </c>
      <c r="GP20" s="275">
        <v>0</v>
      </c>
      <c r="GQ20" s="275">
        <v>0</v>
      </c>
      <c r="GR20" s="277">
        <v>0</v>
      </c>
      <c r="GS20" s="275">
        <v>0</v>
      </c>
      <c r="GT20" s="284">
        <v>0</v>
      </c>
      <c r="GU20" s="292">
        <v>0</v>
      </c>
      <c r="GV20" s="214">
        <v>0</v>
      </c>
      <c r="GW20" s="293">
        <v>0</v>
      </c>
      <c r="GX20" s="294"/>
      <c r="GY20" s="293">
        <v>0</v>
      </c>
      <c r="GZ20" s="293">
        <v>0</v>
      </c>
      <c r="HA20" s="293">
        <v>0</v>
      </c>
      <c r="HB20" s="293">
        <v>0</v>
      </c>
      <c r="HC20" s="295">
        <v>0</v>
      </c>
    </row>
    <row r="21" spans="1:211" ht="12.75" customHeight="1">
      <c r="A21" s="213"/>
      <c r="B21" s="296" t="s">
        <v>162</v>
      </c>
      <c r="C21" s="297" t="s">
        <v>159</v>
      </c>
      <c r="D21" s="298" t="s">
        <v>136</v>
      </c>
      <c r="E21" s="328" t="s">
        <v>160</v>
      </c>
      <c r="F21" s="300" t="s">
        <v>144</v>
      </c>
      <c r="G21" s="318">
        <v>0</v>
      </c>
      <c r="H21" s="318">
        <v>0</v>
      </c>
      <c r="I21" s="319">
        <v>0</v>
      </c>
      <c r="J21" s="320">
        <v>0</v>
      </c>
      <c r="K21" s="320">
        <v>0</v>
      </c>
      <c r="L21" s="261">
        <v>0</v>
      </c>
      <c r="M21" s="261">
        <v>0</v>
      </c>
      <c r="N21" s="261">
        <v>0</v>
      </c>
      <c r="O21" s="261">
        <v>0</v>
      </c>
      <c r="P21" s="261">
        <v>0</v>
      </c>
      <c r="Q21" s="261">
        <v>0</v>
      </c>
      <c r="R21" s="303">
        <v>0</v>
      </c>
      <c r="S21" s="261">
        <f t="shared" si="3"/>
        <v>0</v>
      </c>
      <c r="T21" s="270">
        <v>0</v>
      </c>
      <c r="U21" s="304">
        <v>0</v>
      </c>
      <c r="V21" s="258">
        <v>0</v>
      </c>
      <c r="W21" s="259">
        <v>0</v>
      </c>
      <c r="X21" s="259">
        <v>0</v>
      </c>
      <c r="Y21" s="259">
        <v>0</v>
      </c>
      <c r="Z21" s="259">
        <v>0</v>
      </c>
      <c r="AA21" s="259">
        <v>0</v>
      </c>
      <c r="AB21" s="259">
        <v>0</v>
      </c>
      <c r="AC21" s="259">
        <v>0</v>
      </c>
      <c r="AD21" s="259">
        <v>0</v>
      </c>
      <c r="AE21" s="268">
        <v>0</v>
      </c>
      <c r="AG21" s="270">
        <v>0</v>
      </c>
      <c r="AH21" s="304">
        <v>0</v>
      </c>
      <c r="AI21" s="258">
        <v>0</v>
      </c>
      <c r="AJ21" s="259">
        <v>0</v>
      </c>
      <c r="AK21" s="259">
        <v>0</v>
      </c>
      <c r="AL21" s="259">
        <v>0</v>
      </c>
      <c r="AM21" s="259">
        <v>0</v>
      </c>
      <c r="AN21" s="259">
        <v>0</v>
      </c>
      <c r="AO21" s="259">
        <v>0</v>
      </c>
      <c r="AP21" s="259">
        <v>0</v>
      </c>
      <c r="AQ21" s="259">
        <v>0</v>
      </c>
      <c r="AR21" s="268">
        <v>0</v>
      </c>
      <c r="AS21" s="269">
        <v>0</v>
      </c>
      <c r="AT21" s="321">
        <v>0</v>
      </c>
      <c r="AU21" s="320">
        <v>0</v>
      </c>
      <c r="AV21" s="259">
        <v>0</v>
      </c>
      <c r="AW21" s="320">
        <v>0</v>
      </c>
      <c r="AX21" s="320">
        <v>0</v>
      </c>
      <c r="AY21" s="320">
        <v>0</v>
      </c>
      <c r="AZ21" s="320">
        <v>0</v>
      </c>
      <c r="BA21" s="320">
        <v>0</v>
      </c>
      <c r="BB21" s="320">
        <v>0</v>
      </c>
      <c r="BC21" s="320">
        <v>0</v>
      </c>
      <c r="BD21" s="320">
        <v>0</v>
      </c>
      <c r="BE21" s="322">
        <v>0</v>
      </c>
      <c r="BG21" s="321">
        <v>0</v>
      </c>
      <c r="BH21" s="320">
        <v>0</v>
      </c>
      <c r="BI21" s="320">
        <v>0</v>
      </c>
      <c r="BJ21" s="320">
        <v>0</v>
      </c>
      <c r="BK21" s="320">
        <v>0</v>
      </c>
      <c r="BL21" s="320">
        <v>0</v>
      </c>
      <c r="BM21" s="320">
        <v>0</v>
      </c>
      <c r="BN21" s="320">
        <v>0</v>
      </c>
      <c r="BO21" s="320">
        <v>0</v>
      </c>
      <c r="BP21" s="320">
        <v>0</v>
      </c>
      <c r="BQ21" s="320">
        <v>0</v>
      </c>
      <c r="BR21" s="322">
        <v>0</v>
      </c>
      <c r="BT21" s="270">
        <v>0</v>
      </c>
      <c r="BU21" s="323">
        <v>0</v>
      </c>
      <c r="BV21" s="323">
        <v>0</v>
      </c>
      <c r="BW21" s="323">
        <v>0</v>
      </c>
      <c r="BX21" s="323">
        <v>0</v>
      </c>
      <c r="BY21" s="323">
        <v>0</v>
      </c>
      <c r="BZ21" s="323">
        <v>0</v>
      </c>
      <c r="CA21" s="323">
        <v>0</v>
      </c>
      <c r="CB21" s="323">
        <v>0</v>
      </c>
      <c r="CC21" s="323">
        <v>0</v>
      </c>
      <c r="CD21" s="323">
        <v>0</v>
      </c>
      <c r="CE21" s="324">
        <v>0</v>
      </c>
      <c r="CF21" s="212"/>
      <c r="CG21" s="315">
        <v>0</v>
      </c>
      <c r="CH21" s="325">
        <v>0</v>
      </c>
      <c r="CI21" s="325">
        <v>0</v>
      </c>
      <c r="CJ21" s="325">
        <v>0</v>
      </c>
      <c r="CK21" s="325">
        <v>0</v>
      </c>
      <c r="CL21" s="276">
        <v>0</v>
      </c>
      <c r="CM21" s="276">
        <v>0</v>
      </c>
      <c r="CN21" s="276">
        <v>0</v>
      </c>
      <c r="CO21" s="276">
        <v>0</v>
      </c>
      <c r="CP21" s="276">
        <v>0</v>
      </c>
      <c r="CQ21" s="276">
        <v>0</v>
      </c>
      <c r="CR21" s="313">
        <v>0</v>
      </c>
      <c r="CS21" s="212"/>
      <c r="CT21" s="273">
        <v>0</v>
      </c>
      <c r="CU21" s="278">
        <v>0</v>
      </c>
      <c r="CV21" s="278">
        <v>0</v>
      </c>
      <c r="CW21" s="278">
        <v>0</v>
      </c>
      <c r="CX21" s="278">
        <v>0</v>
      </c>
      <c r="CY21" s="278">
        <v>0</v>
      </c>
      <c r="CZ21" s="278">
        <v>0</v>
      </c>
      <c r="DA21" s="278">
        <v>0</v>
      </c>
      <c r="DB21" s="278">
        <v>0</v>
      </c>
      <c r="DC21" s="278">
        <v>0</v>
      </c>
      <c r="DD21" s="278">
        <v>0</v>
      </c>
      <c r="DE21" s="278">
        <v>0</v>
      </c>
      <c r="DF21" s="390">
        <f t="shared" si="4"/>
        <v>0</v>
      </c>
      <c r="DG21" s="273">
        <v>0</v>
      </c>
      <c r="DH21" s="311">
        <v>0</v>
      </c>
      <c r="DI21" s="309">
        <v>0</v>
      </c>
      <c r="DJ21" s="278">
        <v>0</v>
      </c>
      <c r="DK21" s="278">
        <v>0</v>
      </c>
      <c r="DL21" s="278">
        <v>0</v>
      </c>
      <c r="DM21" s="278">
        <v>0</v>
      </c>
      <c r="DN21" s="278">
        <v>0</v>
      </c>
      <c r="DO21" s="278">
        <v>0</v>
      </c>
      <c r="DP21" s="278">
        <v>0</v>
      </c>
      <c r="DQ21" s="278">
        <v>0</v>
      </c>
      <c r="DR21" s="282">
        <v>0</v>
      </c>
      <c r="DS21" s="283"/>
      <c r="DT21" s="312">
        <v>0</v>
      </c>
      <c r="DU21" s="274">
        <v>0</v>
      </c>
      <c r="DV21" s="274">
        <v>0</v>
      </c>
      <c r="DW21" s="278">
        <v>0</v>
      </c>
      <c r="DX21" s="276">
        <v>0</v>
      </c>
      <c r="DY21" s="309">
        <v>0</v>
      </c>
      <c r="DZ21" s="276">
        <v>0</v>
      </c>
      <c r="EA21" s="276">
        <v>0</v>
      </c>
      <c r="EB21" s="276">
        <v>0</v>
      </c>
      <c r="EC21" s="276">
        <v>0</v>
      </c>
      <c r="ED21" s="276">
        <v>0</v>
      </c>
      <c r="EE21" s="313">
        <v>0</v>
      </c>
      <c r="EF21" s="212"/>
      <c r="EG21" s="312">
        <v>0</v>
      </c>
      <c r="EH21" s="274">
        <v>0</v>
      </c>
      <c r="EI21" s="278">
        <v>0</v>
      </c>
      <c r="EJ21" s="278">
        <v>0</v>
      </c>
      <c r="EK21" s="276">
        <v>0</v>
      </c>
      <c r="EL21" s="309">
        <v>0</v>
      </c>
      <c r="EM21" s="276">
        <v>0</v>
      </c>
      <c r="EN21" s="276">
        <v>0</v>
      </c>
      <c r="EO21" s="276">
        <v>0</v>
      </c>
      <c r="EP21" s="276">
        <v>0</v>
      </c>
      <c r="EQ21" s="276">
        <v>0</v>
      </c>
      <c r="ER21" s="313">
        <v>0</v>
      </c>
      <c r="ES21" s="283"/>
      <c r="ET21" s="312">
        <v>0</v>
      </c>
      <c r="EU21" s="274">
        <v>0</v>
      </c>
      <c r="EV21" s="274">
        <v>0</v>
      </c>
      <c r="EW21" s="278">
        <v>0</v>
      </c>
      <c r="EX21" s="276">
        <v>0</v>
      </c>
      <c r="EY21" s="309">
        <v>0</v>
      </c>
      <c r="EZ21" s="276">
        <v>0</v>
      </c>
      <c r="FA21" s="276">
        <v>0</v>
      </c>
      <c r="FB21" s="276">
        <v>0</v>
      </c>
      <c r="FC21" s="276">
        <v>0</v>
      </c>
      <c r="FD21" s="276">
        <v>0</v>
      </c>
      <c r="FE21" s="313">
        <v>0</v>
      </c>
      <c r="FF21" s="212"/>
      <c r="FG21" s="312">
        <v>0</v>
      </c>
      <c r="FH21" s="274">
        <v>0</v>
      </c>
      <c r="FI21" s="278">
        <v>0</v>
      </c>
      <c r="FJ21" s="278">
        <v>0</v>
      </c>
      <c r="FK21" s="276">
        <v>0</v>
      </c>
      <c r="FL21" s="309">
        <v>0</v>
      </c>
      <c r="FM21" s="276">
        <v>0</v>
      </c>
      <c r="FN21" s="276">
        <v>0</v>
      </c>
      <c r="FO21" s="276">
        <v>0</v>
      </c>
      <c r="FP21" s="276">
        <v>0</v>
      </c>
      <c r="FQ21" s="276">
        <v>0</v>
      </c>
      <c r="FR21" s="313">
        <v>0</v>
      </c>
      <c r="FS21" s="283"/>
      <c r="FT21" s="286">
        <v>0</v>
      </c>
      <c r="FU21" s="260">
        <v>0</v>
      </c>
      <c r="FV21" s="260">
        <v>0</v>
      </c>
      <c r="FW21" s="260">
        <v>0</v>
      </c>
      <c r="FX21" s="287">
        <v>0</v>
      </c>
      <c r="FY21" s="327">
        <v>0</v>
      </c>
      <c r="FZ21" s="275">
        <v>0</v>
      </c>
      <c r="GA21" s="275">
        <v>0</v>
      </c>
      <c r="GB21" s="275">
        <v>0</v>
      </c>
      <c r="GC21" s="275">
        <v>0</v>
      </c>
      <c r="GD21" s="275">
        <v>0</v>
      </c>
      <c r="GE21" s="275">
        <v>0</v>
      </c>
      <c r="GF21" s="277">
        <v>0</v>
      </c>
      <c r="GG21" s="214">
        <v>0</v>
      </c>
      <c r="GH21" s="286">
        <v>0</v>
      </c>
      <c r="GI21" s="260">
        <v>0</v>
      </c>
      <c r="GJ21" s="260">
        <v>0</v>
      </c>
      <c r="GK21" s="260">
        <v>0</v>
      </c>
      <c r="GL21" s="291">
        <v>0</v>
      </c>
      <c r="GM21" s="275">
        <v>0</v>
      </c>
      <c r="GN21" s="275">
        <v>0</v>
      </c>
      <c r="GO21" s="275">
        <v>0</v>
      </c>
      <c r="GP21" s="275">
        <v>0</v>
      </c>
      <c r="GQ21" s="275">
        <v>0</v>
      </c>
      <c r="GR21" s="277">
        <v>0</v>
      </c>
      <c r="GS21" s="275">
        <v>0</v>
      </c>
      <c r="GT21" s="284">
        <v>0</v>
      </c>
      <c r="GU21" s="292">
        <v>0</v>
      </c>
      <c r="GV21" s="214">
        <v>0</v>
      </c>
      <c r="GW21" s="293">
        <v>0</v>
      </c>
      <c r="GX21" s="294"/>
      <c r="GY21" s="293">
        <v>0</v>
      </c>
      <c r="GZ21" s="293">
        <v>0</v>
      </c>
      <c r="HA21" s="293">
        <v>0</v>
      </c>
      <c r="HB21" s="293">
        <v>0</v>
      </c>
      <c r="HC21" s="295">
        <v>0</v>
      </c>
    </row>
    <row r="22" spans="1:211" ht="12.75" customHeight="1">
      <c r="A22" s="213"/>
      <c r="B22" s="296" t="s">
        <v>163</v>
      </c>
      <c r="C22" s="297" t="s">
        <v>159</v>
      </c>
      <c r="D22" s="298" t="s">
        <v>136</v>
      </c>
      <c r="E22" s="299" t="s">
        <v>164</v>
      </c>
      <c r="F22" s="300" t="s">
        <v>138</v>
      </c>
      <c r="G22" s="318">
        <v>36.700999999999993</v>
      </c>
      <c r="H22" s="318">
        <v>37.734999999999999</v>
      </c>
      <c r="I22" s="319">
        <v>29.013999999999999</v>
      </c>
      <c r="J22" s="320">
        <v>57.847000000000008</v>
      </c>
      <c r="K22" s="320">
        <v>1.728</v>
      </c>
      <c r="L22" s="261">
        <v>0</v>
      </c>
      <c r="M22" s="261">
        <v>6.3940000000000001</v>
      </c>
      <c r="N22" s="261">
        <v>4.3079999999999998</v>
      </c>
      <c r="O22" s="261">
        <v>6.4169999999999998</v>
      </c>
      <c r="P22" s="261">
        <v>2.0219999999999998</v>
      </c>
      <c r="Q22" s="261">
        <v>4.32</v>
      </c>
      <c r="R22" s="303">
        <v>0.88700000000000001</v>
      </c>
      <c r="S22" s="261">
        <f t="shared" si="3"/>
        <v>7.229000000000001</v>
      </c>
      <c r="T22" s="270">
        <v>15.775799890023301</v>
      </c>
      <c r="U22" s="304">
        <v>17.846646781991435</v>
      </c>
      <c r="V22" s="258">
        <v>17.584845116153954</v>
      </c>
      <c r="W22" s="259">
        <v>24.545084494000079</v>
      </c>
      <c r="X22" s="259">
        <v>15.744092323293398</v>
      </c>
      <c r="Y22" s="259">
        <v>18.349683043355093</v>
      </c>
      <c r="Z22" s="259">
        <v>13.536560109881476</v>
      </c>
      <c r="AA22" s="259">
        <v>18.502650628795326</v>
      </c>
      <c r="AB22" s="259">
        <v>16.844430584947478</v>
      </c>
      <c r="AC22" s="259">
        <v>12.715162739324285</v>
      </c>
      <c r="AD22" s="259">
        <v>5.728786042957565</v>
      </c>
      <c r="AE22" s="268">
        <v>2.8262582452765961</v>
      </c>
      <c r="AG22" s="270">
        <v>0</v>
      </c>
      <c r="AH22" s="304">
        <v>66.174000000000007</v>
      </c>
      <c r="AI22" s="258">
        <v>50</v>
      </c>
      <c r="AJ22" s="259">
        <v>33.159999999999997</v>
      </c>
      <c r="AK22" s="259">
        <v>1.73</v>
      </c>
      <c r="AL22" s="259">
        <v>0</v>
      </c>
      <c r="AM22" s="259">
        <v>10</v>
      </c>
      <c r="AN22" s="259">
        <v>4</v>
      </c>
      <c r="AO22" s="259">
        <v>8</v>
      </c>
      <c r="AP22" s="259">
        <v>7.02</v>
      </c>
      <c r="AQ22" s="259">
        <v>9.5300000000000011</v>
      </c>
      <c r="AR22" s="268">
        <v>0.89</v>
      </c>
      <c r="AS22" s="269">
        <v>2.244990574697155E-4</v>
      </c>
      <c r="AT22" s="321">
        <v>168142.15879676308</v>
      </c>
      <c r="AU22" s="320">
        <v>162628.28170133833</v>
      </c>
      <c r="AV22" s="259">
        <v>159759.04322051426</v>
      </c>
      <c r="AW22" s="320">
        <v>161640.22939824016</v>
      </c>
      <c r="AX22" s="320">
        <v>159763.88888888888</v>
      </c>
      <c r="AY22" s="320">
        <v>0</v>
      </c>
      <c r="AZ22" s="320">
        <v>162908.8989677823</v>
      </c>
      <c r="BA22" s="320">
        <v>162937.24233983291</v>
      </c>
      <c r="BB22" s="320">
        <v>163147.91958859283</v>
      </c>
      <c r="BC22" s="320">
        <v>163257.37883283879</v>
      </c>
      <c r="BD22" s="320">
        <v>163277.77777777778</v>
      </c>
      <c r="BE22" s="322">
        <v>163284.87034949267</v>
      </c>
      <c r="BG22" s="321">
        <v>174540.75453454108</v>
      </c>
      <c r="BH22" s="320">
        <v>174540.75453454108</v>
      </c>
      <c r="BI22" s="320">
        <v>174540.75453454108</v>
      </c>
      <c r="BJ22" s="320">
        <v>174540.75453454111</v>
      </c>
      <c r="BK22" s="320">
        <v>174540.75453454108</v>
      </c>
      <c r="BL22" s="320">
        <v>174540.75453454108</v>
      </c>
      <c r="BM22" s="320">
        <v>174540.75453454108</v>
      </c>
      <c r="BN22" s="320">
        <v>174540.75453454108</v>
      </c>
      <c r="BO22" s="320">
        <v>174540.75453454111</v>
      </c>
      <c r="BP22" s="320">
        <v>174540.75453454111</v>
      </c>
      <c r="BQ22" s="320">
        <v>174540.75453454108</v>
      </c>
      <c r="BR22" s="322">
        <v>174540.75453454108</v>
      </c>
      <c r="BT22" s="270">
        <v>0</v>
      </c>
      <c r="BU22" s="323">
        <v>159763.89893540571</v>
      </c>
      <c r="BV22" s="323">
        <v>159763.89893540568</v>
      </c>
      <c r="BW22" s="323">
        <v>162082.91425360119</v>
      </c>
      <c r="BX22" s="323">
        <v>162164.33177156237</v>
      </c>
      <c r="BY22" s="323">
        <v>0</v>
      </c>
      <c r="BZ22" s="323">
        <v>162164.33177156237</v>
      </c>
      <c r="CA22" s="323">
        <v>163277.86645152833</v>
      </c>
      <c r="CB22" s="323">
        <v>163277.86645152833</v>
      </c>
      <c r="CC22" s="323">
        <v>163277.86645152833</v>
      </c>
      <c r="CD22" s="323">
        <v>163277.86645152839</v>
      </c>
      <c r="CE22" s="324">
        <v>163277.86645152839</v>
      </c>
      <c r="CF22" s="212"/>
      <c r="CG22" s="273">
        <v>0.61709853700000006</v>
      </c>
      <c r="CH22" s="329">
        <v>0.61367782100000023</v>
      </c>
      <c r="CI22" s="325">
        <v>0.46352488800000002</v>
      </c>
      <c r="CJ22" s="325">
        <v>0.93504023500000011</v>
      </c>
      <c r="CK22" s="325">
        <v>2.7607199999999998E-2</v>
      </c>
      <c r="CL22" s="276">
        <v>0</v>
      </c>
      <c r="CM22" s="276">
        <v>0.10416395000000001</v>
      </c>
      <c r="CN22" s="276">
        <v>7.0193364000000008E-2</v>
      </c>
      <c r="CO22" s="276">
        <v>0.10469202000000001</v>
      </c>
      <c r="CP22" s="276">
        <v>3.3010642E-2</v>
      </c>
      <c r="CQ22" s="276">
        <v>7.0536000000000001E-2</v>
      </c>
      <c r="CR22" s="313">
        <v>1.4483368E-2</v>
      </c>
      <c r="CS22" s="212"/>
      <c r="CT22" s="273">
        <v>0.27535200161905971</v>
      </c>
      <c r="CU22" s="278">
        <v>0.31149671952402241</v>
      </c>
      <c r="CV22" s="278">
        <v>0.30692721349465507</v>
      </c>
      <c r="CW22" s="278">
        <v>0.42841175676968385</v>
      </c>
      <c r="CX22" s="278">
        <v>0.27479857535691055</v>
      </c>
      <c r="CY22" s="278">
        <v>0.3202767523856872</v>
      </c>
      <c r="CZ22" s="278">
        <v>0.23626814153808831</v>
      </c>
      <c r="DA22" s="278">
        <v>0.32294666016389367</v>
      </c>
      <c r="DB22" s="278">
        <v>0.29400396240014343</v>
      </c>
      <c r="DC22" s="278">
        <v>0.22193140985511431</v>
      </c>
      <c r="DD22" s="278">
        <v>9.9990663850476127E-2</v>
      </c>
      <c r="DE22" s="278">
        <v>4.9329724664004516E-2</v>
      </c>
      <c r="DF22" s="390">
        <f t="shared" si="4"/>
        <v>0.37125179836959499</v>
      </c>
      <c r="DG22" s="273">
        <v>0</v>
      </c>
      <c r="DH22" s="311">
        <v>1.0572216248151538</v>
      </c>
      <c r="DI22" s="309">
        <v>0.79881949467702851</v>
      </c>
      <c r="DJ22" s="278">
        <v>0.53746694366494152</v>
      </c>
      <c r="DK22" s="278">
        <v>2.8054429396480288E-2</v>
      </c>
      <c r="DL22" s="278">
        <v>0</v>
      </c>
      <c r="DM22" s="278">
        <v>0.16216433177156236</v>
      </c>
      <c r="DN22" s="278">
        <v>6.5311146580611337E-2</v>
      </c>
      <c r="DO22" s="278">
        <v>0.13062229316122267</v>
      </c>
      <c r="DP22" s="278">
        <v>0.11462106224897289</v>
      </c>
      <c r="DQ22" s="278">
        <v>0.15560380672830657</v>
      </c>
      <c r="DR22" s="282">
        <v>1.4531730114186025E-2</v>
      </c>
      <c r="DS22" s="283"/>
      <c r="DT22" s="312">
        <v>-2.3483486217219032E-2</v>
      </c>
      <c r="DU22" s="274">
        <v>-4.4951716236090553E-2</v>
      </c>
      <c r="DV22" s="274">
        <v>-4.288765720651741E-2</v>
      </c>
      <c r="DW22" s="278">
        <v>-7.4625667755960093E-2</v>
      </c>
      <c r="DX22" s="276">
        <v>-2.5534423835687002E-3</v>
      </c>
      <c r="DY22" s="309">
        <v>0</v>
      </c>
      <c r="DZ22" s="276">
        <v>-7.4374084493855639E-3</v>
      </c>
      <c r="EA22" s="276">
        <v>-4.9987930534802771E-3</v>
      </c>
      <c r="EB22" s="276">
        <v>-7.3107821848150054E-3</v>
      </c>
      <c r="EC22" s="276">
        <v>-2.2814985668842078E-3</v>
      </c>
      <c r="ED22" s="276">
        <v>-4.8656059589217435E-3</v>
      </c>
      <c r="EE22" s="313">
        <v>-9.9839692721379329E-4</v>
      </c>
      <c r="EF22" s="212"/>
      <c r="EG22" s="312">
        <v>0.36523002159815937</v>
      </c>
      <c r="EH22" s="274">
        <v>0.34713281771206828</v>
      </c>
      <c r="EI22" s="278">
        <v>0.19948533171186239</v>
      </c>
      <c r="EJ22" s="278">
        <v>0.58125414598627623</v>
      </c>
      <c r="EK22" s="276">
        <v>-0.24463793297334183</v>
      </c>
      <c r="EL22" s="309">
        <v>-0.3202767523856872</v>
      </c>
      <c r="EM22" s="276">
        <v>-0.12466678308870273</v>
      </c>
      <c r="EN22" s="276">
        <v>-0.24775450311041344</v>
      </c>
      <c r="EO22" s="276">
        <v>-0.18200116021532842</v>
      </c>
      <c r="EP22" s="276">
        <v>-0.1866392692882301</v>
      </c>
      <c r="EQ22" s="276">
        <v>-2.4589057891554373E-2</v>
      </c>
      <c r="ER22" s="313">
        <v>-3.3847959736790723E-2</v>
      </c>
      <c r="ES22" s="283"/>
      <c r="ET22" s="312">
        <v>0.61709853700000006</v>
      </c>
      <c r="EU22" s="274">
        <v>1.0808748367246742E-2</v>
      </c>
      <c r="EV22" s="274">
        <v>-1.408837118598349E-5</v>
      </c>
      <c r="EW22" s="278">
        <v>-2.5607990828069652E-3</v>
      </c>
      <c r="EX22" s="276">
        <v>-4.1479653012597994E-4</v>
      </c>
      <c r="EY22" s="309">
        <v>0</v>
      </c>
      <c r="EZ22" s="276">
        <v>4.760762652630211E-4</v>
      </c>
      <c r="FA22" s="276">
        <v>-1.4674086731838643E-4</v>
      </c>
      <c r="FB22" s="276">
        <v>-8.3386901945707809E-5</v>
      </c>
      <c r="FC22" s="276">
        <v>-4.1425964990253323E-6</v>
      </c>
      <c r="FD22" s="276">
        <v>-3.8307060262653978E-8</v>
      </c>
      <c r="FE22" s="313">
        <v>6.2124574943207851E-7</v>
      </c>
      <c r="FF22" s="212"/>
      <c r="FG22" s="312">
        <v>0</v>
      </c>
      <c r="FH22" s="274">
        <v>-0.45435255218240039</v>
      </c>
      <c r="FI22" s="278">
        <v>-0.33528051830584238</v>
      </c>
      <c r="FJ22" s="278">
        <v>0.40013409041786546</v>
      </c>
      <c r="FK22" s="276">
        <v>-3.2432866354312499E-5</v>
      </c>
      <c r="FL22" s="309">
        <v>0</v>
      </c>
      <c r="FM22" s="276">
        <v>-5.8476458036825385E-2</v>
      </c>
      <c r="FN22" s="276">
        <v>5.0289582867070696E-3</v>
      </c>
      <c r="FO22" s="276">
        <v>-2.5846886259276936E-2</v>
      </c>
      <c r="FP22" s="276">
        <v>-8.1606277652473858E-2</v>
      </c>
      <c r="FQ22" s="276">
        <v>-8.5067768421246304E-2</v>
      </c>
      <c r="FR22" s="313">
        <v>-4.8983359935458563E-5</v>
      </c>
      <c r="FS22" s="283"/>
      <c r="FT22" s="286">
        <v>187.37299999999999</v>
      </c>
      <c r="FU22" s="260">
        <v>179.99999999999997</v>
      </c>
      <c r="FV22" s="260">
        <v>190.50399999999999</v>
      </c>
      <c r="FW22" s="260">
        <v>7.3730000000000189</v>
      </c>
      <c r="FX22" s="287">
        <v>4.0961111111111226E-2</v>
      </c>
      <c r="FY22" s="327">
        <v>3.0540280250000005</v>
      </c>
      <c r="FZ22" s="275">
        <v>3.1417335816217395</v>
      </c>
      <c r="GA22" s="275">
        <v>3.0644168631584656</v>
      </c>
      <c r="GB22" s="275">
        <v>-8.7705556621739067E-2</v>
      </c>
      <c r="GC22" s="275">
        <v>0.12868889831831723</v>
      </c>
      <c r="GD22" s="275">
        <v>-0.21639445494005638</v>
      </c>
      <c r="GE22" s="275">
        <v>-0.63554882837978255</v>
      </c>
      <c r="GF22" s="277">
        <v>0.62515999022131685</v>
      </c>
      <c r="GG22" s="214">
        <v>0</v>
      </c>
      <c r="GH22" s="286">
        <v>0.88700000000000001</v>
      </c>
      <c r="GI22" s="260">
        <v>2.8262582452765961</v>
      </c>
      <c r="GJ22" s="260">
        <v>0.89</v>
      </c>
      <c r="GK22" s="260">
        <v>-1.9392582452765961</v>
      </c>
      <c r="GL22" s="291">
        <v>-0.68615748349167849</v>
      </c>
      <c r="GM22" s="275">
        <v>1.4483368E-2</v>
      </c>
      <c r="GN22" s="275">
        <v>4.9329724664004516E-2</v>
      </c>
      <c r="GO22" s="275">
        <v>1.4531730114186025E-2</v>
      </c>
      <c r="GP22" s="275">
        <v>-3.4846356664004513E-2</v>
      </c>
      <c r="GQ22" s="275">
        <v>-3.3847959736790723E-2</v>
      </c>
      <c r="GR22" s="277">
        <v>-9.9839692721379329E-4</v>
      </c>
      <c r="GS22" s="275">
        <v>-4.8983359935458563E-5</v>
      </c>
      <c r="GT22" s="284">
        <v>6.2124574943207851E-7</v>
      </c>
      <c r="GU22" s="292">
        <v>-3.9812878989659982E-4</v>
      </c>
      <c r="GV22" s="214">
        <v>0</v>
      </c>
      <c r="GW22" s="293">
        <v>1.4880858466916344E-2</v>
      </c>
      <c r="GX22" s="294"/>
      <c r="GY22" s="293">
        <v>-1.0388838158465141E-2</v>
      </c>
      <c r="GZ22" s="293">
        <v>-5.5511151231257827E-16</v>
      </c>
      <c r="HA22" s="293">
        <v>-4.8362114186024929E-5</v>
      </c>
      <c r="HB22" s="293">
        <v>6.2124574943363335E-7</v>
      </c>
      <c r="HC22" s="295">
        <v>1.4881496789896599E-2</v>
      </c>
    </row>
    <row r="23" spans="1:211" ht="12.75" customHeight="1">
      <c r="A23" s="213"/>
      <c r="B23" s="296" t="s">
        <v>165</v>
      </c>
      <c r="C23" s="297" t="s">
        <v>159</v>
      </c>
      <c r="D23" s="298" t="s">
        <v>136</v>
      </c>
      <c r="E23" s="299" t="s">
        <v>164</v>
      </c>
      <c r="F23" s="300" t="s">
        <v>140</v>
      </c>
      <c r="G23" s="318">
        <v>2.64</v>
      </c>
      <c r="H23" s="318">
        <v>17.001000000000001</v>
      </c>
      <c r="I23" s="319">
        <v>19.008000000000006</v>
      </c>
      <c r="J23" s="320">
        <v>10.272</v>
      </c>
      <c r="K23" s="320">
        <v>22.377999999999997</v>
      </c>
      <c r="L23" s="261">
        <v>14.573</v>
      </c>
      <c r="M23" s="330">
        <v>12.364000000000001</v>
      </c>
      <c r="N23" s="261">
        <v>9.2149999999999999</v>
      </c>
      <c r="O23" s="261">
        <v>7.6109999999999989</v>
      </c>
      <c r="P23" s="261">
        <v>7.2480000000000002</v>
      </c>
      <c r="Q23" s="261">
        <v>16.444000000000003</v>
      </c>
      <c r="R23" s="303">
        <v>5.6349999999999998</v>
      </c>
      <c r="S23" s="261">
        <f t="shared" si="3"/>
        <v>29.327000000000005</v>
      </c>
      <c r="T23" s="270">
        <v>25.820937937286196</v>
      </c>
      <c r="U23" s="304">
        <v>12.096563582536254</v>
      </c>
      <c r="V23" s="258">
        <v>21.033335371753971</v>
      </c>
      <c r="W23" s="259">
        <v>19.81862852661758</v>
      </c>
      <c r="X23" s="259">
        <v>24.068807487958331</v>
      </c>
      <c r="Y23" s="259">
        <v>44.304424931563041</v>
      </c>
      <c r="Z23" s="259">
        <v>40.863618868101007</v>
      </c>
      <c r="AA23" s="259">
        <v>45.076242926980179</v>
      </c>
      <c r="AB23" s="259">
        <v>24.466371455396366</v>
      </c>
      <c r="AC23" s="259">
        <v>51.841305356609702</v>
      </c>
      <c r="AD23" s="259">
        <v>22.351641947818827</v>
      </c>
      <c r="AE23" s="268">
        <v>28.258121607378602</v>
      </c>
      <c r="AG23" s="270">
        <v>0</v>
      </c>
      <c r="AH23" s="304">
        <v>41.04</v>
      </c>
      <c r="AI23" s="258">
        <v>25</v>
      </c>
      <c r="AJ23" s="259">
        <v>8.3100000000000023</v>
      </c>
      <c r="AK23" s="259">
        <v>20.68</v>
      </c>
      <c r="AL23" s="259">
        <v>15</v>
      </c>
      <c r="AM23" s="259">
        <v>22</v>
      </c>
      <c r="AN23" s="259">
        <v>3</v>
      </c>
      <c r="AO23" s="259">
        <v>35</v>
      </c>
      <c r="AP23" s="259">
        <v>33.75</v>
      </c>
      <c r="AQ23" s="259">
        <v>15.46</v>
      </c>
      <c r="AR23" s="268">
        <v>9</v>
      </c>
      <c r="AS23" s="269">
        <v>2.2702151878959994E-3</v>
      </c>
      <c r="AT23" s="321">
        <v>140983.33333333331</v>
      </c>
      <c r="AU23" s="320">
        <v>140555.76966060823</v>
      </c>
      <c r="AV23" s="259">
        <v>134599.99999999991</v>
      </c>
      <c r="AW23" s="320">
        <v>134600.00000000003</v>
      </c>
      <c r="AX23" s="320">
        <v>134597.59406560019</v>
      </c>
      <c r="AY23" s="320">
        <v>131881.5233651273</v>
      </c>
      <c r="AZ23" s="320">
        <v>133858.66062762859</v>
      </c>
      <c r="BA23" s="320">
        <v>133864.52523060227</v>
      </c>
      <c r="BB23" s="320">
        <v>133881.65549862044</v>
      </c>
      <c r="BC23" s="320">
        <v>132519.86754966885</v>
      </c>
      <c r="BD23" s="320">
        <v>134060.25784480656</v>
      </c>
      <c r="BE23" s="322">
        <v>136688.18456078082</v>
      </c>
      <c r="BG23" s="321">
        <v>141302.40517307358</v>
      </c>
      <c r="BH23" s="320">
        <v>141302.40517307358</v>
      </c>
      <c r="BI23" s="320">
        <v>141302.40517307358</v>
      </c>
      <c r="BJ23" s="320">
        <v>141302.40517307358</v>
      </c>
      <c r="BK23" s="320">
        <v>141302.40517307358</v>
      </c>
      <c r="BL23" s="320">
        <v>141302.40517307358</v>
      </c>
      <c r="BM23" s="320">
        <v>141302.40517307361</v>
      </c>
      <c r="BN23" s="320">
        <v>141302.40517307358</v>
      </c>
      <c r="BO23" s="320">
        <v>141302.40517307358</v>
      </c>
      <c r="BP23" s="320">
        <v>141302.40517307358</v>
      </c>
      <c r="BQ23" s="320">
        <v>141302.40517307358</v>
      </c>
      <c r="BR23" s="322">
        <v>141302.40517307358</v>
      </c>
      <c r="BT23" s="270">
        <v>0</v>
      </c>
      <c r="BU23" s="323">
        <v>134587.65926144735</v>
      </c>
      <c r="BV23" s="323">
        <v>134587.65926144732</v>
      </c>
      <c r="BW23" s="323">
        <v>132982.98354707379</v>
      </c>
      <c r="BX23" s="323">
        <v>131881.7134793661</v>
      </c>
      <c r="BY23" s="323">
        <v>131881.7134793661</v>
      </c>
      <c r="BZ23" s="323">
        <v>131881.7134793661</v>
      </c>
      <c r="CA23" s="323">
        <v>150295.80761435107</v>
      </c>
      <c r="CB23" s="323">
        <v>132128.18251811081</v>
      </c>
      <c r="CC23" s="323">
        <v>132128.18251811081</v>
      </c>
      <c r="CD23" s="323">
        <v>132128.18251811081</v>
      </c>
      <c r="CE23" s="324">
        <v>132128.18251811081</v>
      </c>
      <c r="CF23" s="212"/>
      <c r="CG23" s="273">
        <v>3.7219599999999999E-2</v>
      </c>
      <c r="CH23" s="329">
        <v>0.23895886400000005</v>
      </c>
      <c r="CI23" s="325">
        <v>0.25584767999999991</v>
      </c>
      <c r="CJ23" s="325">
        <v>0.13826112000000002</v>
      </c>
      <c r="CK23" s="325">
        <v>0.30120249600000004</v>
      </c>
      <c r="CL23" s="276">
        <v>0.19219094400000003</v>
      </c>
      <c r="CM23" s="276">
        <v>0.16550284800000001</v>
      </c>
      <c r="CN23" s="331">
        <v>0.12335615999999999</v>
      </c>
      <c r="CO23" s="276">
        <v>0.101897328</v>
      </c>
      <c r="CP23" s="276">
        <v>9.6050399999999994E-2</v>
      </c>
      <c r="CQ23" s="276">
        <v>0.22044868799999995</v>
      </c>
      <c r="CR23" s="313">
        <v>7.7023791999999994E-2</v>
      </c>
      <c r="CS23" s="212"/>
      <c r="CT23" s="273">
        <v>0.3648560634363201</v>
      </c>
      <c r="CU23" s="278">
        <v>0.17092735285413843</v>
      </c>
      <c r="CV23" s="278">
        <v>0.29720608768407197</v>
      </c>
      <c r="CW23" s="278">
        <v>0.28004198780427514</v>
      </c>
      <c r="CX23" s="278">
        <v>0.34009803876961953</v>
      </c>
      <c r="CY23" s="278">
        <v>0.62603218026397434</v>
      </c>
      <c r="CZ23" s="278">
        <v>0.57741276301384636</v>
      </c>
      <c r="DA23" s="278">
        <v>0.63693815417480448</v>
      </c>
      <c r="DB23" s="278">
        <v>0.34571571325053391</v>
      </c>
      <c r="DC23" s="278">
        <v>0.73253011342006935</v>
      </c>
      <c r="DD23" s="278">
        <v>0.31583407667941632</v>
      </c>
      <c r="DE23" s="278">
        <v>0.39929405487957964</v>
      </c>
      <c r="DF23" s="390">
        <f t="shared" si="4"/>
        <v>1.4476582449790654</v>
      </c>
      <c r="DG23" s="273">
        <v>0</v>
      </c>
      <c r="DH23" s="311">
        <v>0.55234775360897992</v>
      </c>
      <c r="DI23" s="309">
        <v>0.33646914815361834</v>
      </c>
      <c r="DJ23" s="278">
        <v>0.11050885932761834</v>
      </c>
      <c r="DK23" s="278">
        <v>0.27273138347532905</v>
      </c>
      <c r="DL23" s="278">
        <v>0.19782257021904914</v>
      </c>
      <c r="DM23" s="278">
        <v>0.29013976965460542</v>
      </c>
      <c r="DN23" s="278">
        <v>4.5088742284305323E-2</v>
      </c>
      <c r="DO23" s="278">
        <v>0.46244863881338788</v>
      </c>
      <c r="DP23" s="278">
        <v>0.44593261599862399</v>
      </c>
      <c r="DQ23" s="278">
        <v>0.20427017017299934</v>
      </c>
      <c r="DR23" s="282">
        <v>0.11891536426629974</v>
      </c>
      <c r="DS23" s="283"/>
      <c r="DT23" s="312">
        <v>-8.4234965691430501E-5</v>
      </c>
      <c r="DU23" s="274">
        <v>-1.2693550347423403E-3</v>
      </c>
      <c r="DV23" s="274">
        <v>-1.2739931752978433E-2</v>
      </c>
      <c r="DW23" s="278">
        <v>-6.8847105937811532E-3</v>
      </c>
      <c r="DX23" s="276">
        <v>-1.5004026296303949E-2</v>
      </c>
      <c r="DY23" s="309">
        <v>-1.3729051058720113E-2</v>
      </c>
      <c r="DZ23" s="276">
        <v>-9.2034457559882245E-3</v>
      </c>
      <c r="EA23" s="276">
        <v>-6.8540063669873096E-3</v>
      </c>
      <c r="EB23" s="276">
        <v>-5.6479325772262829E-3</v>
      </c>
      <c r="EC23" s="276">
        <v>-6.3655832694437479E-3</v>
      </c>
      <c r="ED23" s="276">
        <v>-1.1908987066602289E-2</v>
      </c>
      <c r="EE23" s="313">
        <v>-2.6001133150269705E-3</v>
      </c>
      <c r="EF23" s="212"/>
      <c r="EG23" s="312">
        <v>-0.32755222847062865</v>
      </c>
      <c r="EH23" s="274">
        <v>6.9300866180603993E-2</v>
      </c>
      <c r="EI23" s="278">
        <v>-2.8618475931093634E-2</v>
      </c>
      <c r="EJ23" s="278">
        <v>-0.13489615721049397</v>
      </c>
      <c r="EK23" s="276">
        <v>-2.3891516473315531E-2</v>
      </c>
      <c r="EL23" s="309">
        <v>-0.42011218520525423</v>
      </c>
      <c r="EM23" s="276">
        <v>-0.40270646925785819</v>
      </c>
      <c r="EN23" s="276">
        <v>-0.50672798780781725</v>
      </c>
      <c r="EO23" s="276">
        <v>-0.23817045267330761</v>
      </c>
      <c r="EP23" s="276">
        <v>-0.63011413015062567</v>
      </c>
      <c r="EQ23" s="276">
        <v>-8.3476401612814111E-2</v>
      </c>
      <c r="ER23" s="313">
        <v>-0.3196701495645527</v>
      </c>
      <c r="ES23" s="283"/>
      <c r="ET23" s="312">
        <v>3.7219599999999992E-2</v>
      </c>
      <c r="EU23" s="274">
        <v>1.0146384489613419E-2</v>
      </c>
      <c r="EV23" s="274">
        <v>2.345727584076953E-5</v>
      </c>
      <c r="EW23" s="278">
        <v>1.6609993004458338E-3</v>
      </c>
      <c r="EX23" s="276">
        <v>6.0775975758746593E-3</v>
      </c>
      <c r="EY23" s="309">
        <v>-2.7705348019477971E-7</v>
      </c>
      <c r="EZ23" s="276">
        <v>2.4442974541117476E-3</v>
      </c>
      <c r="FA23" s="276">
        <v>-1.5141426716624514E-2</v>
      </c>
      <c r="FB23" s="276">
        <v>1.3345682854658781E-3</v>
      </c>
      <c r="FC23" s="276">
        <v>2.8389331087326578E-4</v>
      </c>
      <c r="FD23" s="276">
        <v>3.1771046672184871E-3</v>
      </c>
      <c r="FE23" s="313">
        <v>2.5695611510445486E-3</v>
      </c>
      <c r="FF23" s="212"/>
      <c r="FG23" s="312">
        <v>0</v>
      </c>
      <c r="FH23" s="274">
        <v>-0.32353527409859328</v>
      </c>
      <c r="FI23" s="278">
        <v>-8.0644925429459155E-2</v>
      </c>
      <c r="FJ23" s="278">
        <v>2.6091261371935851E-2</v>
      </c>
      <c r="FK23" s="276">
        <v>2.2393514948796323E-2</v>
      </c>
      <c r="FL23" s="309">
        <v>-5.6313491655689274E-3</v>
      </c>
      <c r="FM23" s="276">
        <v>-0.12708121910871717</v>
      </c>
      <c r="FN23" s="276">
        <v>9.3408844432319185E-2</v>
      </c>
      <c r="FO23" s="276">
        <v>-0.36188587909885372</v>
      </c>
      <c r="FP23" s="276">
        <v>-0.35016610930949726</v>
      </c>
      <c r="FQ23" s="276">
        <v>1.3001413159782128E-2</v>
      </c>
      <c r="FR23" s="313">
        <v>-4.4461133417344291E-2</v>
      </c>
      <c r="FS23" s="283"/>
      <c r="FT23" s="286">
        <v>144.38900000000001</v>
      </c>
      <c r="FU23" s="260">
        <v>360.00000000000006</v>
      </c>
      <c r="FV23" s="260">
        <v>228.24</v>
      </c>
      <c r="FW23" s="260">
        <v>-215.61100000000005</v>
      </c>
      <c r="FX23" s="287">
        <v>-0.59891944444444445</v>
      </c>
      <c r="FY23" s="327">
        <v>1.94795992</v>
      </c>
      <c r="FZ23" s="275">
        <v>5.0868865862306487</v>
      </c>
      <c r="GA23" s="275">
        <v>3.0366750159748164</v>
      </c>
      <c r="GB23" s="275">
        <v>-3.138926666230649</v>
      </c>
      <c r="GC23" s="275">
        <v>-3.0466352881771575</v>
      </c>
      <c r="GD23" s="275">
        <v>-9.2291378053492246E-2</v>
      </c>
      <c r="GE23" s="275">
        <v>-1.1385108557152004</v>
      </c>
      <c r="GF23" s="277">
        <v>4.9795759740383895E-2</v>
      </c>
      <c r="GG23" s="214">
        <v>0</v>
      </c>
      <c r="GH23" s="286">
        <v>5.6349999999999998</v>
      </c>
      <c r="GI23" s="260">
        <v>28.258121607378602</v>
      </c>
      <c r="GJ23" s="260">
        <v>9</v>
      </c>
      <c r="GK23" s="260">
        <v>-22.6231216073786</v>
      </c>
      <c r="GL23" s="291">
        <v>-0.80058830242528856</v>
      </c>
      <c r="GM23" s="275">
        <v>7.7023791999999994E-2</v>
      </c>
      <c r="GN23" s="275">
        <v>0.39929405487957964</v>
      </c>
      <c r="GO23" s="275">
        <v>0.11891536426629974</v>
      </c>
      <c r="GP23" s="275">
        <v>-0.32227026287957966</v>
      </c>
      <c r="GQ23" s="275">
        <v>-0.3196701495645527</v>
      </c>
      <c r="GR23" s="277">
        <v>-2.6001133150269705E-3</v>
      </c>
      <c r="GS23" s="275">
        <v>-4.4461133417344291E-2</v>
      </c>
      <c r="GT23" s="284">
        <v>2.5695611510445486E-3</v>
      </c>
      <c r="GU23" s="292">
        <v>-4.8951144315859847E-2</v>
      </c>
      <c r="GV23" s="214">
        <v>0</v>
      </c>
      <c r="GW23" s="293">
        <v>0.12177233483445596</v>
      </c>
      <c r="GX23" s="294"/>
      <c r="GY23" s="293">
        <v>-1.0887150959748164</v>
      </c>
      <c r="GZ23" s="293">
        <v>0</v>
      </c>
      <c r="HA23" s="293">
        <v>-4.1891572266299748E-2</v>
      </c>
      <c r="HB23" s="293">
        <v>2.5695611510445429E-3</v>
      </c>
      <c r="HC23" s="295">
        <v>0.12597493631585982</v>
      </c>
    </row>
    <row r="24" spans="1:211" ht="12.75" customHeight="1">
      <c r="A24" s="213"/>
      <c r="B24" s="296" t="s">
        <v>166</v>
      </c>
      <c r="C24" s="297" t="s">
        <v>159</v>
      </c>
      <c r="D24" s="298" t="s">
        <v>136</v>
      </c>
      <c r="E24" s="299" t="s">
        <v>164</v>
      </c>
      <c r="F24" s="300" t="s">
        <v>144</v>
      </c>
      <c r="G24" s="318">
        <v>22.968000000000004</v>
      </c>
      <c r="H24" s="318">
        <v>0</v>
      </c>
      <c r="I24" s="319">
        <v>11.388</v>
      </c>
      <c r="J24" s="320">
        <v>2.4E-2</v>
      </c>
      <c r="K24" s="320">
        <v>0</v>
      </c>
      <c r="L24" s="261">
        <v>0</v>
      </c>
      <c r="M24" s="330">
        <v>0</v>
      </c>
      <c r="N24" s="261">
        <v>0</v>
      </c>
      <c r="O24" s="261">
        <v>0</v>
      </c>
      <c r="P24" s="261">
        <v>0</v>
      </c>
      <c r="Q24" s="261">
        <v>0</v>
      </c>
      <c r="R24" s="303">
        <v>0</v>
      </c>
      <c r="S24" s="261">
        <f t="shared" si="3"/>
        <v>0</v>
      </c>
      <c r="T24" s="270">
        <v>27.795161413416793</v>
      </c>
      <c r="U24" s="304">
        <v>25.934900404487529</v>
      </c>
      <c r="V24" s="258">
        <v>54.468442341448501</v>
      </c>
      <c r="W24" s="259">
        <v>65.00610547202929</v>
      </c>
      <c r="X24" s="259">
        <v>0</v>
      </c>
      <c r="Y24" s="259">
        <v>5.2087308250019086</v>
      </c>
      <c r="Z24" s="259">
        <v>0</v>
      </c>
      <c r="AA24" s="259">
        <v>21.853773944898119</v>
      </c>
      <c r="AB24" s="259">
        <v>37.062123177898194</v>
      </c>
      <c r="AC24" s="259">
        <v>23.908646874761512</v>
      </c>
      <c r="AD24" s="259">
        <v>21.842326184843174</v>
      </c>
      <c r="AE24" s="268">
        <v>16.919789361214992</v>
      </c>
      <c r="AG24" s="270">
        <v>0</v>
      </c>
      <c r="AH24" s="304">
        <v>0</v>
      </c>
      <c r="AI24" s="258">
        <v>15.744</v>
      </c>
      <c r="AJ24" s="259">
        <v>0</v>
      </c>
      <c r="AK24" s="259">
        <v>0</v>
      </c>
      <c r="AL24" s="259">
        <v>0</v>
      </c>
      <c r="AM24" s="259">
        <v>0</v>
      </c>
      <c r="AN24" s="259">
        <v>0</v>
      </c>
      <c r="AO24" s="259">
        <v>0</v>
      </c>
      <c r="AP24" s="259">
        <v>0</v>
      </c>
      <c r="AQ24" s="259">
        <v>0</v>
      </c>
      <c r="AR24" s="268">
        <v>0</v>
      </c>
      <c r="AS24" s="269">
        <v>0</v>
      </c>
      <c r="AT24" s="321">
        <v>119066.66666666664</v>
      </c>
      <c r="AU24" s="320">
        <v>0</v>
      </c>
      <c r="AV24" s="259">
        <v>98991.666666666657</v>
      </c>
      <c r="AW24" s="320">
        <v>98991.666666666672</v>
      </c>
      <c r="AX24" s="320">
        <v>0</v>
      </c>
      <c r="AY24" s="320">
        <v>0</v>
      </c>
      <c r="AZ24" s="320">
        <v>0</v>
      </c>
      <c r="BA24" s="320">
        <v>0</v>
      </c>
      <c r="BB24" s="320">
        <v>0</v>
      </c>
      <c r="BC24" s="320">
        <v>0</v>
      </c>
      <c r="BD24" s="320">
        <v>0</v>
      </c>
      <c r="BE24" s="322">
        <v>0</v>
      </c>
      <c r="BG24" s="321">
        <v>104382.95354169086</v>
      </c>
      <c r="BH24" s="320">
        <v>104382.95354169086</v>
      </c>
      <c r="BI24" s="320">
        <v>104382.95354169086</v>
      </c>
      <c r="BJ24" s="320">
        <v>104382.95354169085</v>
      </c>
      <c r="BK24" s="320">
        <v>0</v>
      </c>
      <c r="BL24" s="320">
        <v>104382.95354169085</v>
      </c>
      <c r="BM24" s="320">
        <v>0</v>
      </c>
      <c r="BN24" s="320">
        <v>104382.95354169085</v>
      </c>
      <c r="BO24" s="320">
        <v>104382.95354169086</v>
      </c>
      <c r="BP24" s="320">
        <v>104382.95354169085</v>
      </c>
      <c r="BQ24" s="320">
        <v>104382.95354169088</v>
      </c>
      <c r="BR24" s="322">
        <v>104382.95354169085</v>
      </c>
      <c r="BT24" s="270">
        <v>0</v>
      </c>
      <c r="BU24" s="323">
        <v>0</v>
      </c>
      <c r="BV24" s="323">
        <v>103532.47994126422</v>
      </c>
      <c r="BW24" s="323">
        <v>0</v>
      </c>
      <c r="BX24" s="323">
        <v>0</v>
      </c>
      <c r="BY24" s="323">
        <v>0</v>
      </c>
      <c r="BZ24" s="323">
        <v>0</v>
      </c>
      <c r="CA24" s="323">
        <v>0</v>
      </c>
      <c r="CB24" s="323">
        <v>0</v>
      </c>
      <c r="CC24" s="323">
        <v>0</v>
      </c>
      <c r="CD24" s="323">
        <v>0</v>
      </c>
      <c r="CE24" s="324">
        <v>0</v>
      </c>
      <c r="CF24" s="212"/>
      <c r="CG24" s="273">
        <v>0.27347231999999999</v>
      </c>
      <c r="CH24" s="329">
        <v>0</v>
      </c>
      <c r="CI24" s="325">
        <v>0.11273170999999998</v>
      </c>
      <c r="CJ24" s="325">
        <v>2.3758000000000001E-4</v>
      </c>
      <c r="CK24" s="325">
        <v>0</v>
      </c>
      <c r="CL24" s="276">
        <v>0</v>
      </c>
      <c r="CM24" s="276">
        <v>0</v>
      </c>
      <c r="CN24" s="331">
        <v>0</v>
      </c>
      <c r="CO24" s="276">
        <v>0</v>
      </c>
      <c r="CP24" s="276">
        <v>0</v>
      </c>
      <c r="CQ24" s="276">
        <v>0</v>
      </c>
      <c r="CR24" s="313">
        <v>0</v>
      </c>
      <c r="CS24" s="212"/>
      <c r="CT24" s="273">
        <v>0.29013410425004837</v>
      </c>
      <c r="CU24" s="278">
        <v>0.27071615040300012</v>
      </c>
      <c r="CV24" s="278">
        <v>0.56855768864156864</v>
      </c>
      <c r="CW24" s="278">
        <v>0.6785529287413089</v>
      </c>
      <c r="CX24" s="278">
        <v>0</v>
      </c>
      <c r="CY24" s="278">
        <v>5.437027077173473E-2</v>
      </c>
      <c r="CZ24" s="278">
        <v>0</v>
      </c>
      <c r="DA24" s="278">
        <v>0.22811614704009145</v>
      </c>
      <c r="DB24" s="278">
        <v>0.38686538818349714</v>
      </c>
      <c r="DC24" s="278">
        <v>0.24956551759729231</v>
      </c>
      <c r="DD24" s="278">
        <v>0.22799665193949431</v>
      </c>
      <c r="DE24" s="278">
        <v>0.17661375868268997</v>
      </c>
      <c r="DF24" s="390">
        <f t="shared" si="4"/>
        <v>0.65417592821947657</v>
      </c>
      <c r="DG24" s="273">
        <v>0</v>
      </c>
      <c r="DH24" s="311">
        <v>0</v>
      </c>
      <c r="DI24" s="309">
        <v>0.16300153641952636</v>
      </c>
      <c r="DJ24" s="278">
        <v>0</v>
      </c>
      <c r="DK24" s="278">
        <v>0</v>
      </c>
      <c r="DL24" s="278">
        <v>0</v>
      </c>
      <c r="DM24" s="278">
        <v>0</v>
      </c>
      <c r="DN24" s="278">
        <v>0</v>
      </c>
      <c r="DO24" s="278">
        <v>0</v>
      </c>
      <c r="DP24" s="278">
        <v>0</v>
      </c>
      <c r="DQ24" s="278">
        <v>0</v>
      </c>
      <c r="DR24" s="282">
        <v>0</v>
      </c>
      <c r="DS24" s="283"/>
      <c r="DT24" s="312">
        <v>3.3725552305444377E-2</v>
      </c>
      <c r="DU24" s="274">
        <v>0</v>
      </c>
      <c r="DV24" s="274">
        <v>-6.1395974932775647E-3</v>
      </c>
      <c r="DW24" s="278">
        <v>-1.2939088500058023E-5</v>
      </c>
      <c r="DX24" s="276">
        <v>0</v>
      </c>
      <c r="DY24" s="309">
        <v>0</v>
      </c>
      <c r="DZ24" s="276">
        <v>0</v>
      </c>
      <c r="EA24" s="276">
        <v>0</v>
      </c>
      <c r="EB24" s="276">
        <v>0</v>
      </c>
      <c r="EC24" s="276">
        <v>0</v>
      </c>
      <c r="ED24" s="276">
        <v>0</v>
      </c>
      <c r="EE24" s="313">
        <v>0</v>
      </c>
      <c r="EF24" s="212"/>
      <c r="EG24" s="312">
        <v>-5.0387336555492747E-2</v>
      </c>
      <c r="EH24" s="274">
        <v>-0.27071615040300012</v>
      </c>
      <c r="EI24" s="278">
        <v>-0.44968638114829113</v>
      </c>
      <c r="EJ24" s="278">
        <v>-0.67830240965280875</v>
      </c>
      <c r="EK24" s="276">
        <v>0</v>
      </c>
      <c r="EL24" s="309">
        <v>-5.437027077173473E-2</v>
      </c>
      <c r="EM24" s="276">
        <v>0</v>
      </c>
      <c r="EN24" s="276">
        <v>-0.22811614704009142</v>
      </c>
      <c r="EO24" s="276">
        <v>-0.38686538818349714</v>
      </c>
      <c r="EP24" s="276">
        <v>-0.24956551759729231</v>
      </c>
      <c r="EQ24" s="276">
        <v>-0.22799665193949431</v>
      </c>
      <c r="ER24" s="313">
        <v>-0.17661375868268994</v>
      </c>
      <c r="ES24" s="283"/>
      <c r="ET24" s="312">
        <v>0.27347231999999999</v>
      </c>
      <c r="EU24" s="274">
        <v>0</v>
      </c>
      <c r="EV24" s="274">
        <v>-5.1710781571117012E-3</v>
      </c>
      <c r="EW24" s="278">
        <v>2.3758000000000001E-4</v>
      </c>
      <c r="EX24" s="276">
        <v>0</v>
      </c>
      <c r="EY24" s="309">
        <v>0</v>
      </c>
      <c r="EZ24" s="276">
        <v>0</v>
      </c>
      <c r="FA24" s="276">
        <v>0</v>
      </c>
      <c r="FB24" s="276">
        <v>0</v>
      </c>
      <c r="FC24" s="276">
        <v>0</v>
      </c>
      <c r="FD24" s="276">
        <v>0</v>
      </c>
      <c r="FE24" s="313">
        <v>0</v>
      </c>
      <c r="FF24" s="212"/>
      <c r="FG24" s="312">
        <v>0</v>
      </c>
      <c r="FH24" s="274">
        <v>0</v>
      </c>
      <c r="FI24" s="278">
        <v>-4.5098748262414688E-2</v>
      </c>
      <c r="FJ24" s="278">
        <v>0</v>
      </c>
      <c r="FK24" s="276">
        <v>0</v>
      </c>
      <c r="FL24" s="309">
        <v>0</v>
      </c>
      <c r="FM24" s="276">
        <v>0</v>
      </c>
      <c r="FN24" s="276">
        <v>0</v>
      </c>
      <c r="FO24" s="276">
        <v>0</v>
      </c>
      <c r="FP24" s="276">
        <v>0</v>
      </c>
      <c r="FQ24" s="276">
        <v>0</v>
      </c>
      <c r="FR24" s="313">
        <v>0</v>
      </c>
      <c r="FS24" s="283"/>
      <c r="FT24" s="286">
        <v>34.380000000000003</v>
      </c>
      <c r="FU24" s="260">
        <v>300</v>
      </c>
      <c r="FV24" s="260">
        <v>15.744</v>
      </c>
      <c r="FW24" s="260">
        <v>-265.62</v>
      </c>
      <c r="FX24" s="287">
        <v>-0.88539999999999996</v>
      </c>
      <c r="FY24" s="327">
        <v>0.38644160999999999</v>
      </c>
      <c r="FZ24" s="275">
        <v>3.1314886062507266</v>
      </c>
      <c r="GA24" s="275">
        <v>0.16300153641952636</v>
      </c>
      <c r="GB24" s="275">
        <v>-2.7450469962507267</v>
      </c>
      <c r="GC24" s="275">
        <v>-2.7726200119743929</v>
      </c>
      <c r="GD24" s="275">
        <v>2.7573015723666754E-2</v>
      </c>
      <c r="GE24" s="275">
        <v>-4.5098748262414688E-2</v>
      </c>
      <c r="GF24" s="277">
        <v>0.2685388218428883</v>
      </c>
      <c r="GG24" s="214">
        <v>0</v>
      </c>
      <c r="GH24" s="286">
        <v>0</v>
      </c>
      <c r="GI24" s="260">
        <v>16.919789361214992</v>
      </c>
      <c r="GJ24" s="260">
        <v>0</v>
      </c>
      <c r="GK24" s="260">
        <v>-16.919789361214992</v>
      </c>
      <c r="GL24" s="291">
        <v>-1</v>
      </c>
      <c r="GM24" s="275">
        <v>0</v>
      </c>
      <c r="GN24" s="275">
        <v>0.17661375868268997</v>
      </c>
      <c r="GO24" s="275">
        <v>0</v>
      </c>
      <c r="GP24" s="275">
        <v>-0.17661375868268997</v>
      </c>
      <c r="GQ24" s="275">
        <v>-0.17661375868268994</v>
      </c>
      <c r="GR24" s="277">
        <v>0</v>
      </c>
      <c r="GS24" s="275">
        <v>0</v>
      </c>
      <c r="GT24" s="284">
        <v>0</v>
      </c>
      <c r="GU24" s="292">
        <v>0</v>
      </c>
      <c r="GV24" s="214">
        <v>0</v>
      </c>
      <c r="GW24" s="293">
        <v>0</v>
      </c>
      <c r="GX24" s="294"/>
      <c r="GY24" s="293">
        <v>0.22344007358047363</v>
      </c>
      <c r="GZ24" s="293">
        <v>0</v>
      </c>
      <c r="HA24" s="293">
        <v>0</v>
      </c>
      <c r="HB24" s="293">
        <v>0</v>
      </c>
      <c r="HC24" s="295">
        <v>0</v>
      </c>
    </row>
    <row r="25" spans="1:211" ht="12.75" customHeight="1">
      <c r="A25" s="213"/>
      <c r="B25" s="296" t="s">
        <v>167</v>
      </c>
      <c r="C25" s="297" t="s">
        <v>159</v>
      </c>
      <c r="D25" s="298" t="s">
        <v>136</v>
      </c>
      <c r="E25" s="299" t="s">
        <v>164</v>
      </c>
      <c r="F25" s="300" t="s">
        <v>168</v>
      </c>
      <c r="G25" s="318">
        <v>167.30299999999997</v>
      </c>
      <c r="H25" s="318">
        <v>200.07399999999998</v>
      </c>
      <c r="I25" s="319">
        <v>265.40399999999994</v>
      </c>
      <c r="J25" s="320">
        <v>157.59599999999998</v>
      </c>
      <c r="K25" s="320">
        <v>4.6079999999999997</v>
      </c>
      <c r="L25" s="261">
        <v>81.589999999999975</v>
      </c>
      <c r="M25" s="330">
        <v>191.00300000000004</v>
      </c>
      <c r="N25" s="261">
        <v>183.12100000000009</v>
      </c>
      <c r="O25" s="261">
        <v>150.14500000000004</v>
      </c>
      <c r="P25" s="261">
        <v>81.206999999999994</v>
      </c>
      <c r="Q25" s="261">
        <v>181.50900000000007</v>
      </c>
      <c r="R25" s="303">
        <v>241.66800000000012</v>
      </c>
      <c r="S25" s="261">
        <f t="shared" si="3"/>
        <v>504.38400000000019</v>
      </c>
      <c r="T25" s="270">
        <v>161.89430734339257</v>
      </c>
      <c r="U25" s="304">
        <v>209.92239263486016</v>
      </c>
      <c r="V25" s="258">
        <v>85.618880937833353</v>
      </c>
      <c r="W25" s="259">
        <v>235.49777865227881</v>
      </c>
      <c r="X25" s="259">
        <v>210.47713927694875</v>
      </c>
      <c r="Y25" s="259">
        <v>183.80903658751291</v>
      </c>
      <c r="Z25" s="259">
        <v>171.50059546617234</v>
      </c>
      <c r="AA25" s="259">
        <v>215.22156519577888</v>
      </c>
      <c r="AB25" s="259">
        <v>142.53745223325708</v>
      </c>
      <c r="AC25" s="259">
        <v>180.99839483031803</v>
      </c>
      <c r="AD25" s="259">
        <v>105.91298944730386</v>
      </c>
      <c r="AE25" s="268">
        <v>256.60946739434348</v>
      </c>
      <c r="AG25" s="270">
        <v>0</v>
      </c>
      <c r="AH25" s="304">
        <v>254.87</v>
      </c>
      <c r="AI25" s="258">
        <v>300</v>
      </c>
      <c r="AJ25" s="259">
        <v>134.81</v>
      </c>
      <c r="AK25" s="259">
        <v>4.6100000000000003</v>
      </c>
      <c r="AL25" s="259">
        <v>70</v>
      </c>
      <c r="AM25" s="259">
        <v>148</v>
      </c>
      <c r="AN25" s="259">
        <v>108</v>
      </c>
      <c r="AO25" s="259">
        <v>117</v>
      </c>
      <c r="AP25" s="259">
        <v>151.63999999999999</v>
      </c>
      <c r="AQ25" s="259">
        <v>183.15</v>
      </c>
      <c r="AR25" s="268">
        <v>180</v>
      </c>
      <c r="AS25" s="269">
        <v>4.5404303757919991E-2</v>
      </c>
      <c r="AT25" s="321">
        <v>81818.8242888651</v>
      </c>
      <c r="AU25" s="320">
        <v>80174.71755450475</v>
      </c>
      <c r="AV25" s="259">
        <v>77490.965923648517</v>
      </c>
      <c r="AW25" s="320">
        <v>77490.486560572652</v>
      </c>
      <c r="AX25" s="320">
        <v>77491.666666666686</v>
      </c>
      <c r="AY25" s="320">
        <v>80154.559627405339</v>
      </c>
      <c r="AZ25" s="320">
        <v>81282.275775773203</v>
      </c>
      <c r="BA25" s="320">
        <v>105372.82845768637</v>
      </c>
      <c r="BB25" s="320">
        <v>97834.449099204081</v>
      </c>
      <c r="BC25" s="320">
        <v>80703.57038186361</v>
      </c>
      <c r="BD25" s="320">
        <v>79388.681112231294</v>
      </c>
      <c r="BE25" s="322">
        <v>78951.814389989493</v>
      </c>
      <c r="BG25" s="321">
        <v>84220.276605544263</v>
      </c>
      <c r="BH25" s="320">
        <v>84220.276605544277</v>
      </c>
      <c r="BI25" s="320">
        <v>84220.276605544263</v>
      </c>
      <c r="BJ25" s="320">
        <v>84220.276605544263</v>
      </c>
      <c r="BK25" s="320">
        <v>84220.276605544277</v>
      </c>
      <c r="BL25" s="320">
        <v>84220.276605544277</v>
      </c>
      <c r="BM25" s="320">
        <v>84220.276605544263</v>
      </c>
      <c r="BN25" s="320">
        <v>84220.276605544263</v>
      </c>
      <c r="BO25" s="320">
        <v>84220.276605544277</v>
      </c>
      <c r="BP25" s="320">
        <v>84220.276605544263</v>
      </c>
      <c r="BQ25" s="320">
        <v>84220.276605544263</v>
      </c>
      <c r="BR25" s="322">
        <v>84220.276605544263</v>
      </c>
      <c r="BT25" s="270">
        <v>0</v>
      </c>
      <c r="BU25" s="323">
        <v>77491.613118602443</v>
      </c>
      <c r="BV25" s="323">
        <v>77491.613118602443</v>
      </c>
      <c r="BW25" s="323">
        <v>82875.909213744468</v>
      </c>
      <c r="BX25" s="323">
        <v>80154.075975674365</v>
      </c>
      <c r="BY25" s="323">
        <v>80154.075975674365</v>
      </c>
      <c r="BZ25" s="323">
        <v>80154.075975674365</v>
      </c>
      <c r="CA25" s="323">
        <v>81915.934488377578</v>
      </c>
      <c r="CB25" s="323">
        <v>80705.354175741435</v>
      </c>
      <c r="CC25" s="323">
        <v>80705.354175741435</v>
      </c>
      <c r="CD25" s="323">
        <v>80705.35417574142</v>
      </c>
      <c r="CE25" s="324">
        <v>80705.35417574142</v>
      </c>
      <c r="CF25" s="212"/>
      <c r="CG25" s="273">
        <v>1.3688534759999993</v>
      </c>
      <c r="CH25" s="329">
        <v>1.604087643999998</v>
      </c>
      <c r="CI25" s="325">
        <v>2.0566412320000005</v>
      </c>
      <c r="CJ25" s="325">
        <v>1.2212190720000005</v>
      </c>
      <c r="CK25" s="325">
        <v>3.5708160000000003E-2</v>
      </c>
      <c r="CL25" s="276">
        <v>0.65398105200000001</v>
      </c>
      <c r="CM25" s="276">
        <v>1.5525158520000013</v>
      </c>
      <c r="CN25" s="331">
        <v>1.9295977719999995</v>
      </c>
      <c r="CO25" s="276">
        <v>1.4689353360000001</v>
      </c>
      <c r="CP25" s="276">
        <v>0.65536948399999972</v>
      </c>
      <c r="CQ25" s="276">
        <v>1.4409760119999995</v>
      </c>
      <c r="CR25" s="313">
        <v>1.9080127079999989</v>
      </c>
      <c r="CS25" s="212"/>
      <c r="CT25" s="273">
        <v>1.3634783345323518</v>
      </c>
      <c r="CU25" s="278">
        <v>1.7679721973405591</v>
      </c>
      <c r="CV25" s="278">
        <v>0.72108458352414861</v>
      </c>
      <c r="CW25" s="278">
        <v>1.9833688058086156</v>
      </c>
      <c r="CX25" s="278">
        <v>1.7726442889048291</v>
      </c>
      <c r="CY25" s="278">
        <v>1.5480447903998944</v>
      </c>
      <c r="CZ25" s="278">
        <v>1.4443827588176585</v>
      </c>
      <c r="DA25" s="278">
        <v>1.8126019752266675</v>
      </c>
      <c r="DB25" s="278">
        <v>1.2004543653734465</v>
      </c>
      <c r="DC25" s="278">
        <v>1.5243734877768897</v>
      </c>
      <c r="DD25" s="278">
        <v>0.89200212673720214</v>
      </c>
      <c r="DE25" s="278">
        <v>2.1611720323552999</v>
      </c>
      <c r="DF25" s="390">
        <f t="shared" si="4"/>
        <v>4.5775476468693919</v>
      </c>
      <c r="DG25" s="273">
        <v>0</v>
      </c>
      <c r="DH25" s="311">
        <v>1.9750287435538205</v>
      </c>
      <c r="DI25" s="309">
        <v>2.3247483935580733</v>
      </c>
      <c r="DJ25" s="278">
        <v>1.1172501321104891</v>
      </c>
      <c r="DK25" s="278">
        <v>3.6951029024785885E-2</v>
      </c>
      <c r="DL25" s="278">
        <v>0.56107853182972056</v>
      </c>
      <c r="DM25" s="278">
        <v>1.1862803244399807</v>
      </c>
      <c r="DN25" s="278">
        <v>0.88469209247447778</v>
      </c>
      <c r="DO25" s="278">
        <v>0.94425264385617491</v>
      </c>
      <c r="DP25" s="278">
        <v>1.2238159907209429</v>
      </c>
      <c r="DQ25" s="278">
        <v>1.4781185617287043</v>
      </c>
      <c r="DR25" s="282">
        <v>1.4526963751633457</v>
      </c>
      <c r="DS25" s="283"/>
      <c r="DT25" s="312">
        <v>-4.0177017693737382E-2</v>
      </c>
      <c r="DU25" s="274">
        <v>-8.0941118157768221E-2</v>
      </c>
      <c r="DV25" s="274">
        <v>-0.17859859722178581</v>
      </c>
      <c r="DW25" s="278">
        <v>-0.10605879919273457</v>
      </c>
      <c r="DX25" s="276">
        <v>-3.1005434598347938E-3</v>
      </c>
      <c r="DY25" s="309">
        <v>-3.3172184824635589E-2</v>
      </c>
      <c r="DZ25" s="276">
        <v>-5.6116697248876177E-2</v>
      </c>
      <c r="EA25" s="276">
        <v>0.3873476447716116</v>
      </c>
      <c r="EB25" s="276">
        <v>0.20440999290605519</v>
      </c>
      <c r="EC25" s="276">
        <v>-2.8558116230643471E-2</v>
      </c>
      <c r="ED25" s="276">
        <v>-8.7697806639574397E-2</v>
      </c>
      <c r="EE25" s="313">
        <v>-0.12732187267086906</v>
      </c>
      <c r="EF25" s="212"/>
      <c r="EG25" s="312">
        <v>4.5552159161385122E-2</v>
      </c>
      <c r="EH25" s="274">
        <v>-8.2943435182792902E-2</v>
      </c>
      <c r="EI25" s="278">
        <v>1.5141552456976379</v>
      </c>
      <c r="EJ25" s="278">
        <v>-0.65609093461588064</v>
      </c>
      <c r="EK25" s="276">
        <v>-1.7338355854449943</v>
      </c>
      <c r="EL25" s="309">
        <v>-0.86089155357525904</v>
      </c>
      <c r="EM25" s="276">
        <v>0.16424979043121896</v>
      </c>
      <c r="EN25" s="276">
        <v>-0.27035184799827966</v>
      </c>
      <c r="EO25" s="276">
        <v>6.4070977720498218E-2</v>
      </c>
      <c r="EP25" s="276">
        <v>-0.8404458875462465</v>
      </c>
      <c r="EQ25" s="276">
        <v>0.63667169190237183</v>
      </c>
      <c r="ER25" s="313">
        <v>-0.12583745168443186</v>
      </c>
      <c r="ES25" s="283"/>
      <c r="ET25" s="312">
        <v>1.3688534759999995</v>
      </c>
      <c r="EU25" s="274">
        <v>5.3681943690871821E-2</v>
      </c>
      <c r="EV25" s="274">
        <v>-1.7176812955187512E-5</v>
      </c>
      <c r="EW25" s="278">
        <v>-8.4872106844926534E-2</v>
      </c>
      <c r="EX25" s="276">
        <v>-1.2268382095907383E-3</v>
      </c>
      <c r="EY25" s="309">
        <v>3.9461144730175858E-6</v>
      </c>
      <c r="EZ25" s="276">
        <v>2.1548954641827853E-2</v>
      </c>
      <c r="FA25" s="276">
        <v>0.42954498805537966</v>
      </c>
      <c r="FB25" s="276">
        <v>0.25718479572832992</v>
      </c>
      <c r="FC25" s="276">
        <v>-1.4485654943651783E-5</v>
      </c>
      <c r="FD25" s="276">
        <v>-2.3898801108465966E-2</v>
      </c>
      <c r="FE25" s="313">
        <v>-4.2377445294309701E-2</v>
      </c>
      <c r="FF25" s="212"/>
      <c r="FG25" s="312">
        <v>0</v>
      </c>
      <c r="FH25" s="274">
        <v>-0.42462304324469408</v>
      </c>
      <c r="FI25" s="278">
        <v>-0.26808998474511747</v>
      </c>
      <c r="FJ25" s="278">
        <v>0.18884104673443794</v>
      </c>
      <c r="FK25" s="276">
        <v>-1.6030815195140226E-5</v>
      </c>
      <c r="FL25" s="309">
        <v>9.2898574055806385E-2</v>
      </c>
      <c r="FM25" s="276">
        <v>0.34468657291819282</v>
      </c>
      <c r="FN25" s="276">
        <v>0.61536069147014194</v>
      </c>
      <c r="FO25" s="276">
        <v>0.26749789641549532</v>
      </c>
      <c r="FP25" s="276">
        <v>-0.56843202106599955</v>
      </c>
      <c r="FQ25" s="276">
        <v>-1.3243748620238636E-2</v>
      </c>
      <c r="FR25" s="313">
        <v>0.49769377813096316</v>
      </c>
      <c r="FS25" s="283"/>
      <c r="FT25" s="286">
        <v>1905.2280000000001</v>
      </c>
      <c r="FU25" s="260">
        <v>2160</v>
      </c>
      <c r="FV25" s="260">
        <v>1652.08</v>
      </c>
      <c r="FW25" s="260">
        <v>-254.77199999999993</v>
      </c>
      <c r="FX25" s="287">
        <v>-0.11794999999999997</v>
      </c>
      <c r="FY25" s="327">
        <v>15.895897799999997</v>
      </c>
      <c r="FZ25" s="275">
        <v>18.191579746797562</v>
      </c>
      <c r="GA25" s="275">
        <v>13.184912818460516</v>
      </c>
      <c r="GB25" s="275">
        <v>-2.2956819467975649</v>
      </c>
      <c r="GC25" s="275">
        <v>-2.1456968311347726</v>
      </c>
      <c r="GD25" s="275">
        <v>-0.14998511566279266</v>
      </c>
      <c r="GE25" s="275">
        <v>0.73257373123379255</v>
      </c>
      <c r="GF25" s="277">
        <v>1.9784112503056901</v>
      </c>
      <c r="GG25" s="214">
        <v>0</v>
      </c>
      <c r="GH25" s="286">
        <v>241.66800000000012</v>
      </c>
      <c r="GI25" s="260">
        <v>256.60946739434348</v>
      </c>
      <c r="GJ25" s="260">
        <v>180</v>
      </c>
      <c r="GK25" s="260">
        <v>-14.941467394343363</v>
      </c>
      <c r="GL25" s="291">
        <v>-5.822648535169643E-2</v>
      </c>
      <c r="GM25" s="275">
        <v>1.9080127079999989</v>
      </c>
      <c r="GN25" s="275">
        <v>2.1611720323552999</v>
      </c>
      <c r="GO25" s="275">
        <v>1.4526963751633457</v>
      </c>
      <c r="GP25" s="275">
        <v>-0.25315932435530097</v>
      </c>
      <c r="GQ25" s="275">
        <v>-0.12583745168443186</v>
      </c>
      <c r="GR25" s="277">
        <v>-0.12732187267086906</v>
      </c>
      <c r="GS25" s="275">
        <v>0.49769377813096316</v>
      </c>
      <c r="GT25" s="284">
        <v>-4.2377445294309701E-2</v>
      </c>
      <c r="GU25" s="292">
        <v>0.4527369909715282</v>
      </c>
      <c r="GV25" s="214">
        <v>0</v>
      </c>
      <c r="GW25" s="293">
        <v>1.487597759134341</v>
      </c>
      <c r="GX25" s="294"/>
      <c r="GY25" s="293">
        <v>2.7109849815394806</v>
      </c>
      <c r="GZ25" s="293">
        <v>0</v>
      </c>
      <c r="HA25" s="293">
        <v>0.45531633283665318</v>
      </c>
      <c r="HB25" s="293">
        <v>-4.2377445294309979E-2</v>
      </c>
      <c r="HC25" s="295">
        <v>1.4552757170284709</v>
      </c>
    </row>
    <row r="26" spans="1:211" ht="14.25" customHeight="1">
      <c r="A26" s="213"/>
      <c r="B26" s="296" t="s">
        <v>169</v>
      </c>
      <c r="C26" s="297" t="s">
        <v>159</v>
      </c>
      <c r="D26" s="298" t="s">
        <v>136</v>
      </c>
      <c r="E26" s="299" t="s">
        <v>164</v>
      </c>
      <c r="F26" s="300" t="s">
        <v>170</v>
      </c>
      <c r="G26" s="318">
        <v>86.913000000000011</v>
      </c>
      <c r="H26" s="318">
        <v>70.679999999999978</v>
      </c>
      <c r="I26" s="319">
        <v>176.99800000000002</v>
      </c>
      <c r="J26" s="320">
        <v>17.192</v>
      </c>
      <c r="K26" s="320">
        <v>0</v>
      </c>
      <c r="L26" s="261">
        <v>41.251000000000012</v>
      </c>
      <c r="M26" s="330">
        <v>105.18599999999995</v>
      </c>
      <c r="N26" s="261">
        <v>97.253999999999976</v>
      </c>
      <c r="O26" s="261">
        <v>26.258000000000003</v>
      </c>
      <c r="P26" s="261">
        <v>58.496999999999993</v>
      </c>
      <c r="Q26" s="261">
        <v>47.855999999999995</v>
      </c>
      <c r="R26" s="303">
        <v>94.741000000000028</v>
      </c>
      <c r="S26" s="261">
        <f t="shared" si="3"/>
        <v>201.09399999999999</v>
      </c>
      <c r="T26" s="270">
        <v>47.052294557097134</v>
      </c>
      <c r="U26" s="304">
        <v>124.63895699327925</v>
      </c>
      <c r="V26" s="258">
        <v>121.28714413452938</v>
      </c>
      <c r="W26" s="259">
        <v>117.98736623496492</v>
      </c>
      <c r="X26" s="259">
        <v>139.55649139000266</v>
      </c>
      <c r="Y26" s="259">
        <v>158.96045458478753</v>
      </c>
      <c r="Z26" s="259">
        <v>66.012056880786886</v>
      </c>
      <c r="AA26" s="259">
        <v>151.54103089215147</v>
      </c>
      <c r="AB26" s="259">
        <v>31.215898929879721</v>
      </c>
      <c r="AC26" s="259">
        <v>200.5846144971012</v>
      </c>
      <c r="AD26" s="259">
        <v>6.7734287115290313</v>
      </c>
      <c r="AE26" s="268">
        <v>154.39026219389081</v>
      </c>
      <c r="AG26" s="270">
        <v>0</v>
      </c>
      <c r="AH26" s="304">
        <v>60.16</v>
      </c>
      <c r="AI26" s="258">
        <v>155</v>
      </c>
      <c r="AJ26" s="259">
        <v>19</v>
      </c>
      <c r="AK26" s="259">
        <v>0</v>
      </c>
      <c r="AL26" s="259">
        <v>30</v>
      </c>
      <c r="AM26" s="259">
        <v>104.88</v>
      </c>
      <c r="AN26" s="259">
        <v>72</v>
      </c>
      <c r="AO26" s="259">
        <v>60</v>
      </c>
      <c r="AP26" s="259">
        <v>80.56</v>
      </c>
      <c r="AQ26" s="259">
        <v>97.8</v>
      </c>
      <c r="AR26" s="268">
        <v>105</v>
      </c>
      <c r="AS26" s="269">
        <v>2.6485843858786662E-2</v>
      </c>
      <c r="AT26" s="305">
        <v>65193.63363363361</v>
      </c>
      <c r="AU26" s="302">
        <v>64887.232880588606</v>
      </c>
      <c r="AV26" s="259">
        <v>62704.492254149751</v>
      </c>
      <c r="AW26" s="320">
        <v>62707.918799441599</v>
      </c>
      <c r="AX26" s="320">
        <v>0</v>
      </c>
      <c r="AY26" s="320">
        <v>64700.313689365081</v>
      </c>
      <c r="AZ26" s="320">
        <v>65792.367805601549</v>
      </c>
      <c r="BA26" s="320">
        <v>65937.099759392979</v>
      </c>
      <c r="BB26" s="320">
        <v>65307.525325615024</v>
      </c>
      <c r="BC26" s="320">
        <v>65307.81065695679</v>
      </c>
      <c r="BD26" s="320">
        <v>65106.211133400218</v>
      </c>
      <c r="BE26" s="322">
        <v>64332.200631194493</v>
      </c>
      <c r="BG26" s="305">
        <v>72750.325067775411</v>
      </c>
      <c r="BH26" s="302">
        <v>72750.325067775411</v>
      </c>
      <c r="BI26" s="320">
        <v>72750.325067775411</v>
      </c>
      <c r="BJ26" s="302">
        <v>72750.325067775411</v>
      </c>
      <c r="BK26" s="302">
        <v>72750.325067775411</v>
      </c>
      <c r="BL26" s="302">
        <v>72750.325067775411</v>
      </c>
      <c r="BM26" s="302">
        <v>72750.325067775411</v>
      </c>
      <c r="BN26" s="302">
        <v>72750.325067775411</v>
      </c>
      <c r="BO26" s="302">
        <v>72750.325067775411</v>
      </c>
      <c r="BP26" s="302">
        <v>72750.325067775411</v>
      </c>
      <c r="BQ26" s="302">
        <v>72750.325067775411</v>
      </c>
      <c r="BR26" s="306">
        <v>72750.325067775411</v>
      </c>
      <c r="BT26" s="270">
        <v>0</v>
      </c>
      <c r="BU26" s="307">
        <v>62702.435407256686</v>
      </c>
      <c r="BV26" s="307">
        <v>62702.435407256686</v>
      </c>
      <c r="BW26" s="307">
        <v>65880.228705341622</v>
      </c>
      <c r="BX26" s="307">
        <v>0</v>
      </c>
      <c r="BY26" s="307">
        <v>64700.415190299856</v>
      </c>
      <c r="BZ26" s="307">
        <v>64700.415190299856</v>
      </c>
      <c r="CA26" s="307">
        <v>66291.14355053856</v>
      </c>
      <c r="CB26" s="307">
        <v>65311.471478363099</v>
      </c>
      <c r="CC26" s="307">
        <v>65311.471478363099</v>
      </c>
      <c r="CD26" s="307">
        <v>65311.471478363099</v>
      </c>
      <c r="CE26" s="308">
        <v>65311.471478363099</v>
      </c>
      <c r="CF26" s="212"/>
      <c r="CG26" s="273">
        <v>0.56661742799999992</v>
      </c>
      <c r="CH26" s="329">
        <v>0.45862296200000013</v>
      </c>
      <c r="CI26" s="274">
        <v>1.1098569719999998</v>
      </c>
      <c r="CJ26" s="274">
        <v>0.107807454</v>
      </c>
      <c r="CK26" s="274">
        <v>0</v>
      </c>
      <c r="CL26" s="276">
        <v>0.26689526399999997</v>
      </c>
      <c r="CM26" s="276">
        <v>0.69204360000000009</v>
      </c>
      <c r="CN26" s="276">
        <v>0.64126467000000031</v>
      </c>
      <c r="CO26" s="276">
        <v>0.17148449999999996</v>
      </c>
      <c r="CP26" s="276">
        <v>0.38203110000000012</v>
      </c>
      <c r="CQ26" s="276">
        <v>0.31157228400000003</v>
      </c>
      <c r="CR26" s="313">
        <v>0.60948970199999997</v>
      </c>
      <c r="CS26" s="212"/>
      <c r="CT26" s="273">
        <v>0.34230697242135366</v>
      </c>
      <c r="CU26" s="278">
        <v>0.90675246373695451</v>
      </c>
      <c r="CV26" s="278">
        <v>0.88236791623291433</v>
      </c>
      <c r="CW26" s="278">
        <v>0.85836192474843676</v>
      </c>
      <c r="CX26" s="278">
        <v>1.0152780113940894</v>
      </c>
      <c r="CY26" s="278">
        <v>1.1564424743964643</v>
      </c>
      <c r="CZ26" s="278">
        <v>0.48023985964697263</v>
      </c>
      <c r="DA26" s="278">
        <v>1.1024659258509815</v>
      </c>
      <c r="DB26" s="278">
        <v>0.22709667944315723</v>
      </c>
      <c r="DC26" s="278">
        <v>1.459259590825853</v>
      </c>
      <c r="DD26" s="278">
        <v>4.9276914058714018E-2</v>
      </c>
      <c r="DE26" s="278">
        <v>1.1231941761904634</v>
      </c>
      <c r="DF26" s="390">
        <f t="shared" si="4"/>
        <v>2.6317306810750303</v>
      </c>
      <c r="DG26" s="273">
        <v>0</v>
      </c>
      <c r="DH26" s="311">
        <v>0.3772178514100562</v>
      </c>
      <c r="DI26" s="309">
        <v>0.97188774881247864</v>
      </c>
      <c r="DJ26" s="278">
        <v>0.12517243454014909</v>
      </c>
      <c r="DK26" s="278">
        <v>0</v>
      </c>
      <c r="DL26" s="278">
        <v>0.19410124557089958</v>
      </c>
      <c r="DM26" s="278">
        <v>0.67857795451586489</v>
      </c>
      <c r="DN26" s="278">
        <v>0.47729623356387763</v>
      </c>
      <c r="DO26" s="278">
        <v>0.3918688288701786</v>
      </c>
      <c r="DP26" s="278">
        <v>0.52614921422969319</v>
      </c>
      <c r="DQ26" s="278">
        <v>0.63874619105839114</v>
      </c>
      <c r="DR26" s="282">
        <v>0.6857704505228126</v>
      </c>
      <c r="DS26" s="283"/>
      <c r="DT26" s="312">
        <v>-6.5677472261556652E-2</v>
      </c>
      <c r="DU26" s="274">
        <v>-5.5576335579036316E-2</v>
      </c>
      <c r="DV26" s="274">
        <v>-0.17780923163461149</v>
      </c>
      <c r="DW26" s="278">
        <v>-1.7264904856519492E-2</v>
      </c>
      <c r="DX26" s="276">
        <v>0</v>
      </c>
      <c r="DY26" s="309">
        <v>-3.3207101937080465E-2</v>
      </c>
      <c r="DZ26" s="276">
        <v>-7.3187969257901955E-2</v>
      </c>
      <c r="EA26" s="276">
        <v>-6.6261341414142499E-2</v>
      </c>
      <c r="EB26" s="276">
        <v>-1.9543303562964746E-2</v>
      </c>
      <c r="EC26" s="276">
        <v>-4.3536476548965683E-2</v>
      </c>
      <c r="ED26" s="276">
        <v>-3.658167164434592E-2</v>
      </c>
      <c r="EE26" s="313">
        <v>-7.9754152724611296E-2</v>
      </c>
      <c r="EF26" s="212"/>
      <c r="EG26" s="312">
        <v>0.28998792784020289</v>
      </c>
      <c r="EH26" s="274">
        <v>-0.39255316615791808</v>
      </c>
      <c r="EI26" s="278">
        <v>0.4052982874016971</v>
      </c>
      <c r="EJ26" s="278">
        <v>-0.73328956589191718</v>
      </c>
      <c r="EK26" s="276">
        <v>-1.0152780113940894</v>
      </c>
      <c r="EL26" s="309">
        <v>-0.8563401084593838</v>
      </c>
      <c r="EM26" s="276">
        <v>0.28499170961092946</v>
      </c>
      <c r="EN26" s="276">
        <v>-0.39493991443683868</v>
      </c>
      <c r="EO26" s="276">
        <v>-3.6068875880192537E-2</v>
      </c>
      <c r="EP26" s="276">
        <v>-1.0336920142768871</v>
      </c>
      <c r="EQ26" s="276">
        <v>0.29887704158563194</v>
      </c>
      <c r="ER26" s="313">
        <v>-0.433950321465852</v>
      </c>
      <c r="ES26" s="283"/>
      <c r="ET26" s="312">
        <v>0.56661742799999981</v>
      </c>
      <c r="EU26" s="274">
        <v>1.544214854151001E-2</v>
      </c>
      <c r="EV26" s="274">
        <v>3.6405778637873397E-5</v>
      </c>
      <c r="EW26" s="278">
        <v>-5.4538351902233204E-3</v>
      </c>
      <c r="EX26" s="276">
        <v>0</v>
      </c>
      <c r="EY26" s="309">
        <v>-4.1870150604318202E-7</v>
      </c>
      <c r="EZ26" s="276">
        <v>1.1485812779312375E-2</v>
      </c>
      <c r="FA26" s="276">
        <v>-3.4432174864072332E-3</v>
      </c>
      <c r="FB26" s="276">
        <v>-1.0361807885893715E-5</v>
      </c>
      <c r="FC26" s="276">
        <v>-2.1414706980485573E-5</v>
      </c>
      <c r="FD26" s="276">
        <v>-9.8229390685436067E-4</v>
      </c>
      <c r="FE26" s="313">
        <v>-9.2777099331600877E-3</v>
      </c>
      <c r="FF26" s="212"/>
      <c r="FG26" s="312">
        <v>0</v>
      </c>
      <c r="FH26" s="274">
        <v>6.5962962048433924E-2</v>
      </c>
      <c r="FI26" s="278">
        <v>0.13793281740888338</v>
      </c>
      <c r="FJ26" s="278">
        <v>-1.1911145349925763E-2</v>
      </c>
      <c r="FK26" s="276">
        <v>0</v>
      </c>
      <c r="FL26" s="309">
        <v>7.2794437130606446E-2</v>
      </c>
      <c r="FM26" s="276">
        <v>1.9798327048228827E-3</v>
      </c>
      <c r="FN26" s="276">
        <v>0.16741165392252991</v>
      </c>
      <c r="FO26" s="276">
        <v>-0.22037396706229276</v>
      </c>
      <c r="FP26" s="276">
        <v>-0.14409669952271256</v>
      </c>
      <c r="FQ26" s="276">
        <v>-0.32619161315153672</v>
      </c>
      <c r="FR26" s="313">
        <v>-6.7003038589652522E-2</v>
      </c>
      <c r="FS26" s="283"/>
      <c r="FT26" s="286">
        <v>822.82600000000002</v>
      </c>
      <c r="FU26" s="260">
        <v>1319.9999999999998</v>
      </c>
      <c r="FV26" s="260">
        <v>784.39999999999986</v>
      </c>
      <c r="FW26" s="260">
        <v>-497.17399999999975</v>
      </c>
      <c r="FX26" s="287">
        <v>-0.37664696969696959</v>
      </c>
      <c r="FY26" s="327">
        <v>5.3176859360000002</v>
      </c>
      <c r="FZ26" s="275">
        <v>9.6030429089463532</v>
      </c>
      <c r="GA26" s="275">
        <v>5.066788153094401</v>
      </c>
      <c r="GB26" s="275">
        <v>-4.285356972946353</v>
      </c>
      <c r="GC26" s="275">
        <v>-3.6169570115246175</v>
      </c>
      <c r="GD26" s="275">
        <v>-0.66839996142173641</v>
      </c>
      <c r="GE26" s="275">
        <v>-0.3234947604608438</v>
      </c>
      <c r="GF26" s="277">
        <v>0.57439254336644263</v>
      </c>
      <c r="GG26" s="214">
        <v>0</v>
      </c>
      <c r="GH26" s="286">
        <v>94.741000000000028</v>
      </c>
      <c r="GI26" s="260">
        <v>154.39026219389081</v>
      </c>
      <c r="GJ26" s="260">
        <v>105</v>
      </c>
      <c r="GK26" s="260">
        <v>-59.649262193890777</v>
      </c>
      <c r="GL26" s="291">
        <v>-0.38635378518225671</v>
      </c>
      <c r="GM26" s="275">
        <v>0.60948970199999997</v>
      </c>
      <c r="GN26" s="275">
        <v>1.1231941761904634</v>
      </c>
      <c r="GO26" s="275">
        <v>0.6857704505228126</v>
      </c>
      <c r="GP26" s="275">
        <v>-0.51370447419046339</v>
      </c>
      <c r="GQ26" s="275">
        <v>-0.433950321465852</v>
      </c>
      <c r="GR26" s="277">
        <v>-7.9754152724611296E-2</v>
      </c>
      <c r="GS26" s="275">
        <v>-6.7003038589652522E-2</v>
      </c>
      <c r="GT26" s="284">
        <v>-9.2777099331600877E-3</v>
      </c>
      <c r="GU26" s="292">
        <v>-8.2227170789774595E-2</v>
      </c>
      <c r="GV26" s="214">
        <v>0</v>
      </c>
      <c r="GW26" s="293">
        <v>0.70224625249964878</v>
      </c>
      <c r="GX26" s="294"/>
      <c r="GY26" s="293">
        <v>0.25089778290559916</v>
      </c>
      <c r="GZ26" s="293">
        <v>0</v>
      </c>
      <c r="HA26" s="293">
        <v>-7.6280748522812636E-2</v>
      </c>
      <c r="HB26" s="293">
        <v>-9.2777099331601137E-3</v>
      </c>
      <c r="HC26" s="295">
        <v>0.69171687278977456</v>
      </c>
    </row>
    <row r="27" spans="1:211" ht="14.25" customHeight="1">
      <c r="B27" s="296" t="s">
        <v>171</v>
      </c>
      <c r="C27" s="297" t="s">
        <v>159</v>
      </c>
      <c r="D27" s="298" t="s">
        <v>136</v>
      </c>
      <c r="E27" s="299" t="s">
        <v>164</v>
      </c>
      <c r="F27" s="300" t="s">
        <v>172</v>
      </c>
      <c r="G27" s="318">
        <v>67.504000000000005</v>
      </c>
      <c r="H27" s="318">
        <v>40.356000000000009</v>
      </c>
      <c r="I27" s="319">
        <v>70.476000000000013</v>
      </c>
      <c r="J27" s="320">
        <v>30.535</v>
      </c>
      <c r="K27" s="320">
        <v>0</v>
      </c>
      <c r="L27" s="261">
        <v>8.4760000000000009</v>
      </c>
      <c r="M27" s="330">
        <v>21.242999999999999</v>
      </c>
      <c r="N27" s="261">
        <v>0</v>
      </c>
      <c r="O27" s="261">
        <v>38.631999999999991</v>
      </c>
      <c r="P27" s="261">
        <v>11.81</v>
      </c>
      <c r="Q27" s="261">
        <v>45.017000000000003</v>
      </c>
      <c r="R27" s="303">
        <v>63.009000000000015</v>
      </c>
      <c r="S27" s="261">
        <f t="shared" si="3"/>
        <v>119.83600000000001</v>
      </c>
      <c r="T27" s="270">
        <v>33.827532373736368</v>
      </c>
      <c r="U27" s="304">
        <v>89.57147544087951</v>
      </c>
      <c r="V27" s="258">
        <v>25.178802551585495</v>
      </c>
      <c r="W27" s="259">
        <v>97.656302226802239</v>
      </c>
      <c r="X27" s="259">
        <v>51.345765376561438</v>
      </c>
      <c r="Y27" s="259">
        <v>58.808170886647339</v>
      </c>
      <c r="Z27" s="259">
        <v>35.595049201913902</v>
      </c>
      <c r="AA27" s="259">
        <v>76.940845405362552</v>
      </c>
      <c r="AB27" s="259">
        <v>1.0639679928833927E-2</v>
      </c>
      <c r="AC27" s="259">
        <v>90.410680195266309</v>
      </c>
      <c r="AD27" s="259">
        <v>39.716595214345944</v>
      </c>
      <c r="AE27" s="268">
        <v>4.9381414469700466</v>
      </c>
      <c r="AG27" s="333">
        <v>0</v>
      </c>
      <c r="AH27" s="307">
        <v>67.2</v>
      </c>
      <c r="AI27" s="334">
        <v>53.902799999999999</v>
      </c>
      <c r="AJ27" s="335">
        <v>31.85</v>
      </c>
      <c r="AK27" s="259">
        <v>0</v>
      </c>
      <c r="AL27" s="259">
        <v>0</v>
      </c>
      <c r="AM27" s="259">
        <v>21</v>
      </c>
      <c r="AN27" s="259">
        <v>0</v>
      </c>
      <c r="AO27" s="259">
        <v>30</v>
      </c>
      <c r="AP27" s="259">
        <v>11.82</v>
      </c>
      <c r="AQ27" s="259">
        <v>42</v>
      </c>
      <c r="AR27" s="268">
        <v>55</v>
      </c>
      <c r="AS27" s="269">
        <v>1.3873537259364441E-2</v>
      </c>
      <c r="AT27" s="305">
        <v>63079.457217350064</v>
      </c>
      <c r="AU27" s="336">
        <v>60436.881752403577</v>
      </c>
      <c r="AV27" s="259">
        <v>60440.476190476162</v>
      </c>
      <c r="AW27" s="320">
        <v>60438.496806942851</v>
      </c>
      <c r="AX27" s="320">
        <v>0</v>
      </c>
      <c r="AY27" s="320">
        <v>67352.773714016032</v>
      </c>
      <c r="AZ27" s="320">
        <v>68785.27609094762</v>
      </c>
      <c r="BA27" s="320">
        <v>0</v>
      </c>
      <c r="BB27" s="320">
        <v>68506.433526610068</v>
      </c>
      <c r="BC27" s="320">
        <v>68509.463166807793</v>
      </c>
      <c r="BD27" s="320">
        <v>67111.268187573587</v>
      </c>
      <c r="BE27" s="322">
        <v>67112.456157056891</v>
      </c>
      <c r="BG27" s="337">
        <v>65694.182965472472</v>
      </c>
      <c r="BH27" s="336">
        <v>65694.182965472472</v>
      </c>
      <c r="BI27" s="320">
        <v>65694.182965472472</v>
      </c>
      <c r="BJ27" s="336">
        <v>65694.182965472472</v>
      </c>
      <c r="BK27" s="336">
        <v>65694.182965472472</v>
      </c>
      <c r="BL27" s="336">
        <v>65694.182965472472</v>
      </c>
      <c r="BM27" s="336">
        <v>65694.182965472472</v>
      </c>
      <c r="BN27" s="302">
        <v>65694.182965472472</v>
      </c>
      <c r="BO27" s="302">
        <v>65694.182965472472</v>
      </c>
      <c r="BP27" s="302">
        <v>65694.182965472472</v>
      </c>
      <c r="BQ27" s="302">
        <v>65694.182965472486</v>
      </c>
      <c r="BR27" s="306">
        <v>65694.182965472472</v>
      </c>
      <c r="BT27" s="270">
        <v>0</v>
      </c>
      <c r="BU27" s="307">
        <v>60441.011804426562</v>
      </c>
      <c r="BV27" s="307">
        <v>60441.011804426562</v>
      </c>
      <c r="BW27" s="307">
        <v>68533.026087916311</v>
      </c>
      <c r="BX27" s="307">
        <v>0</v>
      </c>
      <c r="BY27" s="307">
        <v>0</v>
      </c>
      <c r="BZ27" s="307">
        <v>67355.676330857619</v>
      </c>
      <c r="CA27" s="307">
        <v>0</v>
      </c>
      <c r="CB27" s="307">
        <v>68507.25768758342</v>
      </c>
      <c r="CC27" s="307">
        <v>68507.25768758342</v>
      </c>
      <c r="CD27" s="307">
        <v>68507.25768758342</v>
      </c>
      <c r="CE27" s="308">
        <v>68507.25768758342</v>
      </c>
      <c r="CF27" s="212"/>
      <c r="CG27" s="273">
        <v>0.42581156799999992</v>
      </c>
      <c r="CH27" s="329">
        <v>0.24389907999999993</v>
      </c>
      <c r="CI27" s="329">
        <v>0.4259602999999999</v>
      </c>
      <c r="CJ27" s="329">
        <v>0.18454894999999999</v>
      </c>
      <c r="CK27" s="329">
        <v>0</v>
      </c>
      <c r="CL27" s="338">
        <v>5.7088211E-2</v>
      </c>
      <c r="CM27" s="338">
        <v>0.14612056200000001</v>
      </c>
      <c r="CN27" s="338">
        <v>0</v>
      </c>
      <c r="CO27" s="338">
        <v>0.26465405399999997</v>
      </c>
      <c r="CP27" s="338">
        <v>8.0909676E-2</v>
      </c>
      <c r="CQ27" s="338">
        <v>0.30211479600000007</v>
      </c>
      <c r="CR27" s="339">
        <v>0.42286887499999992</v>
      </c>
      <c r="CS27" s="212"/>
      <c r="CT27" s="273">
        <v>0.22222721010306803</v>
      </c>
      <c r="CU27" s="278">
        <v>0.58843248961004624</v>
      </c>
      <c r="CV27" s="278">
        <v>0.16541008616753625</v>
      </c>
      <c r="CW27" s="278">
        <v>0.64154509862190234</v>
      </c>
      <c r="CX27" s="278">
        <v>0.33731181051500486</v>
      </c>
      <c r="CY27" s="278">
        <v>0.38633547380921818</v>
      </c>
      <c r="CZ27" s="278">
        <v>0.23383876749355267</v>
      </c>
      <c r="DA27" s="278">
        <v>0.50545659755780192</v>
      </c>
      <c r="DB27" s="278">
        <v>6.9896507993888108E-5</v>
      </c>
      <c r="DC27" s="278">
        <v>0.59394557667806436</v>
      </c>
      <c r="DD27" s="278">
        <v>0.26091492727768512</v>
      </c>
      <c r="DE27" s="278">
        <v>3.2440716772663317E-2</v>
      </c>
      <c r="DF27" s="390">
        <f t="shared" si="4"/>
        <v>0.88730122072841289</v>
      </c>
      <c r="DG27" s="326">
        <v>0</v>
      </c>
      <c r="DH27" s="340">
        <v>0.40616359932574653</v>
      </c>
      <c r="DI27" s="341">
        <v>0.32579397710916441</v>
      </c>
      <c r="DJ27" s="342">
        <v>0.21827768809001347</v>
      </c>
      <c r="DK27" s="278">
        <v>0</v>
      </c>
      <c r="DL27" s="278">
        <v>0</v>
      </c>
      <c r="DM27" s="278">
        <v>0.14144692029480099</v>
      </c>
      <c r="DN27" s="278">
        <v>0</v>
      </c>
      <c r="DO27" s="278">
        <v>0.20552177306275027</v>
      </c>
      <c r="DP27" s="278">
        <v>8.0975578586723607E-2</v>
      </c>
      <c r="DQ27" s="278">
        <v>0.28773048228785036</v>
      </c>
      <c r="DR27" s="282">
        <v>0.3767899172817088</v>
      </c>
      <c r="DS27" s="283"/>
      <c r="DT27" s="312">
        <v>-1.7650444690125503E-2</v>
      </c>
      <c r="DU27" s="329">
        <v>-2.1216364775460836E-2</v>
      </c>
      <c r="DV27" s="329">
        <v>-3.7026023867464002E-2</v>
      </c>
      <c r="DW27" s="278">
        <v>-1.6048237685070198E-2</v>
      </c>
      <c r="DX27" s="338">
        <v>0</v>
      </c>
      <c r="DY27" s="338">
        <v>1.4058215184655216E-3</v>
      </c>
      <c r="DZ27" s="338">
        <v>6.5664091264468578E-3</v>
      </c>
      <c r="EA27" s="338">
        <v>0</v>
      </c>
      <c r="EB27" s="338">
        <v>1.086428636778676E-2</v>
      </c>
      <c r="EC27" s="338">
        <v>3.3248459177770144E-3</v>
      </c>
      <c r="ED27" s="338">
        <v>6.3792925443325261E-3</v>
      </c>
      <c r="EE27" s="313">
        <v>8.9363975528542732E-3</v>
      </c>
      <c r="EF27" s="212"/>
      <c r="EG27" s="312">
        <v>0.22123480258705738</v>
      </c>
      <c r="EH27" s="274">
        <v>-0.32331704483458551</v>
      </c>
      <c r="EI27" s="278">
        <v>0.29757623769992764</v>
      </c>
      <c r="EJ27" s="278">
        <v>-0.44094791093683217</v>
      </c>
      <c r="EK27" s="276">
        <v>-0.33731181051500486</v>
      </c>
      <c r="EL27" s="309">
        <v>-0.33065308432768376</v>
      </c>
      <c r="EM27" s="276">
        <v>-9.4284614619999513E-2</v>
      </c>
      <c r="EN27" s="276">
        <v>-0.50545659755780192</v>
      </c>
      <c r="EO27" s="276">
        <v>0.25371987112421929</v>
      </c>
      <c r="EP27" s="276">
        <v>-0.51636074659584141</v>
      </c>
      <c r="EQ27" s="276">
        <v>3.4820576177982378E-2</v>
      </c>
      <c r="ER27" s="313">
        <v>0.38149176067448226</v>
      </c>
      <c r="ES27" s="283"/>
      <c r="ET27" s="312">
        <v>0.42581156799999986</v>
      </c>
      <c r="EU27" s="329">
        <v>-1.6667237943959005E-5</v>
      </c>
      <c r="EV27" s="329">
        <v>-3.7747928768400812E-6</v>
      </c>
      <c r="EW27" s="278">
        <v>-2.4716645159452461E-2</v>
      </c>
      <c r="EX27" s="338">
        <v>0</v>
      </c>
      <c r="EY27" s="338">
        <v>5.7088211E-2</v>
      </c>
      <c r="EZ27" s="338">
        <v>3.0368987703591889E-3</v>
      </c>
      <c r="FA27" s="338">
        <v>0</v>
      </c>
      <c r="FB27" s="338">
        <v>-3.1838986722544643E-6</v>
      </c>
      <c r="FC27" s="338">
        <v>2.6046709639839681E-6</v>
      </c>
      <c r="FD27" s="338">
        <v>-6.2843259321942666E-3</v>
      </c>
      <c r="FE27" s="313">
        <v>-8.7885049636946093E-3</v>
      </c>
      <c r="FF27" s="212"/>
      <c r="FG27" s="312">
        <v>0</v>
      </c>
      <c r="FH27" s="274">
        <v>-0.16224785208780262</v>
      </c>
      <c r="FI27" s="278">
        <v>0.10017009768371232</v>
      </c>
      <c r="FJ27" s="278">
        <v>-9.0120929305610043E-3</v>
      </c>
      <c r="FK27" s="276">
        <v>0</v>
      </c>
      <c r="FL27" s="309">
        <v>0</v>
      </c>
      <c r="FM27" s="276">
        <v>1.6367429348398304E-3</v>
      </c>
      <c r="FN27" s="276">
        <v>0</v>
      </c>
      <c r="FO27" s="276">
        <v>5.9135464835921941E-2</v>
      </c>
      <c r="FP27" s="276">
        <v>-6.8507257687581952E-5</v>
      </c>
      <c r="FQ27" s="276">
        <v>2.0668639644343938E-2</v>
      </c>
      <c r="FR27" s="313">
        <v>5.4867462681985661E-2</v>
      </c>
      <c r="FS27" s="283"/>
      <c r="FT27" s="286">
        <v>397.05799999999999</v>
      </c>
      <c r="FU27" s="260">
        <v>604</v>
      </c>
      <c r="FV27" s="260">
        <v>312.77279999999996</v>
      </c>
      <c r="FW27" s="260">
        <v>-206.94200000000001</v>
      </c>
      <c r="FX27" s="287">
        <v>-0.34261920529801326</v>
      </c>
      <c r="FY27" s="327">
        <v>2.5539760719999993</v>
      </c>
      <c r="FZ27" s="275">
        <v>3.9679286511145371</v>
      </c>
      <c r="GA27" s="275">
        <v>2.0426999360387583</v>
      </c>
      <c r="GB27" s="275">
        <v>-1.4139525791145378</v>
      </c>
      <c r="GC27" s="275">
        <v>-1.3594885611240803</v>
      </c>
      <c r="GD27" s="275">
        <v>-5.4464017990457567E-2</v>
      </c>
      <c r="GE27" s="275">
        <v>6.5149955504752485E-2</v>
      </c>
      <c r="GF27" s="277">
        <v>0.44612618045648866</v>
      </c>
      <c r="GG27" s="214">
        <v>0</v>
      </c>
      <c r="GH27" s="286">
        <v>63.009000000000015</v>
      </c>
      <c r="GI27" s="260">
        <v>4.9381414469700466</v>
      </c>
      <c r="GJ27" s="260">
        <v>55</v>
      </c>
      <c r="GK27" s="260">
        <v>58.070858553029964</v>
      </c>
      <c r="GL27" s="291">
        <v>11.759658806181257</v>
      </c>
      <c r="GM27" s="275">
        <v>0.42286887499999992</v>
      </c>
      <c r="GN27" s="275">
        <v>3.2440716772663317E-2</v>
      </c>
      <c r="GO27" s="275">
        <v>0.3767899172817088</v>
      </c>
      <c r="GP27" s="275">
        <v>0.39042815822733662</v>
      </c>
      <c r="GQ27" s="275">
        <v>0.38149176067448226</v>
      </c>
      <c r="GR27" s="277">
        <v>8.9363975528542732E-3</v>
      </c>
      <c r="GS27" s="275">
        <v>5.4867462681985661E-2</v>
      </c>
      <c r="GT27" s="284">
        <v>-8.7885049636946093E-3</v>
      </c>
      <c r="GU27" s="292">
        <v>4.4882204124556291E-2</v>
      </c>
      <c r="GV27" s="214">
        <v>0</v>
      </c>
      <c r="GW27" s="293">
        <v>0.3858423867476492</v>
      </c>
      <c r="GX27" s="294"/>
      <c r="GY27" s="293">
        <v>0.511276135961241</v>
      </c>
      <c r="GZ27" s="293">
        <v>0</v>
      </c>
      <c r="HA27" s="293">
        <v>4.6078957718291125E-2</v>
      </c>
      <c r="HB27" s="293">
        <v>-8.7885049636945364E-3</v>
      </c>
      <c r="HC27" s="295">
        <v>0.37798667087544358</v>
      </c>
    </row>
    <row r="28" spans="1:211" ht="12.75" customHeight="1">
      <c r="B28" s="296" t="s">
        <v>173</v>
      </c>
      <c r="C28" s="297" t="s">
        <v>159</v>
      </c>
      <c r="D28" s="298" t="s">
        <v>136</v>
      </c>
      <c r="E28" s="299" t="s">
        <v>164</v>
      </c>
      <c r="F28" s="300" t="s">
        <v>140</v>
      </c>
      <c r="G28" s="318">
        <v>0</v>
      </c>
      <c r="H28" s="318">
        <v>0</v>
      </c>
      <c r="I28" s="319">
        <v>0</v>
      </c>
      <c r="J28" s="320">
        <v>0</v>
      </c>
      <c r="K28" s="320">
        <v>0</v>
      </c>
      <c r="L28" s="261">
        <v>0</v>
      </c>
      <c r="M28" s="330">
        <v>0</v>
      </c>
      <c r="N28" s="261">
        <v>0</v>
      </c>
      <c r="O28" s="261">
        <v>0</v>
      </c>
      <c r="P28" s="261">
        <v>0</v>
      </c>
      <c r="Q28" s="261">
        <v>0</v>
      </c>
      <c r="R28" s="303">
        <v>0</v>
      </c>
      <c r="S28" s="261">
        <f t="shared" si="3"/>
        <v>0</v>
      </c>
      <c r="T28" s="270">
        <v>0</v>
      </c>
      <c r="U28" s="304">
        <v>0</v>
      </c>
      <c r="V28" s="258">
        <v>0</v>
      </c>
      <c r="W28" s="259">
        <v>0</v>
      </c>
      <c r="X28" s="259">
        <v>0</v>
      </c>
      <c r="Y28" s="259">
        <v>0</v>
      </c>
      <c r="Z28" s="259">
        <v>0</v>
      </c>
      <c r="AA28" s="259">
        <v>0</v>
      </c>
      <c r="AB28" s="259">
        <v>0</v>
      </c>
      <c r="AC28" s="259">
        <v>0</v>
      </c>
      <c r="AD28" s="259">
        <v>0</v>
      </c>
      <c r="AE28" s="268">
        <v>0</v>
      </c>
      <c r="AG28" s="333">
        <v>0</v>
      </c>
      <c r="AH28" s="307">
        <v>0</v>
      </c>
      <c r="AI28" s="334">
        <v>0</v>
      </c>
      <c r="AJ28" s="335">
        <v>0</v>
      </c>
      <c r="AK28" s="259">
        <v>0</v>
      </c>
      <c r="AL28" s="259">
        <v>0</v>
      </c>
      <c r="AM28" s="259">
        <v>0</v>
      </c>
      <c r="AN28" s="259">
        <v>0</v>
      </c>
      <c r="AO28" s="259">
        <v>0</v>
      </c>
      <c r="AP28" s="259">
        <v>0</v>
      </c>
      <c r="AQ28" s="259">
        <v>0</v>
      </c>
      <c r="AR28" s="268">
        <v>0</v>
      </c>
      <c r="AS28" s="269">
        <v>0</v>
      </c>
      <c r="AT28" s="305">
        <v>0</v>
      </c>
      <c r="AU28" s="336">
        <v>0</v>
      </c>
      <c r="AV28" s="259">
        <v>0</v>
      </c>
      <c r="AW28" s="320">
        <v>0</v>
      </c>
      <c r="AX28" s="320">
        <v>0</v>
      </c>
      <c r="AY28" s="320">
        <v>0</v>
      </c>
      <c r="AZ28" s="320">
        <v>0</v>
      </c>
      <c r="BA28" s="320">
        <v>0</v>
      </c>
      <c r="BB28" s="320">
        <v>0</v>
      </c>
      <c r="BC28" s="320">
        <v>0</v>
      </c>
      <c r="BD28" s="320">
        <v>0</v>
      </c>
      <c r="BE28" s="322">
        <v>0</v>
      </c>
      <c r="BG28" s="337">
        <v>0</v>
      </c>
      <c r="BH28" s="336">
        <v>0</v>
      </c>
      <c r="BI28" s="320">
        <v>0</v>
      </c>
      <c r="BJ28" s="336">
        <v>0</v>
      </c>
      <c r="BK28" s="336">
        <v>0</v>
      </c>
      <c r="BL28" s="336">
        <v>0</v>
      </c>
      <c r="BM28" s="336">
        <v>0</v>
      </c>
      <c r="BN28" s="302">
        <v>0</v>
      </c>
      <c r="BO28" s="302">
        <v>0</v>
      </c>
      <c r="BP28" s="302">
        <v>0</v>
      </c>
      <c r="BQ28" s="302">
        <v>0</v>
      </c>
      <c r="BR28" s="306">
        <v>0</v>
      </c>
      <c r="BT28" s="270">
        <v>0</v>
      </c>
      <c r="BU28" s="307">
        <v>0</v>
      </c>
      <c r="BV28" s="307">
        <v>0</v>
      </c>
      <c r="BW28" s="307">
        <v>0</v>
      </c>
      <c r="BX28" s="307">
        <v>0</v>
      </c>
      <c r="BY28" s="307">
        <v>0</v>
      </c>
      <c r="BZ28" s="307">
        <v>0</v>
      </c>
      <c r="CA28" s="307">
        <v>0</v>
      </c>
      <c r="CB28" s="307">
        <v>0</v>
      </c>
      <c r="CC28" s="307">
        <v>0</v>
      </c>
      <c r="CD28" s="307">
        <v>0</v>
      </c>
      <c r="CE28" s="308">
        <v>0</v>
      </c>
      <c r="CF28" s="212"/>
      <c r="CG28" s="326">
        <v>0</v>
      </c>
      <c r="CH28" s="342">
        <v>0</v>
      </c>
      <c r="CI28" s="342">
        <v>0</v>
      </c>
      <c r="CJ28" s="342">
        <v>0</v>
      </c>
      <c r="CK28" s="342">
        <v>0</v>
      </c>
      <c r="CL28" s="343">
        <v>0</v>
      </c>
      <c r="CM28" s="343">
        <v>0</v>
      </c>
      <c r="CN28" s="343">
        <v>0</v>
      </c>
      <c r="CO28" s="343">
        <v>0</v>
      </c>
      <c r="CP28" s="343">
        <v>0</v>
      </c>
      <c r="CQ28" s="343">
        <v>0</v>
      </c>
      <c r="CR28" s="344">
        <v>0</v>
      </c>
      <c r="CS28" s="212"/>
      <c r="CT28" s="273">
        <v>0</v>
      </c>
      <c r="CU28" s="278">
        <v>0</v>
      </c>
      <c r="CV28" s="278">
        <v>0</v>
      </c>
      <c r="CW28" s="278">
        <v>0</v>
      </c>
      <c r="CX28" s="278">
        <v>0</v>
      </c>
      <c r="CY28" s="278">
        <v>0</v>
      </c>
      <c r="CZ28" s="278">
        <v>0</v>
      </c>
      <c r="DA28" s="278">
        <v>0</v>
      </c>
      <c r="DB28" s="278">
        <v>0</v>
      </c>
      <c r="DC28" s="278">
        <v>0</v>
      </c>
      <c r="DD28" s="278">
        <v>0</v>
      </c>
      <c r="DE28" s="278">
        <v>0</v>
      </c>
      <c r="DF28" s="390">
        <f t="shared" si="4"/>
        <v>0</v>
      </c>
      <c r="DG28" s="326">
        <v>0</v>
      </c>
      <c r="DH28" s="340">
        <v>0</v>
      </c>
      <c r="DI28" s="341">
        <v>0</v>
      </c>
      <c r="DJ28" s="342">
        <v>0</v>
      </c>
      <c r="DK28" s="278">
        <v>0</v>
      </c>
      <c r="DL28" s="278">
        <v>0</v>
      </c>
      <c r="DM28" s="278">
        <v>0</v>
      </c>
      <c r="DN28" s="278">
        <v>0</v>
      </c>
      <c r="DO28" s="278">
        <v>0</v>
      </c>
      <c r="DP28" s="278">
        <v>0</v>
      </c>
      <c r="DQ28" s="278">
        <v>0</v>
      </c>
      <c r="DR28" s="282">
        <v>0</v>
      </c>
      <c r="DS28" s="283"/>
      <c r="DT28" s="312">
        <v>0</v>
      </c>
      <c r="DU28" s="329">
        <v>0</v>
      </c>
      <c r="DV28" s="329">
        <v>0</v>
      </c>
      <c r="DW28" s="278">
        <v>0</v>
      </c>
      <c r="DX28" s="338">
        <v>0</v>
      </c>
      <c r="DY28" s="338">
        <v>0</v>
      </c>
      <c r="DZ28" s="338">
        <v>0</v>
      </c>
      <c r="EA28" s="338">
        <v>0</v>
      </c>
      <c r="EB28" s="338">
        <v>0</v>
      </c>
      <c r="EC28" s="338">
        <v>0</v>
      </c>
      <c r="ED28" s="338">
        <v>0</v>
      </c>
      <c r="EE28" s="313">
        <v>0</v>
      </c>
      <c r="EF28" s="212"/>
      <c r="EG28" s="312">
        <v>0</v>
      </c>
      <c r="EH28" s="274">
        <v>0</v>
      </c>
      <c r="EI28" s="278">
        <v>0</v>
      </c>
      <c r="EJ28" s="278">
        <v>0</v>
      </c>
      <c r="EK28" s="276">
        <v>0</v>
      </c>
      <c r="EL28" s="309">
        <v>0</v>
      </c>
      <c r="EM28" s="276">
        <v>0</v>
      </c>
      <c r="EN28" s="276">
        <v>0</v>
      </c>
      <c r="EO28" s="276">
        <v>0</v>
      </c>
      <c r="EP28" s="276">
        <v>0</v>
      </c>
      <c r="EQ28" s="276">
        <v>0</v>
      </c>
      <c r="ER28" s="313">
        <v>0</v>
      </c>
      <c r="ES28" s="345"/>
      <c r="ET28" s="312">
        <v>0</v>
      </c>
      <c r="EU28" s="329">
        <v>0</v>
      </c>
      <c r="EV28" s="329">
        <v>0</v>
      </c>
      <c r="EW28" s="278">
        <v>0</v>
      </c>
      <c r="EX28" s="338">
        <v>0</v>
      </c>
      <c r="EY28" s="338">
        <v>0</v>
      </c>
      <c r="EZ28" s="338">
        <v>0</v>
      </c>
      <c r="FA28" s="338">
        <v>0</v>
      </c>
      <c r="FB28" s="338">
        <v>0</v>
      </c>
      <c r="FC28" s="338">
        <v>0</v>
      </c>
      <c r="FD28" s="338">
        <v>0</v>
      </c>
      <c r="FE28" s="313">
        <v>0</v>
      </c>
      <c r="FF28" s="212"/>
      <c r="FG28" s="312">
        <v>0</v>
      </c>
      <c r="FH28" s="274">
        <v>0</v>
      </c>
      <c r="FI28" s="278">
        <v>0</v>
      </c>
      <c r="FJ28" s="278">
        <v>0</v>
      </c>
      <c r="FK28" s="276">
        <v>0</v>
      </c>
      <c r="FL28" s="309">
        <v>0</v>
      </c>
      <c r="FM28" s="276">
        <v>0</v>
      </c>
      <c r="FN28" s="276">
        <v>0</v>
      </c>
      <c r="FO28" s="276">
        <v>0</v>
      </c>
      <c r="FP28" s="276">
        <v>0</v>
      </c>
      <c r="FQ28" s="276">
        <v>0</v>
      </c>
      <c r="FR28" s="313">
        <v>0</v>
      </c>
      <c r="FS28" s="345"/>
      <c r="FT28" s="286">
        <v>0</v>
      </c>
      <c r="FU28" s="260">
        <v>0</v>
      </c>
      <c r="FV28" s="260">
        <v>0</v>
      </c>
      <c r="FW28" s="260">
        <v>0</v>
      </c>
      <c r="FX28" s="287">
        <v>0</v>
      </c>
      <c r="FY28" s="327">
        <v>0</v>
      </c>
      <c r="FZ28" s="275">
        <v>0</v>
      </c>
      <c r="GA28" s="275">
        <v>0</v>
      </c>
      <c r="GB28" s="275">
        <v>0</v>
      </c>
      <c r="GC28" s="275">
        <v>0</v>
      </c>
      <c r="GD28" s="275">
        <v>0</v>
      </c>
      <c r="GE28" s="275">
        <v>0</v>
      </c>
      <c r="GF28" s="277">
        <v>0</v>
      </c>
      <c r="GH28" s="286">
        <v>0</v>
      </c>
      <c r="GI28" s="260">
        <v>0</v>
      </c>
      <c r="GJ28" s="260">
        <v>0</v>
      </c>
      <c r="GK28" s="260">
        <v>0</v>
      </c>
      <c r="GL28" s="291">
        <v>0</v>
      </c>
      <c r="GM28" s="275">
        <v>0</v>
      </c>
      <c r="GN28" s="275">
        <v>0</v>
      </c>
      <c r="GO28" s="275">
        <v>0</v>
      </c>
      <c r="GP28" s="275">
        <v>0</v>
      </c>
      <c r="GQ28" s="275">
        <v>0</v>
      </c>
      <c r="GR28" s="277">
        <v>0</v>
      </c>
      <c r="GS28" s="275">
        <v>0</v>
      </c>
      <c r="GT28" s="284">
        <v>0</v>
      </c>
      <c r="GU28" s="292">
        <v>0</v>
      </c>
      <c r="GW28" s="293"/>
      <c r="GX28" s="294"/>
      <c r="GY28" s="293"/>
      <c r="GZ28" s="293"/>
      <c r="HA28" s="293"/>
      <c r="HB28" s="293"/>
      <c r="HC28" s="295"/>
    </row>
    <row r="29" spans="1:211" ht="12.75" customHeight="1">
      <c r="B29" s="296" t="s">
        <v>174</v>
      </c>
      <c r="C29" s="297" t="s">
        <v>159</v>
      </c>
      <c r="D29" s="298" t="s">
        <v>136</v>
      </c>
      <c r="E29" s="299" t="s">
        <v>164</v>
      </c>
      <c r="F29" s="300" t="s">
        <v>144</v>
      </c>
      <c r="G29" s="318">
        <v>0</v>
      </c>
      <c r="H29" s="318">
        <v>0</v>
      </c>
      <c r="I29" s="319">
        <v>0</v>
      </c>
      <c r="J29" s="320">
        <v>0</v>
      </c>
      <c r="K29" s="320">
        <v>0</v>
      </c>
      <c r="L29" s="261">
        <v>0</v>
      </c>
      <c r="M29" s="330">
        <v>0</v>
      </c>
      <c r="N29" s="261">
        <v>0</v>
      </c>
      <c r="O29" s="261">
        <v>0</v>
      </c>
      <c r="P29" s="261">
        <v>0</v>
      </c>
      <c r="Q29" s="261">
        <v>0</v>
      </c>
      <c r="R29" s="303">
        <v>0</v>
      </c>
      <c r="S29" s="261">
        <f t="shared" si="3"/>
        <v>0</v>
      </c>
      <c r="T29" s="270">
        <v>0</v>
      </c>
      <c r="U29" s="304">
        <v>0</v>
      </c>
      <c r="V29" s="258">
        <v>0</v>
      </c>
      <c r="W29" s="259">
        <v>0</v>
      </c>
      <c r="X29" s="259">
        <v>0</v>
      </c>
      <c r="Y29" s="259">
        <v>0</v>
      </c>
      <c r="Z29" s="259">
        <v>0</v>
      </c>
      <c r="AA29" s="259">
        <v>0</v>
      </c>
      <c r="AB29" s="259">
        <v>0</v>
      </c>
      <c r="AC29" s="259">
        <v>0</v>
      </c>
      <c r="AD29" s="259">
        <v>0</v>
      </c>
      <c r="AE29" s="268">
        <v>0</v>
      </c>
      <c r="AG29" s="333">
        <v>0</v>
      </c>
      <c r="AH29" s="307">
        <v>0</v>
      </c>
      <c r="AI29" s="334">
        <v>0</v>
      </c>
      <c r="AJ29" s="335">
        <v>0</v>
      </c>
      <c r="AK29" s="259">
        <v>0</v>
      </c>
      <c r="AL29" s="259">
        <v>0</v>
      </c>
      <c r="AM29" s="259">
        <v>0</v>
      </c>
      <c r="AN29" s="259">
        <v>0</v>
      </c>
      <c r="AO29" s="259">
        <v>0</v>
      </c>
      <c r="AP29" s="259">
        <v>0</v>
      </c>
      <c r="AQ29" s="259">
        <v>0</v>
      </c>
      <c r="AR29" s="268">
        <v>0</v>
      </c>
      <c r="AS29" s="269">
        <v>0</v>
      </c>
      <c r="AT29" s="305">
        <v>0</v>
      </c>
      <c r="AU29" s="336">
        <v>0</v>
      </c>
      <c r="AV29" s="259">
        <v>0</v>
      </c>
      <c r="AW29" s="320">
        <v>0</v>
      </c>
      <c r="AX29" s="320">
        <v>0</v>
      </c>
      <c r="AY29" s="320">
        <v>0</v>
      </c>
      <c r="AZ29" s="320">
        <v>0</v>
      </c>
      <c r="BA29" s="320">
        <v>0</v>
      </c>
      <c r="BB29" s="320">
        <v>0</v>
      </c>
      <c r="BC29" s="320">
        <v>0</v>
      </c>
      <c r="BD29" s="320">
        <v>0</v>
      </c>
      <c r="BE29" s="322">
        <v>0</v>
      </c>
      <c r="BG29" s="337">
        <v>0</v>
      </c>
      <c r="BH29" s="336">
        <v>0</v>
      </c>
      <c r="BI29" s="320">
        <v>0</v>
      </c>
      <c r="BJ29" s="336">
        <v>0</v>
      </c>
      <c r="BK29" s="336">
        <v>0</v>
      </c>
      <c r="BL29" s="336">
        <v>0</v>
      </c>
      <c r="BM29" s="336">
        <v>0</v>
      </c>
      <c r="BN29" s="302">
        <v>0</v>
      </c>
      <c r="BO29" s="302">
        <v>0</v>
      </c>
      <c r="BP29" s="302">
        <v>0</v>
      </c>
      <c r="BQ29" s="302">
        <v>0</v>
      </c>
      <c r="BR29" s="306">
        <v>0</v>
      </c>
      <c r="BT29" s="270">
        <v>0</v>
      </c>
      <c r="BU29" s="307">
        <v>0</v>
      </c>
      <c r="BV29" s="307">
        <v>0</v>
      </c>
      <c r="BW29" s="307">
        <v>0</v>
      </c>
      <c r="BX29" s="307">
        <v>0</v>
      </c>
      <c r="BY29" s="307">
        <v>0</v>
      </c>
      <c r="BZ29" s="307">
        <v>0</v>
      </c>
      <c r="CA29" s="307">
        <v>0</v>
      </c>
      <c r="CB29" s="307">
        <v>0</v>
      </c>
      <c r="CC29" s="307">
        <v>0</v>
      </c>
      <c r="CD29" s="307">
        <v>0</v>
      </c>
      <c r="CE29" s="308">
        <v>0</v>
      </c>
      <c r="CF29" s="212"/>
      <c r="CG29" s="326">
        <v>0</v>
      </c>
      <c r="CH29" s="342">
        <v>0</v>
      </c>
      <c r="CI29" s="342">
        <v>0</v>
      </c>
      <c r="CJ29" s="342">
        <v>0</v>
      </c>
      <c r="CK29" s="342">
        <v>0</v>
      </c>
      <c r="CL29" s="343">
        <v>0</v>
      </c>
      <c r="CM29" s="343">
        <v>0</v>
      </c>
      <c r="CN29" s="343">
        <v>0</v>
      </c>
      <c r="CO29" s="343">
        <v>0</v>
      </c>
      <c r="CP29" s="343">
        <v>0</v>
      </c>
      <c r="CQ29" s="343">
        <v>0</v>
      </c>
      <c r="CR29" s="344">
        <v>0</v>
      </c>
      <c r="CS29" s="212"/>
      <c r="CT29" s="273">
        <v>0</v>
      </c>
      <c r="CU29" s="278">
        <v>0</v>
      </c>
      <c r="CV29" s="278">
        <v>0</v>
      </c>
      <c r="CW29" s="278">
        <v>0</v>
      </c>
      <c r="CX29" s="278">
        <v>0</v>
      </c>
      <c r="CY29" s="278">
        <v>0</v>
      </c>
      <c r="CZ29" s="278">
        <v>0</v>
      </c>
      <c r="DA29" s="278">
        <v>0</v>
      </c>
      <c r="DB29" s="278">
        <v>0</v>
      </c>
      <c r="DC29" s="278">
        <v>0</v>
      </c>
      <c r="DD29" s="278">
        <v>0</v>
      </c>
      <c r="DE29" s="278">
        <v>0</v>
      </c>
      <c r="DF29" s="390">
        <f t="shared" si="4"/>
        <v>0</v>
      </c>
      <c r="DG29" s="326">
        <v>0</v>
      </c>
      <c r="DH29" s="340">
        <v>0</v>
      </c>
      <c r="DI29" s="341">
        <v>0</v>
      </c>
      <c r="DJ29" s="342">
        <v>0</v>
      </c>
      <c r="DK29" s="278">
        <v>0</v>
      </c>
      <c r="DL29" s="278">
        <v>0</v>
      </c>
      <c r="DM29" s="278">
        <v>0</v>
      </c>
      <c r="DN29" s="278">
        <v>0</v>
      </c>
      <c r="DO29" s="278">
        <v>0</v>
      </c>
      <c r="DP29" s="278">
        <v>0</v>
      </c>
      <c r="DQ29" s="278">
        <v>0</v>
      </c>
      <c r="DR29" s="282">
        <v>0</v>
      </c>
      <c r="DS29" s="283"/>
      <c r="DT29" s="312">
        <v>0</v>
      </c>
      <c r="DU29" s="329">
        <v>0</v>
      </c>
      <c r="DV29" s="329">
        <v>0</v>
      </c>
      <c r="DW29" s="278">
        <v>0</v>
      </c>
      <c r="DX29" s="338">
        <v>0</v>
      </c>
      <c r="DY29" s="338">
        <v>0</v>
      </c>
      <c r="DZ29" s="338">
        <v>0</v>
      </c>
      <c r="EA29" s="338">
        <v>0</v>
      </c>
      <c r="EB29" s="338">
        <v>0</v>
      </c>
      <c r="EC29" s="338">
        <v>0</v>
      </c>
      <c r="ED29" s="338">
        <v>0</v>
      </c>
      <c r="EE29" s="313">
        <v>0</v>
      </c>
      <c r="EF29" s="212"/>
      <c r="EG29" s="312">
        <v>0</v>
      </c>
      <c r="EH29" s="274">
        <v>0</v>
      </c>
      <c r="EI29" s="278">
        <v>0</v>
      </c>
      <c r="EJ29" s="278">
        <v>0</v>
      </c>
      <c r="EK29" s="276">
        <v>0</v>
      </c>
      <c r="EL29" s="309">
        <v>0</v>
      </c>
      <c r="EM29" s="276">
        <v>0</v>
      </c>
      <c r="EN29" s="276">
        <v>0</v>
      </c>
      <c r="EO29" s="276">
        <v>0</v>
      </c>
      <c r="EP29" s="276">
        <v>0</v>
      </c>
      <c r="EQ29" s="276">
        <v>0</v>
      </c>
      <c r="ER29" s="313">
        <v>0</v>
      </c>
      <c r="ES29" s="345"/>
      <c r="ET29" s="312">
        <v>0</v>
      </c>
      <c r="EU29" s="329">
        <v>0</v>
      </c>
      <c r="EV29" s="329">
        <v>0</v>
      </c>
      <c r="EW29" s="278">
        <v>0</v>
      </c>
      <c r="EX29" s="338">
        <v>0</v>
      </c>
      <c r="EY29" s="338">
        <v>0</v>
      </c>
      <c r="EZ29" s="338">
        <v>0</v>
      </c>
      <c r="FA29" s="338">
        <v>0</v>
      </c>
      <c r="FB29" s="338">
        <v>0</v>
      </c>
      <c r="FC29" s="338">
        <v>0</v>
      </c>
      <c r="FD29" s="338">
        <v>0</v>
      </c>
      <c r="FE29" s="313">
        <v>0</v>
      </c>
      <c r="FF29" s="212"/>
      <c r="FG29" s="312">
        <v>0</v>
      </c>
      <c r="FH29" s="274">
        <v>0</v>
      </c>
      <c r="FI29" s="278">
        <v>0</v>
      </c>
      <c r="FJ29" s="278">
        <v>0</v>
      </c>
      <c r="FK29" s="276">
        <v>0</v>
      </c>
      <c r="FL29" s="309">
        <v>0</v>
      </c>
      <c r="FM29" s="276">
        <v>0</v>
      </c>
      <c r="FN29" s="276">
        <v>0</v>
      </c>
      <c r="FO29" s="276">
        <v>0</v>
      </c>
      <c r="FP29" s="276">
        <v>0</v>
      </c>
      <c r="FQ29" s="276">
        <v>0</v>
      </c>
      <c r="FR29" s="313">
        <v>0</v>
      </c>
      <c r="FS29" s="345"/>
      <c r="FT29" s="286">
        <v>0</v>
      </c>
      <c r="FU29" s="260">
        <v>0</v>
      </c>
      <c r="FV29" s="260">
        <v>0</v>
      </c>
      <c r="FW29" s="260">
        <v>0</v>
      </c>
      <c r="FX29" s="287">
        <v>0</v>
      </c>
      <c r="FY29" s="327">
        <v>0</v>
      </c>
      <c r="FZ29" s="275">
        <v>0</v>
      </c>
      <c r="GA29" s="275">
        <v>0</v>
      </c>
      <c r="GB29" s="275">
        <v>0</v>
      </c>
      <c r="GC29" s="275">
        <v>0</v>
      </c>
      <c r="GD29" s="275">
        <v>0</v>
      </c>
      <c r="GE29" s="275">
        <v>0</v>
      </c>
      <c r="GF29" s="277">
        <v>0</v>
      </c>
      <c r="GH29" s="286">
        <v>0</v>
      </c>
      <c r="GI29" s="260">
        <v>0</v>
      </c>
      <c r="GJ29" s="260">
        <v>0</v>
      </c>
      <c r="GK29" s="260">
        <v>0</v>
      </c>
      <c r="GL29" s="291">
        <v>0</v>
      </c>
      <c r="GM29" s="275">
        <v>0</v>
      </c>
      <c r="GN29" s="275">
        <v>0</v>
      </c>
      <c r="GO29" s="275">
        <v>0</v>
      </c>
      <c r="GP29" s="275">
        <v>0</v>
      </c>
      <c r="GQ29" s="275">
        <v>0</v>
      </c>
      <c r="GR29" s="277">
        <v>0</v>
      </c>
      <c r="GS29" s="275">
        <v>0</v>
      </c>
      <c r="GT29" s="284">
        <v>0</v>
      </c>
      <c r="GU29" s="292">
        <v>0</v>
      </c>
      <c r="GW29" s="293"/>
      <c r="GX29" s="294"/>
      <c r="GY29" s="293"/>
      <c r="GZ29" s="293"/>
      <c r="HA29" s="293"/>
      <c r="HB29" s="293"/>
      <c r="HC29" s="295"/>
    </row>
    <row r="30" spans="1:211" ht="12.75" customHeight="1" thickBot="1">
      <c r="B30" s="346" t="s">
        <v>175</v>
      </c>
      <c r="C30" s="347" t="s">
        <v>159</v>
      </c>
      <c r="D30" s="348" t="s">
        <v>136</v>
      </c>
      <c r="E30" s="349" t="s">
        <v>164</v>
      </c>
      <c r="F30" s="350" t="s">
        <v>168</v>
      </c>
      <c r="G30" s="318">
        <v>0</v>
      </c>
      <c r="H30" s="318">
        <v>0</v>
      </c>
      <c r="I30" s="319">
        <v>0</v>
      </c>
      <c r="J30" s="320">
        <v>0</v>
      </c>
      <c r="K30" s="320">
        <v>0</v>
      </c>
      <c r="L30" s="261">
        <v>0</v>
      </c>
      <c r="M30" s="330">
        <v>0</v>
      </c>
      <c r="N30" s="261">
        <v>0</v>
      </c>
      <c r="O30" s="261">
        <v>0</v>
      </c>
      <c r="P30" s="261">
        <v>0</v>
      </c>
      <c r="Q30" s="261">
        <v>0</v>
      </c>
      <c r="R30" s="303">
        <v>0</v>
      </c>
      <c r="S30" s="261">
        <f t="shared" si="3"/>
        <v>0</v>
      </c>
      <c r="T30" s="270">
        <v>0</v>
      </c>
      <c r="U30" s="304">
        <v>0</v>
      </c>
      <c r="V30" s="258">
        <v>0</v>
      </c>
      <c r="W30" s="259">
        <v>0</v>
      </c>
      <c r="X30" s="259">
        <v>0</v>
      </c>
      <c r="Y30" s="259">
        <v>0</v>
      </c>
      <c r="Z30" s="259">
        <v>0</v>
      </c>
      <c r="AA30" s="259">
        <v>0</v>
      </c>
      <c r="AB30" s="259">
        <v>0</v>
      </c>
      <c r="AC30" s="259">
        <v>0</v>
      </c>
      <c r="AD30" s="259">
        <v>0</v>
      </c>
      <c r="AE30" s="268">
        <v>0</v>
      </c>
      <c r="AG30" s="333">
        <v>0</v>
      </c>
      <c r="AH30" s="307">
        <v>0</v>
      </c>
      <c r="AI30" s="334">
        <v>0</v>
      </c>
      <c r="AJ30" s="335">
        <v>0</v>
      </c>
      <c r="AK30" s="259">
        <v>0</v>
      </c>
      <c r="AL30" s="259">
        <v>0</v>
      </c>
      <c r="AM30" s="259">
        <v>0</v>
      </c>
      <c r="AN30" s="259">
        <v>0</v>
      </c>
      <c r="AO30" s="259">
        <v>0</v>
      </c>
      <c r="AP30" s="259">
        <v>0</v>
      </c>
      <c r="AQ30" s="259">
        <v>0</v>
      </c>
      <c r="AR30" s="268">
        <v>0</v>
      </c>
      <c r="AS30" s="269">
        <v>0</v>
      </c>
      <c r="AT30" s="351">
        <v>0</v>
      </c>
      <c r="AU30" s="336">
        <v>0</v>
      </c>
      <c r="AV30" s="259">
        <v>0</v>
      </c>
      <c r="AW30" s="320">
        <v>0</v>
      </c>
      <c r="AX30" s="320">
        <v>0</v>
      </c>
      <c r="AY30" s="320">
        <v>0</v>
      </c>
      <c r="AZ30" s="320">
        <v>0</v>
      </c>
      <c r="BA30" s="320">
        <v>0</v>
      </c>
      <c r="BB30" s="320">
        <v>0</v>
      </c>
      <c r="BC30" s="320">
        <v>0</v>
      </c>
      <c r="BD30" s="320">
        <v>0</v>
      </c>
      <c r="BE30" s="322">
        <v>0</v>
      </c>
      <c r="BG30" s="337">
        <v>0</v>
      </c>
      <c r="BH30" s="336">
        <v>0</v>
      </c>
      <c r="BI30" s="320">
        <v>0</v>
      </c>
      <c r="BJ30" s="336">
        <v>0</v>
      </c>
      <c r="BK30" s="336">
        <v>0</v>
      </c>
      <c r="BL30" s="336">
        <v>0</v>
      </c>
      <c r="BM30" s="336">
        <v>0</v>
      </c>
      <c r="BN30" s="302">
        <v>0</v>
      </c>
      <c r="BO30" s="302">
        <v>0</v>
      </c>
      <c r="BP30" s="302">
        <v>0</v>
      </c>
      <c r="BQ30" s="302">
        <v>0</v>
      </c>
      <c r="BR30" s="306">
        <v>0</v>
      </c>
      <c r="BT30" s="270">
        <v>0</v>
      </c>
      <c r="BU30" s="307">
        <v>0</v>
      </c>
      <c r="BV30" s="307">
        <v>0</v>
      </c>
      <c r="BW30" s="307">
        <v>0</v>
      </c>
      <c r="BX30" s="307">
        <v>0</v>
      </c>
      <c r="BY30" s="307">
        <v>0</v>
      </c>
      <c r="BZ30" s="307">
        <v>0</v>
      </c>
      <c r="CA30" s="307">
        <v>0</v>
      </c>
      <c r="CB30" s="307">
        <v>0</v>
      </c>
      <c r="CC30" s="307">
        <v>0</v>
      </c>
      <c r="CD30" s="307">
        <v>0</v>
      </c>
      <c r="CE30" s="308">
        <v>0</v>
      </c>
      <c r="CF30" s="212"/>
      <c r="CG30" s="315">
        <v>0</v>
      </c>
      <c r="CH30" s="342">
        <v>0</v>
      </c>
      <c r="CI30" s="342">
        <v>0</v>
      </c>
      <c r="CJ30" s="342">
        <v>0</v>
      </c>
      <c r="CK30" s="342">
        <v>0</v>
      </c>
      <c r="CL30" s="343">
        <v>0</v>
      </c>
      <c r="CM30" s="343">
        <v>0</v>
      </c>
      <c r="CN30" s="343">
        <v>0</v>
      </c>
      <c r="CO30" s="343">
        <v>0</v>
      </c>
      <c r="CP30" s="343">
        <v>0</v>
      </c>
      <c r="CQ30" s="343">
        <v>0</v>
      </c>
      <c r="CR30" s="344">
        <v>0</v>
      </c>
      <c r="CS30" s="212"/>
      <c r="CT30" s="273">
        <v>0</v>
      </c>
      <c r="CU30" s="278">
        <v>0</v>
      </c>
      <c r="CV30" s="278">
        <v>0</v>
      </c>
      <c r="CW30" s="278">
        <v>0</v>
      </c>
      <c r="CX30" s="278">
        <v>0</v>
      </c>
      <c r="CY30" s="278">
        <v>0</v>
      </c>
      <c r="CZ30" s="278">
        <v>0</v>
      </c>
      <c r="DA30" s="278">
        <v>0</v>
      </c>
      <c r="DB30" s="278">
        <v>0</v>
      </c>
      <c r="DC30" s="278">
        <v>0</v>
      </c>
      <c r="DD30" s="278">
        <v>0</v>
      </c>
      <c r="DE30" s="278">
        <v>0</v>
      </c>
      <c r="DF30" s="390">
        <f t="shared" si="4"/>
        <v>0</v>
      </c>
      <c r="DG30" s="326">
        <v>0</v>
      </c>
      <c r="DH30" s="340">
        <v>0</v>
      </c>
      <c r="DI30" s="341">
        <v>0</v>
      </c>
      <c r="DJ30" s="342">
        <v>0</v>
      </c>
      <c r="DK30" s="278">
        <v>0</v>
      </c>
      <c r="DL30" s="278">
        <v>0</v>
      </c>
      <c r="DM30" s="278">
        <v>0</v>
      </c>
      <c r="DN30" s="278">
        <v>0</v>
      </c>
      <c r="DO30" s="278">
        <v>0</v>
      </c>
      <c r="DP30" s="278">
        <v>0</v>
      </c>
      <c r="DQ30" s="278">
        <v>0</v>
      </c>
      <c r="DR30" s="282">
        <v>0</v>
      </c>
      <c r="DS30" s="283"/>
      <c r="DT30" s="312">
        <v>0</v>
      </c>
      <c r="DU30" s="329">
        <v>0</v>
      </c>
      <c r="DV30" s="329">
        <v>0</v>
      </c>
      <c r="DW30" s="278">
        <v>0</v>
      </c>
      <c r="DX30" s="338">
        <v>0</v>
      </c>
      <c r="DY30" s="338">
        <v>0</v>
      </c>
      <c r="DZ30" s="338">
        <v>0</v>
      </c>
      <c r="EA30" s="338">
        <v>0</v>
      </c>
      <c r="EB30" s="338">
        <v>0</v>
      </c>
      <c r="EC30" s="338">
        <v>0</v>
      </c>
      <c r="ED30" s="338">
        <v>0</v>
      </c>
      <c r="EE30" s="313">
        <v>0</v>
      </c>
      <c r="EF30" s="212"/>
      <c r="EG30" s="312">
        <v>0</v>
      </c>
      <c r="EH30" s="274">
        <v>0</v>
      </c>
      <c r="EI30" s="278">
        <v>0</v>
      </c>
      <c r="EJ30" s="278">
        <v>0</v>
      </c>
      <c r="EK30" s="276">
        <v>0</v>
      </c>
      <c r="EL30" s="309">
        <v>0</v>
      </c>
      <c r="EM30" s="276">
        <v>0</v>
      </c>
      <c r="EN30" s="276">
        <v>0</v>
      </c>
      <c r="EO30" s="276">
        <v>0</v>
      </c>
      <c r="EP30" s="276">
        <v>0</v>
      </c>
      <c r="EQ30" s="276">
        <v>0</v>
      </c>
      <c r="ER30" s="313">
        <v>0</v>
      </c>
      <c r="ES30" s="345"/>
      <c r="ET30" s="312">
        <v>0</v>
      </c>
      <c r="EU30" s="329">
        <v>0</v>
      </c>
      <c r="EV30" s="329">
        <v>0</v>
      </c>
      <c r="EW30" s="278">
        <v>0</v>
      </c>
      <c r="EX30" s="338">
        <v>0</v>
      </c>
      <c r="EY30" s="338">
        <v>0</v>
      </c>
      <c r="EZ30" s="338">
        <v>0</v>
      </c>
      <c r="FA30" s="338">
        <v>0</v>
      </c>
      <c r="FB30" s="338">
        <v>0</v>
      </c>
      <c r="FC30" s="338">
        <v>0</v>
      </c>
      <c r="FD30" s="338">
        <v>0</v>
      </c>
      <c r="FE30" s="313">
        <v>0</v>
      </c>
      <c r="FF30" s="212"/>
      <c r="FG30" s="312">
        <v>0</v>
      </c>
      <c r="FH30" s="274">
        <v>0</v>
      </c>
      <c r="FI30" s="278">
        <v>0</v>
      </c>
      <c r="FJ30" s="278">
        <v>0</v>
      </c>
      <c r="FK30" s="276">
        <v>0</v>
      </c>
      <c r="FL30" s="309">
        <v>0</v>
      </c>
      <c r="FM30" s="276">
        <v>0</v>
      </c>
      <c r="FN30" s="276">
        <v>0</v>
      </c>
      <c r="FO30" s="276">
        <v>0</v>
      </c>
      <c r="FP30" s="276">
        <v>0</v>
      </c>
      <c r="FQ30" s="276">
        <v>0</v>
      </c>
      <c r="FR30" s="313">
        <v>0</v>
      </c>
      <c r="FS30" s="345"/>
      <c r="FT30" s="286">
        <v>0</v>
      </c>
      <c r="FU30" s="260">
        <v>0</v>
      </c>
      <c r="FV30" s="260">
        <v>0</v>
      </c>
      <c r="FW30" s="260">
        <v>0</v>
      </c>
      <c r="FX30" s="287">
        <v>0</v>
      </c>
      <c r="FY30" s="327">
        <v>0</v>
      </c>
      <c r="FZ30" s="275">
        <v>0</v>
      </c>
      <c r="GA30" s="275">
        <v>0</v>
      </c>
      <c r="GB30" s="275">
        <v>0</v>
      </c>
      <c r="GC30" s="275">
        <v>0</v>
      </c>
      <c r="GD30" s="275">
        <v>0</v>
      </c>
      <c r="GE30" s="275">
        <v>0</v>
      </c>
      <c r="GF30" s="277">
        <v>0</v>
      </c>
      <c r="GG30" s="214">
        <v>0</v>
      </c>
      <c r="GH30" s="286">
        <v>0</v>
      </c>
      <c r="GI30" s="260">
        <v>0</v>
      </c>
      <c r="GJ30" s="260">
        <v>0</v>
      </c>
      <c r="GK30" s="260">
        <v>0</v>
      </c>
      <c r="GL30" s="291">
        <v>0</v>
      </c>
      <c r="GM30" s="275">
        <v>0</v>
      </c>
      <c r="GN30" s="275">
        <v>0</v>
      </c>
      <c r="GO30" s="275">
        <v>0</v>
      </c>
      <c r="GP30" s="275">
        <v>0</v>
      </c>
      <c r="GQ30" s="275">
        <v>0</v>
      </c>
      <c r="GR30" s="277">
        <v>0</v>
      </c>
      <c r="GS30" s="275">
        <v>0</v>
      </c>
      <c r="GT30" s="284">
        <v>0</v>
      </c>
      <c r="GU30" s="292">
        <v>0</v>
      </c>
      <c r="GW30" s="293">
        <v>0</v>
      </c>
      <c r="GX30" s="294"/>
      <c r="GY30" s="293">
        <v>0</v>
      </c>
      <c r="GZ30" s="293">
        <v>0</v>
      </c>
      <c r="HA30" s="293">
        <v>0</v>
      </c>
      <c r="HB30" s="293">
        <v>0</v>
      </c>
      <c r="HC30" s="295">
        <v>0</v>
      </c>
    </row>
    <row r="31" spans="1:211" s="381" customFormat="1" ht="12.75" customHeight="1" thickBot="1">
      <c r="A31" s="352"/>
      <c r="B31" s="353"/>
      <c r="C31" s="354"/>
      <c r="D31" s="1066" t="s">
        <v>176</v>
      </c>
      <c r="E31" s="1067"/>
      <c r="F31" s="1068"/>
      <c r="G31" s="355">
        <v>1088.3179999999998</v>
      </c>
      <c r="H31" s="355">
        <v>1423.702</v>
      </c>
      <c r="I31" s="355">
        <v>1546.5670000000002</v>
      </c>
      <c r="J31" s="355">
        <v>1192.0730000000001</v>
      </c>
      <c r="K31" s="355">
        <v>1123.6699999999994</v>
      </c>
      <c r="L31" s="355">
        <v>693.15099999999995</v>
      </c>
      <c r="M31" s="355">
        <v>939.21600000000001</v>
      </c>
      <c r="N31" s="355">
        <v>857.64600000000007</v>
      </c>
      <c r="O31" s="355">
        <v>813.92700000000002</v>
      </c>
      <c r="P31" s="355">
        <v>811.19</v>
      </c>
      <c r="Q31" s="355">
        <v>1047.1990000000001</v>
      </c>
      <c r="R31" s="355">
        <v>1104.4259999999999</v>
      </c>
      <c r="S31" s="261">
        <f t="shared" si="3"/>
        <v>2962.8150000000001</v>
      </c>
      <c r="T31" s="356">
        <v>991.82222799246722</v>
      </c>
      <c r="U31" s="355">
        <v>1925.8070218587357</v>
      </c>
      <c r="V31" s="357">
        <v>1328.7880722927557</v>
      </c>
      <c r="W31" s="355">
        <v>1730.4036584761971</v>
      </c>
      <c r="X31" s="355">
        <v>1321.3571685461995</v>
      </c>
      <c r="Y31" s="355">
        <v>1361.7254355269952</v>
      </c>
      <c r="Z31" s="355">
        <v>1038.1339909463507</v>
      </c>
      <c r="AA31" s="355">
        <v>1447.95059783083</v>
      </c>
      <c r="AB31" s="355">
        <v>952.60036524763359</v>
      </c>
      <c r="AC31" s="355">
        <v>1422.9365580064136</v>
      </c>
      <c r="AD31" s="355">
        <v>963.50777847906204</v>
      </c>
      <c r="AE31" s="355">
        <v>1293.9671247963624</v>
      </c>
      <c r="AF31" s="358"/>
      <c r="AG31" s="356">
        <v>0</v>
      </c>
      <c r="AH31" s="355">
        <v>1632.2485999999999</v>
      </c>
      <c r="AI31" s="357">
        <v>1755.8869999999999</v>
      </c>
      <c r="AJ31" s="355">
        <v>1143.0445999999999</v>
      </c>
      <c r="AK31" s="355">
        <v>1106.8155999999999</v>
      </c>
      <c r="AL31" s="355">
        <v>852.72249999999997</v>
      </c>
      <c r="AM31" s="355">
        <v>1026.9177</v>
      </c>
      <c r="AN31" s="355">
        <v>707</v>
      </c>
      <c r="AO31" s="355">
        <v>817</v>
      </c>
      <c r="AP31" s="355">
        <v>842.79000000000008</v>
      </c>
      <c r="AQ31" s="355">
        <v>982.93999999999994</v>
      </c>
      <c r="AR31" s="355">
        <v>994.44999999999993</v>
      </c>
      <c r="AS31" s="359">
        <v>0.25084616595590853</v>
      </c>
      <c r="AT31" s="355">
        <v>113193.27000012869</v>
      </c>
      <c r="AU31" s="355">
        <v>115493.29578099911</v>
      </c>
      <c r="AV31" s="355">
        <v>106931.35653353522</v>
      </c>
      <c r="AW31" s="355">
        <v>118305.40058368907</v>
      </c>
      <c r="AX31" s="355">
        <v>121055.9564551871</v>
      </c>
      <c r="AY31" s="355">
        <v>122680.85987036019</v>
      </c>
      <c r="AZ31" s="355">
        <v>111880.58040961827</v>
      </c>
      <c r="BA31" s="355">
        <v>117114.90655818366</v>
      </c>
      <c r="BB31" s="355">
        <v>118129.61371228621</v>
      </c>
      <c r="BC31" s="355">
        <v>118713.47035836238</v>
      </c>
      <c r="BD31" s="355">
        <v>115634.33420008994</v>
      </c>
      <c r="BE31" s="355">
        <v>108798.6682041169</v>
      </c>
      <c r="BF31" s="360"/>
      <c r="BG31" s="355">
        <v>111213.88510047854</v>
      </c>
      <c r="BH31" s="355">
        <v>111097.41364239951</v>
      </c>
      <c r="BI31" s="355">
        <v>112554.39014470227</v>
      </c>
      <c r="BJ31" s="355">
        <v>110655.87588824263</v>
      </c>
      <c r="BK31" s="355">
        <v>109051.12271373595</v>
      </c>
      <c r="BL31" s="355">
        <v>107125.30564905843</v>
      </c>
      <c r="BM31" s="355">
        <v>110979.62567491061</v>
      </c>
      <c r="BN31" s="355">
        <v>111214.27153624871</v>
      </c>
      <c r="BO31" s="355">
        <v>114966.87627676815</v>
      </c>
      <c r="BP31" s="355">
        <v>106343.38052369234</v>
      </c>
      <c r="BQ31" s="355">
        <v>115000.9115845483</v>
      </c>
      <c r="BR31" s="355">
        <v>109850.83824784074</v>
      </c>
      <c r="BS31" s="360"/>
      <c r="BT31" s="355">
        <v>0</v>
      </c>
      <c r="BU31" s="355">
        <v>114869.75844299865</v>
      </c>
      <c r="BV31" s="355">
        <v>109687.33909193039</v>
      </c>
      <c r="BW31" s="355">
        <v>122508.69212466713</v>
      </c>
      <c r="BX31" s="355">
        <v>121886.97269095687</v>
      </c>
      <c r="BY31" s="355">
        <v>123224.56724484812</v>
      </c>
      <c r="BZ31" s="355">
        <v>115709.76053276347</v>
      </c>
      <c r="CA31" s="355">
        <v>116734.25189027641</v>
      </c>
      <c r="CB31" s="355">
        <v>117882.8377605773</v>
      </c>
      <c r="CC31" s="355">
        <v>116127.09545768937</v>
      </c>
      <c r="CD31" s="355">
        <v>113101.63827025975</v>
      </c>
      <c r="CE31" s="355">
        <v>109434.65823601949</v>
      </c>
      <c r="CF31" s="361"/>
      <c r="CG31" s="362">
        <v>12.319027322000002</v>
      </c>
      <c r="CH31" s="362">
        <v>16.442803618999999</v>
      </c>
      <c r="CI31" s="362">
        <v>16.537650727999999</v>
      </c>
      <c r="CJ31" s="362">
        <v>14.102867378999999</v>
      </c>
      <c r="CK31" s="362">
        <v>13.602694659000001</v>
      </c>
      <c r="CL31" s="362">
        <v>8.5036360700000024</v>
      </c>
      <c r="CM31" s="362">
        <v>10.508003121000003</v>
      </c>
      <c r="CN31" s="362">
        <v>10.044313115</v>
      </c>
      <c r="CO31" s="362">
        <v>9.6148882099999984</v>
      </c>
      <c r="CP31" s="362">
        <v>9.6299180019999984</v>
      </c>
      <c r="CQ31" s="362">
        <v>12.109215914</v>
      </c>
      <c r="CR31" s="363">
        <v>12.016007793</v>
      </c>
      <c r="CS31" s="361">
        <v>0</v>
      </c>
      <c r="CT31" s="364">
        <v>11.030440330405488</v>
      </c>
      <c r="CU31" s="364">
        <v>21.395217930287746</v>
      </c>
      <c r="CV31" s="364">
        <v>14.956093110846565</v>
      </c>
      <c r="CW31" s="364">
        <v>19.147933246890307</v>
      </c>
      <c r="CX31" s="365">
        <v>14.409548273580629</v>
      </c>
      <c r="CY31" s="364">
        <v>14.587525349092656</v>
      </c>
      <c r="CZ31" s="364">
        <v>11.521172171562704</v>
      </c>
      <c r="DA31" s="364">
        <v>16.103277095823159</v>
      </c>
      <c r="DB31" s="364">
        <v>10.951748833262885</v>
      </c>
      <c r="DC31" s="364">
        <v>15.131988384914907</v>
      </c>
      <c r="DD31" s="364">
        <v>11.080427284389517</v>
      </c>
      <c r="DE31" s="366">
        <v>14.214337332402875</v>
      </c>
      <c r="DF31" s="390">
        <f t="shared" si="4"/>
        <v>40.426753001707297</v>
      </c>
      <c r="DG31" s="364">
        <v>0</v>
      </c>
      <c r="DH31" s="367">
        <v>18.749600240092271</v>
      </c>
      <c r="DI31" s="368">
        <v>19.259857277611239</v>
      </c>
      <c r="DJ31" s="367">
        <v>14.003289898616327</v>
      </c>
      <c r="DK31" s="369">
        <v>13.490640281112503</v>
      </c>
      <c r="DL31" s="369">
        <v>10.507636104244499</v>
      </c>
      <c r="DM31" s="369">
        <v>11.882440115385624</v>
      </c>
      <c r="DN31" s="369">
        <v>8.2531116086425431</v>
      </c>
      <c r="DO31" s="369">
        <v>9.6310278450391653</v>
      </c>
      <c r="DP31" s="369">
        <v>9.787075478078604</v>
      </c>
      <c r="DQ31" s="369">
        <v>11.117212432136911</v>
      </c>
      <c r="DR31" s="370">
        <v>10.882729588280956</v>
      </c>
      <c r="DS31" s="371"/>
      <c r="DT31" s="364">
        <v>0.1826835643294957</v>
      </c>
      <c r="DU31" s="369">
        <v>0.48885924560892524</v>
      </c>
      <c r="DV31" s="369">
        <v>0.20543811273275359</v>
      </c>
      <c r="DW31" s="369">
        <v>0.43282152858750339</v>
      </c>
      <c r="DX31" s="369">
        <v>0.83677721530856408</v>
      </c>
      <c r="DY31" s="369">
        <v>0.34784168875531407</v>
      </c>
      <c r="DZ31" s="369">
        <v>0.24505319618708887</v>
      </c>
      <c r="EA31" s="369">
        <v>0.77355240008116188</v>
      </c>
      <c r="EB31" s="369">
        <v>0.67117417361622222</v>
      </c>
      <c r="EC31" s="369">
        <v>0.48717971907344587</v>
      </c>
      <c r="ED31" s="369">
        <v>0.51077817680884618</v>
      </c>
      <c r="EE31" s="370">
        <v>0.42999549179504215</v>
      </c>
      <c r="EF31" s="361">
        <v>0</v>
      </c>
      <c r="EG31" s="364">
        <v>1.0731669700727697</v>
      </c>
      <c r="EH31" s="364">
        <v>-5.5782569305366003</v>
      </c>
      <c r="EI31" s="364">
        <v>2.4511974394456111</v>
      </c>
      <c r="EJ31" s="364">
        <v>-5.9569450531177983</v>
      </c>
      <c r="EK31" s="364">
        <v>-2.1558007676062676</v>
      </c>
      <c r="EL31" s="364">
        <v>-6.4317309678479697</v>
      </c>
      <c r="EM31" s="364">
        <v>-1.2582222467497923</v>
      </c>
      <c r="EN31" s="364">
        <v>-6.8325163809043188</v>
      </c>
      <c r="EO31" s="364">
        <v>-2.0080347968791092</v>
      </c>
      <c r="EP31" s="364">
        <v>-5.9892501019883522</v>
      </c>
      <c r="EQ31" s="364">
        <v>0.51801045280163893</v>
      </c>
      <c r="ER31" s="364">
        <v>-2.6283250311979205</v>
      </c>
      <c r="ES31" s="372"/>
      <c r="ET31" s="364">
        <v>12.319027322</v>
      </c>
      <c r="EU31" s="369">
        <v>2.9988042489493695E-2</v>
      </c>
      <c r="EV31" s="369">
        <v>0.26879389324276975</v>
      </c>
      <c r="EW31" s="369">
        <v>-0.23998556822127545</v>
      </c>
      <c r="EX31" s="369">
        <v>-3.2379575694443337E-2</v>
      </c>
      <c r="EY31" s="369">
        <v>5.5081148016052121E-2</v>
      </c>
      <c r="EZ31" s="369">
        <v>3.3474222319399158E-2</v>
      </c>
      <c r="FA31" s="369">
        <v>0.35521335217370165</v>
      </c>
      <c r="FB31" s="369">
        <v>0.25736706479478016</v>
      </c>
      <c r="FC31" s="369">
        <v>1.6801632110958553E-4</v>
      </c>
      <c r="FD31" s="369">
        <v>0.31399541596190639</v>
      </c>
      <c r="FE31" s="370">
        <v>1.3470230430664715E-3</v>
      </c>
      <c r="FF31" s="361">
        <v>0</v>
      </c>
      <c r="FG31" s="364">
        <v>0</v>
      </c>
      <c r="FH31" s="369">
        <v>-2.3367846635817617</v>
      </c>
      <c r="FI31" s="369">
        <v>-2.9910004428540118</v>
      </c>
      <c r="FJ31" s="369">
        <v>0.33956304860494618</v>
      </c>
      <c r="FK31" s="369">
        <v>0.14443395358193939</v>
      </c>
      <c r="FL31" s="369">
        <v>-2.0590811822605488</v>
      </c>
      <c r="FM31" s="369">
        <v>-1.4079112167050232</v>
      </c>
      <c r="FN31" s="369">
        <v>1.4359881541837556</v>
      </c>
      <c r="FO31" s="369">
        <v>-0.27350669983394549</v>
      </c>
      <c r="FP31" s="369">
        <v>-0.15732549239971408</v>
      </c>
      <c r="FQ31" s="369">
        <v>0.6780080659011819</v>
      </c>
      <c r="FR31" s="369">
        <v>1.1319311816759761</v>
      </c>
      <c r="FS31" s="372"/>
      <c r="FT31" s="373">
        <v>12641.084999999999</v>
      </c>
      <c r="FU31" s="373">
        <v>15779.000000000002</v>
      </c>
      <c r="FV31" s="373">
        <v>11861.816000000003</v>
      </c>
      <c r="FW31" s="373">
        <v>-3137.9150000000018</v>
      </c>
      <c r="FX31" s="373">
        <v>-0.19886653146587246</v>
      </c>
      <c r="FY31" s="373">
        <v>145.43102593200001</v>
      </c>
      <c r="FZ31" s="373">
        <v>174.52970934345944</v>
      </c>
      <c r="GA31" s="373">
        <v>137.56462086924063</v>
      </c>
      <c r="GB31" s="373">
        <v>-29.098683411459433</v>
      </c>
      <c r="GC31" s="374">
        <v>-34.710837924343799</v>
      </c>
      <c r="GD31" s="373">
        <v>5.6121545128843637</v>
      </c>
      <c r="GE31" s="374">
        <v>-5.4956852936872069</v>
      </c>
      <c r="GF31" s="375">
        <v>13.362090356446561</v>
      </c>
      <c r="GG31" s="376">
        <v>0</v>
      </c>
      <c r="GH31" s="373">
        <v>1104.4259999999999</v>
      </c>
      <c r="GI31" s="373">
        <v>1293.9671247963624</v>
      </c>
      <c r="GJ31" s="373">
        <v>994.44999999999993</v>
      </c>
      <c r="GK31" s="373">
        <v>-189.54112479636228</v>
      </c>
      <c r="GL31" s="377">
        <v>-0.14648063398534275</v>
      </c>
      <c r="GM31" s="378">
        <v>12.016007793</v>
      </c>
      <c r="GN31" s="378">
        <v>14.214337332402875</v>
      </c>
      <c r="GO31" s="378">
        <v>10.882729588280956</v>
      </c>
      <c r="GP31" s="378">
        <v>-2.1983295394028777</v>
      </c>
      <c r="GQ31" s="378">
        <v>-2.6283250311979205</v>
      </c>
      <c r="GR31" s="378">
        <v>0.42999549179504215</v>
      </c>
      <c r="GS31" s="378">
        <v>1.1319311816759761</v>
      </c>
      <c r="GT31" s="379">
        <v>1.3470230430664715E-3</v>
      </c>
      <c r="GU31" s="380">
        <v>0.93658350767392629</v>
      </c>
      <c r="GV31" s="376">
        <v>0</v>
      </c>
      <c r="GW31" s="380">
        <v>11.14418981528152</v>
      </c>
      <c r="GX31" s="380">
        <v>0</v>
      </c>
      <c r="GY31" s="380">
        <v>7.8664050627593474</v>
      </c>
      <c r="GZ31" s="380">
        <v>4.3298697960381105E-15</v>
      </c>
      <c r="HA31" s="380">
        <v>1.1332782047190422</v>
      </c>
      <c r="HB31" s="380">
        <v>1.3470230430660604E-3</v>
      </c>
      <c r="HC31" s="380">
        <v>11.151206938412772</v>
      </c>
    </row>
    <row r="32" spans="1:211" ht="12.75" customHeight="1">
      <c r="A32" s="213"/>
      <c r="B32" s="328" t="s">
        <v>177</v>
      </c>
      <c r="C32" s="297" t="s">
        <v>135</v>
      </c>
      <c r="D32" s="298" t="s">
        <v>49</v>
      </c>
      <c r="E32" s="299" t="s">
        <v>178</v>
      </c>
      <c r="F32" s="382" t="s">
        <v>179</v>
      </c>
      <c r="G32" s="318">
        <v>15.423999999999999</v>
      </c>
      <c r="H32" s="318">
        <v>157.22399999999999</v>
      </c>
      <c r="I32" s="319">
        <v>101.48999999999998</v>
      </c>
      <c r="J32" s="320">
        <v>100.596</v>
      </c>
      <c r="K32" s="320">
        <v>10.433</v>
      </c>
      <c r="L32" s="261">
        <v>0</v>
      </c>
      <c r="M32" s="261">
        <v>0</v>
      </c>
      <c r="N32" s="261">
        <v>0</v>
      </c>
      <c r="O32" s="261">
        <v>0</v>
      </c>
      <c r="P32" s="261">
        <v>0</v>
      </c>
      <c r="Q32" s="261">
        <v>0</v>
      </c>
      <c r="R32" s="303">
        <v>0</v>
      </c>
      <c r="S32" s="261">
        <f t="shared" si="3"/>
        <v>0</v>
      </c>
      <c r="T32" s="270">
        <v>124.09546185235563</v>
      </c>
      <c r="U32" s="304">
        <v>121.11289724248789</v>
      </c>
      <c r="V32" s="258">
        <v>58.577964634598722</v>
      </c>
      <c r="W32" s="259">
        <v>67.2239396562384</v>
      </c>
      <c r="X32" s="259">
        <v>107.05247104406249</v>
      </c>
      <c r="Y32" s="259">
        <v>69.134825440006594</v>
      </c>
      <c r="Z32" s="259">
        <v>43.505214129673128</v>
      </c>
      <c r="AA32" s="259">
        <v>42.6726021186266</v>
      </c>
      <c r="AB32" s="259">
        <v>110.68298915955646</v>
      </c>
      <c r="AC32" s="259">
        <v>55.941634722393943</v>
      </c>
      <c r="AD32" s="259">
        <v>0</v>
      </c>
      <c r="AE32" s="268">
        <v>0</v>
      </c>
      <c r="AG32" s="270">
        <v>0</v>
      </c>
      <c r="AH32" s="304">
        <v>164.84809999999999</v>
      </c>
      <c r="AI32" s="258">
        <v>70</v>
      </c>
      <c r="AJ32" s="259">
        <v>113.4023</v>
      </c>
      <c r="AK32" s="259">
        <v>12.0763</v>
      </c>
      <c r="AL32" s="259">
        <v>0</v>
      </c>
      <c r="AM32" s="259">
        <v>0</v>
      </c>
      <c r="AN32" s="259">
        <v>0</v>
      </c>
      <c r="AO32" s="259">
        <v>0</v>
      </c>
      <c r="AP32" s="259">
        <v>0</v>
      </c>
      <c r="AQ32" s="259">
        <v>0</v>
      </c>
      <c r="AR32" s="268">
        <v>0</v>
      </c>
      <c r="AS32" s="269">
        <v>0</v>
      </c>
      <c r="AT32" s="321">
        <v>116856.70383817425</v>
      </c>
      <c r="AU32" s="320">
        <v>116867.89993894064</v>
      </c>
      <c r="AV32" s="259">
        <v>116867.00758695439</v>
      </c>
      <c r="AW32" s="320">
        <v>121758.6782774663</v>
      </c>
      <c r="AX32" s="320">
        <v>121567.22994344869</v>
      </c>
      <c r="AY32" s="320">
        <v>0</v>
      </c>
      <c r="AZ32" s="320">
        <v>0</v>
      </c>
      <c r="BA32" s="320">
        <v>0</v>
      </c>
      <c r="BB32" s="320">
        <v>0</v>
      </c>
      <c r="BC32" s="320">
        <v>0</v>
      </c>
      <c r="BD32" s="320">
        <v>0</v>
      </c>
      <c r="BE32" s="322">
        <v>0</v>
      </c>
      <c r="BG32" s="321">
        <v>102513.1474956306</v>
      </c>
      <c r="BH32" s="320">
        <v>102513.14749563059</v>
      </c>
      <c r="BI32" s="259">
        <v>102513.1474956306</v>
      </c>
      <c r="BJ32" s="320">
        <v>102513.1474956306</v>
      </c>
      <c r="BK32" s="320">
        <v>102513.1474956306</v>
      </c>
      <c r="BL32" s="320">
        <v>102513.14749563059</v>
      </c>
      <c r="BM32" s="320">
        <v>102513.14749563059</v>
      </c>
      <c r="BN32" s="320">
        <v>102513.14749563059</v>
      </c>
      <c r="BO32" s="320">
        <v>102513.1474956306</v>
      </c>
      <c r="BP32" s="320">
        <v>102513.14749563059</v>
      </c>
      <c r="BQ32" s="320">
        <v>0</v>
      </c>
      <c r="BR32" s="322">
        <v>0</v>
      </c>
      <c r="BT32" s="270">
        <v>0</v>
      </c>
      <c r="BU32" s="323">
        <v>116867.67146296811</v>
      </c>
      <c r="BV32" s="323">
        <v>116867.67146296809</v>
      </c>
      <c r="BW32" s="323">
        <v>116867.67146296811</v>
      </c>
      <c r="BX32" s="323">
        <v>121758.9430940703</v>
      </c>
      <c r="BY32" s="323">
        <v>0</v>
      </c>
      <c r="BZ32" s="323">
        <v>0</v>
      </c>
      <c r="CA32" s="323">
        <v>0</v>
      </c>
      <c r="CB32" s="323">
        <v>0</v>
      </c>
      <c r="CC32" s="323">
        <v>0</v>
      </c>
      <c r="CD32" s="323">
        <v>0</v>
      </c>
      <c r="CE32" s="324">
        <v>0</v>
      </c>
      <c r="CF32" s="212"/>
      <c r="CG32" s="273">
        <v>0.18023977999999996</v>
      </c>
      <c r="CH32" s="325">
        <v>1.8374438700000002</v>
      </c>
      <c r="CI32" s="325">
        <v>1.18608326</v>
      </c>
      <c r="CJ32" s="325">
        <v>1.2248436</v>
      </c>
      <c r="CK32" s="325">
        <v>0.12683109100000001</v>
      </c>
      <c r="CL32" s="276">
        <v>0</v>
      </c>
      <c r="CM32" s="276">
        <v>0</v>
      </c>
      <c r="CN32" s="276">
        <v>0</v>
      </c>
      <c r="CO32" s="276">
        <v>0</v>
      </c>
      <c r="CP32" s="276">
        <v>0</v>
      </c>
      <c r="CQ32" s="276">
        <v>0</v>
      </c>
      <c r="CR32" s="313">
        <v>0</v>
      </c>
      <c r="CS32" s="212"/>
      <c r="CT32" s="273">
        <v>1.2721416384408932</v>
      </c>
      <c r="CU32" s="278">
        <v>1.2415664298642313</v>
      </c>
      <c r="CV32" s="278">
        <v>0.60050115285804517</v>
      </c>
      <c r="CW32" s="278">
        <v>0.68913376412173377</v>
      </c>
      <c r="CX32" s="278">
        <v>1.0974285753911701</v>
      </c>
      <c r="CY32" s="278">
        <v>0.70872285574160698</v>
      </c>
      <c r="CZ32" s="278">
        <v>0.44598564329041734</v>
      </c>
      <c r="DA32" s="278">
        <v>0.4374502755009127</v>
      </c>
      <c r="DB32" s="278">
        <v>1.1346461592970893</v>
      </c>
      <c r="DC32" s="278">
        <v>0.57347530514434597</v>
      </c>
      <c r="DD32" s="278">
        <v>0</v>
      </c>
      <c r="DE32" s="278">
        <v>0</v>
      </c>
      <c r="DF32" s="390">
        <f t="shared" si="4"/>
        <v>0.57347530514434597</v>
      </c>
      <c r="DG32" s="273">
        <v>0</v>
      </c>
      <c r="DH32" s="311">
        <v>1.9265413592094511</v>
      </c>
      <c r="DI32" s="309">
        <v>0.81807370024077664</v>
      </c>
      <c r="DJ32" s="278">
        <v>1.3253062739544947</v>
      </c>
      <c r="DK32" s="278">
        <v>0.14703975244869213</v>
      </c>
      <c r="DL32" s="278">
        <v>0</v>
      </c>
      <c r="DM32" s="278">
        <v>0</v>
      </c>
      <c r="DN32" s="278">
        <v>0</v>
      </c>
      <c r="DO32" s="278">
        <v>0</v>
      </c>
      <c r="DP32" s="278">
        <v>0</v>
      </c>
      <c r="DQ32" s="278">
        <v>0</v>
      </c>
      <c r="DR32" s="282">
        <v>0</v>
      </c>
      <c r="DS32" s="283"/>
      <c r="DT32" s="312">
        <v>2.2123501302739313E-2</v>
      </c>
      <c r="DU32" s="274">
        <v>0.22569115981469787</v>
      </c>
      <c r="DV32" s="274">
        <v>0.14567732606684511</v>
      </c>
      <c r="DW32" s="278">
        <v>0.19360234145295438</v>
      </c>
      <c r="DX32" s="276">
        <v>1.9879124217808609E-2</v>
      </c>
      <c r="DY32" s="309">
        <v>0</v>
      </c>
      <c r="DZ32" s="276">
        <v>0</v>
      </c>
      <c r="EA32" s="276">
        <v>0</v>
      </c>
      <c r="EB32" s="276">
        <v>0</v>
      </c>
      <c r="EC32" s="276">
        <v>0</v>
      </c>
      <c r="ED32" s="276">
        <v>0</v>
      </c>
      <c r="EE32" s="313">
        <v>0</v>
      </c>
      <c r="EF32" s="212"/>
      <c r="EG32" s="312">
        <v>-1.1140253597436327</v>
      </c>
      <c r="EH32" s="274">
        <v>0.37018628032107104</v>
      </c>
      <c r="EI32" s="278">
        <v>0.43990478107510961</v>
      </c>
      <c r="EJ32" s="278">
        <v>0.3421074944253118</v>
      </c>
      <c r="EK32" s="276">
        <v>-0.99047660860897879</v>
      </c>
      <c r="EL32" s="309">
        <v>-0.70872285574160698</v>
      </c>
      <c r="EM32" s="276">
        <v>-0.44598564329041734</v>
      </c>
      <c r="EN32" s="276">
        <v>-0.4374502755009127</v>
      </c>
      <c r="EO32" s="276">
        <v>-1.1346461592970896</v>
      </c>
      <c r="EP32" s="276">
        <v>-0.57347530514434597</v>
      </c>
      <c r="EQ32" s="276">
        <v>0</v>
      </c>
      <c r="ER32" s="313">
        <v>0</v>
      </c>
      <c r="ES32" s="283"/>
      <c r="ET32" s="312">
        <v>0.18023977999999996</v>
      </c>
      <c r="EU32" s="274">
        <v>3.5921906305033127E-6</v>
      </c>
      <c r="EV32" s="274">
        <v>-6.737677663034569E-6</v>
      </c>
      <c r="EW32" s="278">
        <v>4.920157215112602E-2</v>
      </c>
      <c r="EX32" s="276">
        <v>-2.0001433004352581E-4</v>
      </c>
      <c r="EY32" s="309">
        <v>0</v>
      </c>
      <c r="EZ32" s="276">
        <v>0</v>
      </c>
      <c r="FA32" s="276">
        <v>0</v>
      </c>
      <c r="FB32" s="276">
        <v>0</v>
      </c>
      <c r="FC32" s="276">
        <v>0</v>
      </c>
      <c r="FD32" s="276">
        <v>0</v>
      </c>
      <c r="FE32" s="313">
        <v>0</v>
      </c>
      <c r="FF32" s="212"/>
      <c r="FG32" s="312">
        <v>0</v>
      </c>
      <c r="FH32" s="274">
        <v>-8.9101081400081508E-2</v>
      </c>
      <c r="FI32" s="278">
        <v>0.3680162974368863</v>
      </c>
      <c r="FJ32" s="278">
        <v>-0.14966424610562079</v>
      </c>
      <c r="FK32" s="276">
        <v>-2.0008647118648571E-2</v>
      </c>
      <c r="FL32" s="309">
        <v>0</v>
      </c>
      <c r="FM32" s="276">
        <v>0</v>
      </c>
      <c r="FN32" s="276">
        <v>0</v>
      </c>
      <c r="FO32" s="276">
        <v>0</v>
      </c>
      <c r="FP32" s="276">
        <v>0</v>
      </c>
      <c r="FQ32" s="276">
        <v>0</v>
      </c>
      <c r="FR32" s="313">
        <v>0</v>
      </c>
      <c r="FS32" s="283"/>
      <c r="FT32" s="286">
        <v>385.16699999999997</v>
      </c>
      <c r="FU32" s="260">
        <v>799.99999999999989</v>
      </c>
      <c r="FV32" s="260">
        <v>360.32670000000002</v>
      </c>
      <c r="FW32" s="260">
        <v>-414.83299999999991</v>
      </c>
      <c r="FX32" s="287">
        <v>-0.51854124999999995</v>
      </c>
      <c r="FY32" s="314">
        <v>4.5554416010000001</v>
      </c>
      <c r="FZ32" s="275">
        <v>8.2010517996504468</v>
      </c>
      <c r="GA32" s="275">
        <v>4.2169610858534146</v>
      </c>
      <c r="GB32" s="275">
        <v>-3.6456101986504468</v>
      </c>
      <c r="GC32" s="275">
        <v>-4.2525836515054909</v>
      </c>
      <c r="GD32" s="275">
        <v>0.60697345285504523</v>
      </c>
      <c r="GE32" s="275">
        <v>0.10924232281253544</v>
      </c>
      <c r="GF32" s="277">
        <v>0.22923819233404993</v>
      </c>
      <c r="GG32" s="214">
        <v>0</v>
      </c>
      <c r="GH32" s="286">
        <v>0</v>
      </c>
      <c r="GI32" s="260">
        <v>0</v>
      </c>
      <c r="GJ32" s="260">
        <v>0</v>
      </c>
      <c r="GK32" s="260">
        <v>0</v>
      </c>
      <c r="GL32" s="291">
        <v>0</v>
      </c>
      <c r="GM32" s="275">
        <v>0</v>
      </c>
      <c r="GN32" s="275">
        <v>0</v>
      </c>
      <c r="GO32" s="275">
        <v>0</v>
      </c>
      <c r="GP32" s="275">
        <v>0</v>
      </c>
      <c r="GQ32" s="275">
        <v>0</v>
      </c>
      <c r="GR32" s="277">
        <v>0</v>
      </c>
      <c r="GS32" s="275">
        <v>0</v>
      </c>
      <c r="GT32" s="284">
        <v>0</v>
      </c>
      <c r="GU32" s="292">
        <v>0</v>
      </c>
      <c r="GV32" s="214">
        <v>0</v>
      </c>
      <c r="GW32" s="293">
        <v>0</v>
      </c>
      <c r="GX32" s="294"/>
      <c r="GY32" s="293">
        <v>0.3384805151465855</v>
      </c>
      <c r="GZ32" s="293">
        <v>0</v>
      </c>
      <c r="HA32" s="293">
        <v>0</v>
      </c>
      <c r="HB32" s="293">
        <v>0</v>
      </c>
      <c r="HC32" s="295">
        <v>0</v>
      </c>
    </row>
    <row r="33" spans="1:211" ht="12.75" customHeight="1">
      <c r="A33" s="213"/>
      <c r="B33" s="328" t="s">
        <v>180</v>
      </c>
      <c r="C33" s="297" t="s">
        <v>135</v>
      </c>
      <c r="D33" s="298" t="s">
        <v>49</v>
      </c>
      <c r="E33" s="299" t="s">
        <v>178</v>
      </c>
      <c r="F33" s="382" t="s">
        <v>142</v>
      </c>
      <c r="G33" s="301">
        <v>99.219000000000023</v>
      </c>
      <c r="H33" s="301">
        <v>136.90100000000001</v>
      </c>
      <c r="I33" s="258">
        <v>34.160000000000004</v>
      </c>
      <c r="J33" s="302">
        <v>29.569999999999997</v>
      </c>
      <c r="K33" s="302">
        <v>2.6459999999999999</v>
      </c>
      <c r="L33" s="261">
        <v>0</v>
      </c>
      <c r="M33" s="261">
        <v>0</v>
      </c>
      <c r="N33" s="261">
        <v>0</v>
      </c>
      <c r="O33" s="261">
        <v>16.276</v>
      </c>
      <c r="P33" s="261">
        <v>28.414999999999999</v>
      </c>
      <c r="Q33" s="261">
        <v>0</v>
      </c>
      <c r="R33" s="303">
        <v>0</v>
      </c>
      <c r="S33" s="261">
        <f t="shared" si="3"/>
        <v>28.414999999999999</v>
      </c>
      <c r="T33" s="270">
        <v>32.173534297637858</v>
      </c>
      <c r="U33" s="304">
        <v>5.0646246100239045</v>
      </c>
      <c r="V33" s="258">
        <v>27.152465459260153</v>
      </c>
      <c r="W33" s="259">
        <v>190.55548802722743</v>
      </c>
      <c r="X33" s="259">
        <v>53.276812122685456</v>
      </c>
      <c r="Y33" s="259">
        <v>55.409019083505527</v>
      </c>
      <c r="Z33" s="259">
        <v>38.036343746201524</v>
      </c>
      <c r="AA33" s="259">
        <v>72.728009399943261</v>
      </c>
      <c r="AB33" s="259">
        <v>0</v>
      </c>
      <c r="AC33" s="259">
        <v>75.603703253514851</v>
      </c>
      <c r="AD33" s="259">
        <v>0</v>
      </c>
      <c r="AE33" s="268">
        <v>0</v>
      </c>
      <c r="AG33" s="270">
        <v>0</v>
      </c>
      <c r="AH33" s="304">
        <v>139.37</v>
      </c>
      <c r="AI33" s="258">
        <v>73</v>
      </c>
      <c r="AJ33" s="259">
        <v>20</v>
      </c>
      <c r="AK33" s="259">
        <v>0</v>
      </c>
      <c r="AL33" s="259">
        <v>0</v>
      </c>
      <c r="AM33" s="259">
        <v>0</v>
      </c>
      <c r="AN33" s="259">
        <v>0</v>
      </c>
      <c r="AO33" s="259">
        <v>0</v>
      </c>
      <c r="AP33" s="259">
        <v>29</v>
      </c>
      <c r="AQ33" s="259">
        <v>0</v>
      </c>
      <c r="AR33" s="268">
        <v>0</v>
      </c>
      <c r="AS33" s="269">
        <v>0</v>
      </c>
      <c r="AT33" s="305">
        <v>109895.10900130011</v>
      </c>
      <c r="AU33" s="302">
        <v>110011.8631711967</v>
      </c>
      <c r="AV33" s="259">
        <v>108967.76346604215</v>
      </c>
      <c r="AW33" s="302">
        <v>110735.25634088606</v>
      </c>
      <c r="AX33" s="302">
        <v>110950.92592592594</v>
      </c>
      <c r="AY33" s="302">
        <v>0</v>
      </c>
      <c r="AZ33" s="302">
        <v>0</v>
      </c>
      <c r="BA33" s="302">
        <v>0</v>
      </c>
      <c r="BB33" s="302">
        <v>103582.63946915703</v>
      </c>
      <c r="BC33" s="302">
        <v>103584.4560971318</v>
      </c>
      <c r="BD33" s="302">
        <v>0</v>
      </c>
      <c r="BE33" s="306">
        <v>0</v>
      </c>
      <c r="BG33" s="305">
        <v>96815.585722426535</v>
      </c>
      <c r="BH33" s="320">
        <v>96815.585722426535</v>
      </c>
      <c r="BI33" s="302">
        <v>96815.585722426535</v>
      </c>
      <c r="BJ33" s="302">
        <v>96815.58572242652</v>
      </c>
      <c r="BK33" s="302">
        <v>96815.585722426535</v>
      </c>
      <c r="BL33" s="302">
        <v>96815.585722426535</v>
      </c>
      <c r="BM33" s="302">
        <v>96815.585722426535</v>
      </c>
      <c r="BN33" s="302">
        <v>96815.585722426535</v>
      </c>
      <c r="BO33" s="302">
        <v>103582.63946915703</v>
      </c>
      <c r="BP33" s="302">
        <v>96815.585722426535</v>
      </c>
      <c r="BQ33" s="302">
        <v>0</v>
      </c>
      <c r="BR33" s="306">
        <v>0</v>
      </c>
      <c r="BT33" s="270">
        <v>0</v>
      </c>
      <c r="BU33" s="307">
        <v>109252.53313374742</v>
      </c>
      <c r="BV33" s="307">
        <v>109324.65575618621</v>
      </c>
      <c r="BW33" s="307">
        <v>109805.5423008339</v>
      </c>
      <c r="BX33" s="307">
        <v>0</v>
      </c>
      <c r="BY33" s="307">
        <v>0</v>
      </c>
      <c r="BZ33" s="307">
        <v>0</v>
      </c>
      <c r="CA33" s="307">
        <v>0</v>
      </c>
      <c r="CB33" s="307">
        <v>0</v>
      </c>
      <c r="CC33" s="307">
        <v>109805.54230083391</v>
      </c>
      <c r="CD33" s="307">
        <v>0</v>
      </c>
      <c r="CE33" s="308">
        <v>0</v>
      </c>
      <c r="CF33" s="212"/>
      <c r="CG33" s="273">
        <v>1.0903682819999998</v>
      </c>
      <c r="CH33" s="329">
        <v>1.5060734080000002</v>
      </c>
      <c r="CI33" s="274">
        <v>0.37223388000000002</v>
      </c>
      <c r="CJ33" s="274">
        <v>0.32744415300000002</v>
      </c>
      <c r="CK33" s="274">
        <v>2.9357615000000004E-2</v>
      </c>
      <c r="CL33" s="309">
        <v>0</v>
      </c>
      <c r="CM33" s="276">
        <v>0</v>
      </c>
      <c r="CN33" s="276">
        <v>0</v>
      </c>
      <c r="CO33" s="276">
        <v>0.16859110399999999</v>
      </c>
      <c r="CP33" s="276">
        <v>0.294335232</v>
      </c>
      <c r="CQ33" s="276">
        <v>0</v>
      </c>
      <c r="CR33" s="313">
        <v>0</v>
      </c>
      <c r="CS33" s="212"/>
      <c r="CT33" s="273">
        <v>0.31148995677863883</v>
      </c>
      <c r="CU33" s="278">
        <v>4.9033459808368041E-2</v>
      </c>
      <c r="CV33" s="278">
        <v>0.26287818472462271</v>
      </c>
      <c r="CW33" s="278">
        <v>1.8448741185978859</v>
      </c>
      <c r="CX33" s="278">
        <v>0.5158025771081467</v>
      </c>
      <c r="CY33" s="278">
        <v>0.53644566368746971</v>
      </c>
      <c r="CZ33" s="278">
        <v>0.36825108985280564</v>
      </c>
      <c r="DA33" s="278">
        <v>0.70412048284816497</v>
      </c>
      <c r="DB33" s="278">
        <v>0</v>
      </c>
      <c r="DC33" s="278">
        <v>0.73196168132735651</v>
      </c>
      <c r="DD33" s="278">
        <v>0</v>
      </c>
      <c r="DE33" s="278">
        <v>0</v>
      </c>
      <c r="DF33" s="390">
        <f t="shared" si="4"/>
        <v>0.73196168132735651</v>
      </c>
      <c r="DG33" s="273">
        <v>0</v>
      </c>
      <c r="DH33" s="311">
        <v>1.5226525542850378</v>
      </c>
      <c r="DI33" s="309">
        <v>0.7980699870201593</v>
      </c>
      <c r="DJ33" s="278">
        <v>0.21961108460166781</v>
      </c>
      <c r="DK33" s="278">
        <v>0</v>
      </c>
      <c r="DL33" s="278">
        <v>0</v>
      </c>
      <c r="DM33" s="278">
        <v>0</v>
      </c>
      <c r="DN33" s="278">
        <v>0</v>
      </c>
      <c r="DO33" s="278">
        <v>0</v>
      </c>
      <c r="DP33" s="278">
        <v>0.31843607267241836</v>
      </c>
      <c r="DQ33" s="278">
        <v>0</v>
      </c>
      <c r="DR33" s="282">
        <v>0</v>
      </c>
      <c r="DS33" s="283"/>
      <c r="DT33" s="312">
        <v>0.12977372202065574</v>
      </c>
      <c r="DU33" s="274">
        <v>0.1806583579014085</v>
      </c>
      <c r="DV33" s="274">
        <v>4.1511839172190937E-2</v>
      </c>
      <c r="DW33" s="278">
        <v>4.1160466018784848E-2</v>
      </c>
      <c r="DX33" s="276">
        <v>3.7402110178459428E-3</v>
      </c>
      <c r="DY33" s="309">
        <v>0</v>
      </c>
      <c r="DZ33" s="276">
        <v>0</v>
      </c>
      <c r="EA33" s="276">
        <v>0</v>
      </c>
      <c r="EB33" s="276">
        <v>0</v>
      </c>
      <c r="EC33" s="276">
        <v>1.9233745169725008E-2</v>
      </c>
      <c r="ED33" s="276">
        <v>0</v>
      </c>
      <c r="EE33" s="313">
        <v>0</v>
      </c>
      <c r="EF33" s="212"/>
      <c r="EG33" s="312">
        <v>0.64910460320070529</v>
      </c>
      <c r="EH33" s="274">
        <v>1.2763815902902234</v>
      </c>
      <c r="EI33" s="278">
        <v>6.7843856103186384E-2</v>
      </c>
      <c r="EJ33" s="278">
        <v>-1.5585904316166705</v>
      </c>
      <c r="EK33" s="276">
        <v>-0.49018517312599263</v>
      </c>
      <c r="EL33" s="309">
        <v>-0.53644566368746971</v>
      </c>
      <c r="EM33" s="276">
        <v>-0.36825108985280564</v>
      </c>
      <c r="EN33" s="276">
        <v>-0.70412048284816497</v>
      </c>
      <c r="EO33" s="276">
        <v>0.16859110399999999</v>
      </c>
      <c r="EP33" s="276">
        <v>-0.45686019449708154</v>
      </c>
      <c r="EQ33" s="276">
        <v>0</v>
      </c>
      <c r="ER33" s="313">
        <v>0</v>
      </c>
      <c r="ES33" s="283"/>
      <c r="ET33" s="312">
        <v>1.0903682819999998</v>
      </c>
      <c r="EU33" s="274">
        <v>1.0395304145684427E-2</v>
      </c>
      <c r="EV33" s="274">
        <v>-1.2191440631321342E-3</v>
      </c>
      <c r="EW33" s="278">
        <v>2.7491644164342375E-3</v>
      </c>
      <c r="EX33" s="276">
        <v>2.9357615000000004E-2</v>
      </c>
      <c r="EY33" s="309">
        <v>0</v>
      </c>
      <c r="EZ33" s="276">
        <v>0</v>
      </c>
      <c r="FA33" s="276">
        <v>0</v>
      </c>
      <c r="FB33" s="276">
        <v>0.16859110399999999</v>
      </c>
      <c r="FC33" s="276">
        <v>-1.7677216447819558E-2</v>
      </c>
      <c r="FD33" s="276">
        <v>0</v>
      </c>
      <c r="FE33" s="313">
        <v>0</v>
      </c>
      <c r="FF33" s="212"/>
      <c r="FG33" s="312">
        <v>0</v>
      </c>
      <c r="FH33" s="274">
        <v>-2.6974450430722174E-2</v>
      </c>
      <c r="FI33" s="278">
        <v>-0.42461696295702717</v>
      </c>
      <c r="FJ33" s="278">
        <v>0.105083903981898</v>
      </c>
      <c r="FK33" s="276">
        <v>0</v>
      </c>
      <c r="FL33" s="309">
        <v>0</v>
      </c>
      <c r="FM33" s="276">
        <v>0</v>
      </c>
      <c r="FN33" s="276">
        <v>0</v>
      </c>
      <c r="FO33" s="276">
        <v>0</v>
      </c>
      <c r="FP33" s="276">
        <v>-6.4236242245987929E-3</v>
      </c>
      <c r="FQ33" s="276">
        <v>0</v>
      </c>
      <c r="FR33" s="313">
        <v>0</v>
      </c>
      <c r="FS33" s="283"/>
      <c r="FT33" s="286">
        <v>347.18700000000007</v>
      </c>
      <c r="FU33" s="260">
        <v>549.99999999999989</v>
      </c>
      <c r="FV33" s="260">
        <v>261.37</v>
      </c>
      <c r="FW33" s="260">
        <v>-202.81299999999982</v>
      </c>
      <c r="FX33" s="287">
        <v>-0.36875090909090885</v>
      </c>
      <c r="FY33" s="314">
        <v>3.7884036739999996</v>
      </c>
      <c r="FZ33" s="275">
        <v>5.3248572147334592</v>
      </c>
      <c r="GA33" s="275">
        <v>2.8587696985792834</v>
      </c>
      <c r="GB33" s="275">
        <v>-1.5364535407334596</v>
      </c>
      <c r="GC33" s="275">
        <v>-1.95253188203407</v>
      </c>
      <c r="GD33" s="275">
        <v>0.41607834130061094</v>
      </c>
      <c r="GE33" s="275">
        <v>-0.35293113363045014</v>
      </c>
      <c r="GF33" s="277">
        <v>1.2825651090511663</v>
      </c>
      <c r="GG33" s="214">
        <v>0</v>
      </c>
      <c r="GH33" s="286">
        <v>0</v>
      </c>
      <c r="GI33" s="260">
        <v>0</v>
      </c>
      <c r="GJ33" s="260">
        <v>0</v>
      </c>
      <c r="GK33" s="260">
        <v>0</v>
      </c>
      <c r="GL33" s="291">
        <v>0</v>
      </c>
      <c r="GM33" s="275">
        <v>0</v>
      </c>
      <c r="GN33" s="275">
        <v>0</v>
      </c>
      <c r="GO33" s="275">
        <v>0</v>
      </c>
      <c r="GP33" s="275">
        <v>0</v>
      </c>
      <c r="GQ33" s="275">
        <v>0</v>
      </c>
      <c r="GR33" s="277">
        <v>0</v>
      </c>
      <c r="GS33" s="275">
        <v>0</v>
      </c>
      <c r="GT33" s="284">
        <v>0</v>
      </c>
      <c r="GU33" s="292">
        <v>0</v>
      </c>
      <c r="GV33" s="214">
        <v>0</v>
      </c>
      <c r="GW33" s="293">
        <v>0</v>
      </c>
      <c r="GX33" s="294"/>
      <c r="GY33" s="293">
        <v>0.92963397542071613</v>
      </c>
      <c r="GZ33" s="293">
        <v>0</v>
      </c>
      <c r="HA33" s="293">
        <v>0</v>
      </c>
      <c r="HB33" s="293">
        <v>0</v>
      </c>
      <c r="HC33" s="295">
        <v>0</v>
      </c>
    </row>
    <row r="34" spans="1:211" ht="16.5" customHeight="1">
      <c r="A34" s="213"/>
      <c r="B34" s="328" t="s">
        <v>181</v>
      </c>
      <c r="C34" s="297" t="s">
        <v>135</v>
      </c>
      <c r="D34" s="298" t="s">
        <v>49</v>
      </c>
      <c r="E34" s="299" t="s">
        <v>178</v>
      </c>
      <c r="F34" s="382" t="s">
        <v>182</v>
      </c>
      <c r="G34" s="301">
        <v>0</v>
      </c>
      <c r="H34" s="301">
        <v>18.143999999999998</v>
      </c>
      <c r="I34" s="258">
        <v>39.443999999999996</v>
      </c>
      <c r="J34" s="302">
        <v>0</v>
      </c>
      <c r="K34" s="302">
        <v>0</v>
      </c>
      <c r="L34" s="261">
        <v>0</v>
      </c>
      <c r="M34" s="261">
        <v>0</v>
      </c>
      <c r="N34" s="261">
        <v>0</v>
      </c>
      <c r="O34" s="261">
        <v>0</v>
      </c>
      <c r="P34" s="261">
        <v>0</v>
      </c>
      <c r="Q34" s="261">
        <v>0</v>
      </c>
      <c r="R34" s="303">
        <v>0</v>
      </c>
      <c r="S34" s="261">
        <f t="shared" si="3"/>
        <v>0</v>
      </c>
      <c r="T34" s="270">
        <v>79.314932166930575</v>
      </c>
      <c r="U34" s="304">
        <v>37.230044218885205</v>
      </c>
      <c r="V34" s="258">
        <v>1.0341678949690332</v>
      </c>
      <c r="W34" s="259">
        <v>64.606766549593218</v>
      </c>
      <c r="X34" s="259">
        <v>12.295107195742952</v>
      </c>
      <c r="Y34" s="259">
        <v>32.073568187025714</v>
      </c>
      <c r="Z34" s="259">
        <v>8.9196980941079111</v>
      </c>
      <c r="AA34" s="259">
        <v>78.502200684657453</v>
      </c>
      <c r="AB34" s="259">
        <v>15.627425968420946</v>
      </c>
      <c r="AC34" s="259">
        <v>10.514040265518505</v>
      </c>
      <c r="AD34" s="259">
        <v>9.8820487741485401</v>
      </c>
      <c r="AE34" s="268">
        <v>0</v>
      </c>
      <c r="AG34" s="270">
        <v>0</v>
      </c>
      <c r="AH34" s="304">
        <v>28.299999999999997</v>
      </c>
      <c r="AI34" s="258">
        <v>28</v>
      </c>
      <c r="AJ34" s="259">
        <v>0</v>
      </c>
      <c r="AK34" s="259">
        <v>0</v>
      </c>
      <c r="AL34" s="259">
        <v>0</v>
      </c>
      <c r="AM34" s="259">
        <v>0</v>
      </c>
      <c r="AN34" s="259">
        <v>0</v>
      </c>
      <c r="AO34" s="259">
        <v>0</v>
      </c>
      <c r="AP34" s="259">
        <v>0</v>
      </c>
      <c r="AQ34" s="259">
        <v>0</v>
      </c>
      <c r="AR34" s="268">
        <v>0</v>
      </c>
      <c r="AS34" s="269">
        <v>0</v>
      </c>
      <c r="AT34" s="305">
        <v>0</v>
      </c>
      <c r="AU34" s="302">
        <v>100939.13029100531</v>
      </c>
      <c r="AV34" s="259">
        <v>106969.77512422677</v>
      </c>
      <c r="AW34" s="302">
        <v>0</v>
      </c>
      <c r="AX34" s="302">
        <v>0</v>
      </c>
      <c r="AY34" s="302">
        <v>0</v>
      </c>
      <c r="AZ34" s="302">
        <v>0</v>
      </c>
      <c r="BA34" s="302">
        <v>0</v>
      </c>
      <c r="BB34" s="302">
        <v>0</v>
      </c>
      <c r="BC34" s="302">
        <v>0</v>
      </c>
      <c r="BD34" s="302">
        <v>0</v>
      </c>
      <c r="BE34" s="306">
        <v>0</v>
      </c>
      <c r="BG34" s="305">
        <v>94156.354048964989</v>
      </c>
      <c r="BH34" s="320">
        <v>94156.354048965004</v>
      </c>
      <c r="BI34" s="302">
        <v>94156.354048964989</v>
      </c>
      <c r="BJ34" s="302">
        <v>94156.354048964989</v>
      </c>
      <c r="BK34" s="302">
        <v>94156.354048964989</v>
      </c>
      <c r="BL34" s="302">
        <v>94156.354048965004</v>
      </c>
      <c r="BM34" s="302">
        <v>94156.354048964989</v>
      </c>
      <c r="BN34" s="302">
        <v>94156.354048964989</v>
      </c>
      <c r="BO34" s="302">
        <v>94156.354048964989</v>
      </c>
      <c r="BP34" s="302">
        <v>94156.354048964989</v>
      </c>
      <c r="BQ34" s="302">
        <v>94156.354048964989</v>
      </c>
      <c r="BR34" s="306">
        <v>0</v>
      </c>
      <c r="BT34" s="270">
        <v>0</v>
      </c>
      <c r="BU34" s="307">
        <v>105849.08504565129</v>
      </c>
      <c r="BV34" s="307">
        <v>106528.03176665891</v>
      </c>
      <c r="BW34" s="307">
        <v>0</v>
      </c>
      <c r="BX34" s="307">
        <v>0</v>
      </c>
      <c r="BY34" s="307">
        <v>0</v>
      </c>
      <c r="BZ34" s="307">
        <v>0</v>
      </c>
      <c r="CA34" s="307">
        <v>0</v>
      </c>
      <c r="CB34" s="307">
        <v>0</v>
      </c>
      <c r="CC34" s="307">
        <v>0</v>
      </c>
      <c r="CD34" s="307">
        <v>0</v>
      </c>
      <c r="CE34" s="308">
        <v>0</v>
      </c>
      <c r="CF34" s="212"/>
      <c r="CG34" s="273">
        <v>0</v>
      </c>
      <c r="CH34" s="329">
        <v>0.183143958</v>
      </c>
      <c r="CI34" s="274">
        <v>0.421931581</v>
      </c>
      <c r="CJ34" s="274">
        <v>0</v>
      </c>
      <c r="CK34" s="274">
        <v>0</v>
      </c>
      <c r="CL34" s="276">
        <v>0</v>
      </c>
      <c r="CM34" s="276">
        <v>0</v>
      </c>
      <c r="CN34" s="276">
        <v>0</v>
      </c>
      <c r="CO34" s="276">
        <v>0</v>
      </c>
      <c r="CP34" s="276">
        <v>0</v>
      </c>
      <c r="CQ34" s="276">
        <v>0</v>
      </c>
      <c r="CR34" s="313">
        <v>0</v>
      </c>
      <c r="CS34" s="212"/>
      <c r="CT34" s="273">
        <v>0.74680048344791572</v>
      </c>
      <c r="CU34" s="278">
        <v>0.35054452247319778</v>
      </c>
      <c r="CV34" s="278">
        <v>9.7373478464777129E-3</v>
      </c>
      <c r="CW34" s="278">
        <v>0.60831375852023273</v>
      </c>
      <c r="CX34" s="278">
        <v>0.11576624661923506</v>
      </c>
      <c r="CY34" s="278">
        <v>0.30199302418312135</v>
      </c>
      <c r="CZ34" s="278">
        <v>8.398462517587027E-2</v>
      </c>
      <c r="DA34" s="278">
        <v>0.73914810012875087</v>
      </c>
      <c r="DB34" s="278">
        <v>0.14714214523566321</v>
      </c>
      <c r="DC34" s="278">
        <v>9.8996369772523421E-2</v>
      </c>
      <c r="DD34" s="278">
        <v>9.3045768310787036E-2</v>
      </c>
      <c r="DE34" s="278">
        <v>0</v>
      </c>
      <c r="DF34" s="390">
        <f t="shared" si="4"/>
        <v>0.19204213808331044</v>
      </c>
      <c r="DG34" s="273">
        <v>0</v>
      </c>
      <c r="DH34" s="311">
        <v>0.2995529106791931</v>
      </c>
      <c r="DI34" s="309">
        <v>0.29827848894664494</v>
      </c>
      <c r="DJ34" s="278">
        <v>0</v>
      </c>
      <c r="DK34" s="278">
        <v>0</v>
      </c>
      <c r="DL34" s="278">
        <v>0</v>
      </c>
      <c r="DM34" s="278">
        <v>0</v>
      </c>
      <c r="DN34" s="278">
        <v>0</v>
      </c>
      <c r="DO34" s="278">
        <v>0</v>
      </c>
      <c r="DP34" s="278">
        <v>0</v>
      </c>
      <c r="DQ34" s="278">
        <v>0</v>
      </c>
      <c r="DR34" s="282">
        <v>0</v>
      </c>
      <c r="DS34" s="283"/>
      <c r="DT34" s="312">
        <v>0</v>
      </c>
      <c r="DU34" s="274">
        <v>1.2306669213557922E-2</v>
      </c>
      <c r="DV34" s="274">
        <v>5.0541258089262561E-2</v>
      </c>
      <c r="DW34" s="278">
        <v>0</v>
      </c>
      <c r="DX34" s="276">
        <v>0</v>
      </c>
      <c r="DY34" s="309">
        <v>0</v>
      </c>
      <c r="DZ34" s="276">
        <v>0</v>
      </c>
      <c r="EA34" s="276">
        <v>0</v>
      </c>
      <c r="EB34" s="276">
        <v>0</v>
      </c>
      <c r="EC34" s="276">
        <v>0</v>
      </c>
      <c r="ED34" s="276">
        <v>0</v>
      </c>
      <c r="EE34" s="313">
        <v>0</v>
      </c>
      <c r="EF34" s="212"/>
      <c r="EG34" s="312">
        <v>-0.74680048344791572</v>
      </c>
      <c r="EH34" s="274">
        <v>-0.1797072336867557</v>
      </c>
      <c r="EI34" s="278">
        <v>0.36165297506425975</v>
      </c>
      <c r="EJ34" s="278">
        <v>-0.60831375852023273</v>
      </c>
      <c r="EK34" s="276">
        <v>-0.11576624661923506</v>
      </c>
      <c r="EL34" s="309">
        <v>-0.30199302418312135</v>
      </c>
      <c r="EM34" s="276">
        <v>-8.398462517587027E-2</v>
      </c>
      <c r="EN34" s="276">
        <v>-0.73914810012875087</v>
      </c>
      <c r="EO34" s="276">
        <v>-0.14714214523566321</v>
      </c>
      <c r="EP34" s="276">
        <v>-9.8996369772523421E-2</v>
      </c>
      <c r="EQ34" s="276">
        <v>-9.3045768310787036E-2</v>
      </c>
      <c r="ER34" s="313">
        <v>0</v>
      </c>
      <c r="ES34" s="283"/>
      <c r="ET34" s="312">
        <v>0</v>
      </c>
      <c r="EU34" s="274">
        <v>-8.9086219068296654E-3</v>
      </c>
      <c r="EV34" s="274">
        <v>1.7424124995906618E-3</v>
      </c>
      <c r="EW34" s="278">
        <v>0</v>
      </c>
      <c r="EX34" s="276">
        <v>0</v>
      </c>
      <c r="EY34" s="309">
        <v>0</v>
      </c>
      <c r="EZ34" s="276">
        <v>0</v>
      </c>
      <c r="FA34" s="276">
        <v>0</v>
      </c>
      <c r="FB34" s="276">
        <v>0</v>
      </c>
      <c r="FC34" s="276">
        <v>0</v>
      </c>
      <c r="FD34" s="276">
        <v>0</v>
      </c>
      <c r="FE34" s="313">
        <v>0</v>
      </c>
      <c r="FF34" s="212"/>
      <c r="FG34" s="312">
        <v>0</v>
      </c>
      <c r="FH34" s="274">
        <v>-0.10750033077236344</v>
      </c>
      <c r="FI34" s="278">
        <v>0.1219106795537644</v>
      </c>
      <c r="FJ34" s="278">
        <v>0</v>
      </c>
      <c r="FK34" s="276">
        <v>0</v>
      </c>
      <c r="FL34" s="309">
        <v>0</v>
      </c>
      <c r="FM34" s="276">
        <v>0</v>
      </c>
      <c r="FN34" s="276">
        <v>0</v>
      </c>
      <c r="FO34" s="276">
        <v>0</v>
      </c>
      <c r="FP34" s="276">
        <v>0</v>
      </c>
      <c r="FQ34" s="276">
        <v>0</v>
      </c>
      <c r="FR34" s="313">
        <v>0</v>
      </c>
      <c r="FS34" s="283"/>
      <c r="FT34" s="286">
        <v>57.587999999999994</v>
      </c>
      <c r="FU34" s="260">
        <v>350.00000000000006</v>
      </c>
      <c r="FV34" s="260">
        <v>56.3</v>
      </c>
      <c r="FW34" s="260">
        <v>-292.41200000000003</v>
      </c>
      <c r="FX34" s="287">
        <v>-0.83546285714285706</v>
      </c>
      <c r="FY34" s="314">
        <v>0.605075539</v>
      </c>
      <c r="FZ34" s="275">
        <v>3.2954723917137749</v>
      </c>
      <c r="GA34" s="275">
        <v>0.59783139962583798</v>
      </c>
      <c r="GB34" s="275">
        <v>-2.6903968527137749</v>
      </c>
      <c r="GC34" s="275">
        <v>-2.7532447800165953</v>
      </c>
      <c r="GD34" s="275">
        <v>6.2847927302820489E-2</v>
      </c>
      <c r="GE34" s="275">
        <v>1.4410348781400961E-2</v>
      </c>
      <c r="GF34" s="277">
        <v>-7.1662094072390036E-3</v>
      </c>
      <c r="GG34" s="214">
        <v>0</v>
      </c>
      <c r="GH34" s="286">
        <v>0</v>
      </c>
      <c r="GI34" s="260">
        <v>0</v>
      </c>
      <c r="GJ34" s="260">
        <v>0</v>
      </c>
      <c r="GK34" s="260">
        <v>0</v>
      </c>
      <c r="GL34" s="291">
        <v>0</v>
      </c>
      <c r="GM34" s="275">
        <v>0</v>
      </c>
      <c r="GN34" s="275">
        <v>0</v>
      </c>
      <c r="GO34" s="275">
        <v>0</v>
      </c>
      <c r="GP34" s="275">
        <v>0</v>
      </c>
      <c r="GQ34" s="275">
        <v>0</v>
      </c>
      <c r="GR34" s="277">
        <v>0</v>
      </c>
      <c r="GS34" s="275">
        <v>0</v>
      </c>
      <c r="GT34" s="284">
        <v>0</v>
      </c>
      <c r="GU34" s="292">
        <v>0</v>
      </c>
      <c r="GV34" s="214">
        <v>0</v>
      </c>
      <c r="GW34" s="293">
        <v>0</v>
      </c>
      <c r="GX34" s="294"/>
      <c r="GY34" s="293">
        <v>7.2441393741620175E-3</v>
      </c>
      <c r="GZ34" s="293">
        <v>-5.9847959921199845E-17</v>
      </c>
      <c r="HA34" s="293">
        <v>0</v>
      </c>
      <c r="HB34" s="293">
        <v>0</v>
      </c>
      <c r="HC34" s="295">
        <v>0</v>
      </c>
    </row>
    <row r="35" spans="1:211" ht="19.5" customHeight="1">
      <c r="A35" s="213"/>
      <c r="B35" s="328" t="s">
        <v>183</v>
      </c>
      <c r="C35" s="297" t="s">
        <v>159</v>
      </c>
      <c r="D35" s="298" t="s">
        <v>49</v>
      </c>
      <c r="E35" s="299" t="s">
        <v>184</v>
      </c>
      <c r="F35" s="382" t="s">
        <v>142</v>
      </c>
      <c r="G35" s="301">
        <v>27.460999999999999</v>
      </c>
      <c r="H35" s="301">
        <v>25.826000000000001</v>
      </c>
      <c r="I35" s="258">
        <v>0</v>
      </c>
      <c r="J35" s="302">
        <v>0</v>
      </c>
      <c r="K35" s="302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10.994</v>
      </c>
      <c r="Q35" s="261">
        <v>0</v>
      </c>
      <c r="R35" s="303">
        <v>6.6240000000000006</v>
      </c>
      <c r="S35" s="261">
        <f t="shared" si="3"/>
        <v>17.618000000000002</v>
      </c>
      <c r="T35" s="270">
        <v>27.460999999999999</v>
      </c>
      <c r="U35" s="304">
        <v>25.826000000000001</v>
      </c>
      <c r="V35" s="258">
        <v>0</v>
      </c>
      <c r="W35" s="259">
        <v>0</v>
      </c>
      <c r="X35" s="259">
        <v>0</v>
      </c>
      <c r="Y35" s="259">
        <v>0</v>
      </c>
      <c r="Z35" s="259">
        <v>0</v>
      </c>
      <c r="AA35" s="259">
        <v>0</v>
      </c>
      <c r="AB35" s="259">
        <v>0</v>
      </c>
      <c r="AC35" s="259">
        <v>9.6</v>
      </c>
      <c r="AD35" s="259">
        <v>29</v>
      </c>
      <c r="AE35" s="268">
        <v>16</v>
      </c>
      <c r="AG35" s="270">
        <v>0</v>
      </c>
      <c r="AH35" s="304">
        <v>9.57</v>
      </c>
      <c r="AI35" s="258">
        <v>0</v>
      </c>
      <c r="AJ35" s="259">
        <v>0</v>
      </c>
      <c r="AK35" s="259">
        <v>0</v>
      </c>
      <c r="AL35" s="259">
        <v>0</v>
      </c>
      <c r="AM35" s="259">
        <v>0</v>
      </c>
      <c r="AN35" s="259">
        <v>0</v>
      </c>
      <c r="AO35" s="259">
        <v>0</v>
      </c>
      <c r="AP35" s="259">
        <v>11</v>
      </c>
      <c r="AQ35" s="259">
        <v>6</v>
      </c>
      <c r="AR35" s="268">
        <v>7</v>
      </c>
      <c r="AS35" s="269">
        <v>1.7657229239191107E-3</v>
      </c>
      <c r="AT35" s="305">
        <v>204422.12228250975</v>
      </c>
      <c r="AU35" s="302">
        <v>204426.77727871138</v>
      </c>
      <c r="AV35" s="259">
        <v>0</v>
      </c>
      <c r="AW35" s="302">
        <v>0</v>
      </c>
      <c r="AX35" s="302">
        <v>0</v>
      </c>
      <c r="AY35" s="302">
        <v>0</v>
      </c>
      <c r="AZ35" s="302">
        <v>0</v>
      </c>
      <c r="BA35" s="302">
        <v>0</v>
      </c>
      <c r="BB35" s="302">
        <v>0</v>
      </c>
      <c r="BC35" s="302">
        <v>199671.15335637619</v>
      </c>
      <c r="BD35" s="302">
        <v>0</v>
      </c>
      <c r="BE35" s="306">
        <v>36399.999999999993</v>
      </c>
      <c r="BG35" s="305">
        <v>208397.75252099999</v>
      </c>
      <c r="BH35" s="320">
        <v>208397.75252099999</v>
      </c>
      <c r="BI35" s="302">
        <v>0</v>
      </c>
      <c r="BJ35" s="302">
        <v>0</v>
      </c>
      <c r="BK35" s="302">
        <v>0</v>
      </c>
      <c r="BL35" s="302">
        <v>0</v>
      </c>
      <c r="BM35" s="302">
        <v>0</v>
      </c>
      <c r="BN35" s="302">
        <v>0</v>
      </c>
      <c r="BO35" s="302">
        <v>0</v>
      </c>
      <c r="BP35" s="302">
        <v>208397.75252099999</v>
      </c>
      <c r="BQ35" s="302">
        <v>208397.75252100002</v>
      </c>
      <c r="BR35" s="306">
        <v>208397.75252099999</v>
      </c>
      <c r="BT35" s="270">
        <v>0</v>
      </c>
      <c r="BU35" s="307">
        <v>204422.64833679455</v>
      </c>
      <c r="BV35" s="307">
        <v>0</v>
      </c>
      <c r="BW35" s="307">
        <v>0</v>
      </c>
      <c r="BX35" s="307">
        <v>0</v>
      </c>
      <c r="BY35" s="307">
        <v>0</v>
      </c>
      <c r="BZ35" s="307">
        <v>0</v>
      </c>
      <c r="CA35" s="307">
        <v>0</v>
      </c>
      <c r="CB35" s="307">
        <v>0</v>
      </c>
      <c r="CC35" s="307">
        <v>204422.64833679449</v>
      </c>
      <c r="CD35" s="307">
        <v>36399.999999999993</v>
      </c>
      <c r="CE35" s="308">
        <v>36400</v>
      </c>
      <c r="CF35" s="212"/>
      <c r="CG35" s="273">
        <v>0.56136359000000002</v>
      </c>
      <c r="CH35" s="329">
        <v>0.52795259500000002</v>
      </c>
      <c r="CI35" s="274">
        <v>0</v>
      </c>
      <c r="CJ35" s="274">
        <v>0</v>
      </c>
      <c r="CK35" s="274">
        <v>0</v>
      </c>
      <c r="CL35" s="309">
        <v>0</v>
      </c>
      <c r="CM35" s="276">
        <v>0</v>
      </c>
      <c r="CN35" s="276">
        <v>0</v>
      </c>
      <c r="CO35" s="276">
        <v>0</v>
      </c>
      <c r="CP35" s="276">
        <v>0.219518466</v>
      </c>
      <c r="CQ35" s="276">
        <v>0</v>
      </c>
      <c r="CR35" s="313">
        <v>2.4111359999999998E-2</v>
      </c>
      <c r="CS35" s="212"/>
      <c r="CT35" s="273">
        <v>0.57228106819791802</v>
      </c>
      <c r="CU35" s="278">
        <v>0.53820803566073461</v>
      </c>
      <c r="CV35" s="278">
        <v>0</v>
      </c>
      <c r="CW35" s="278">
        <v>0</v>
      </c>
      <c r="CX35" s="278">
        <v>0</v>
      </c>
      <c r="CY35" s="278">
        <v>0</v>
      </c>
      <c r="CZ35" s="278">
        <v>0</v>
      </c>
      <c r="DA35" s="278">
        <v>0</v>
      </c>
      <c r="DB35" s="278">
        <v>0</v>
      </c>
      <c r="DC35" s="278">
        <v>0.20006184242015998</v>
      </c>
      <c r="DD35" s="278">
        <v>0.60435348231090003</v>
      </c>
      <c r="DE35" s="278">
        <v>0.33343640403359998</v>
      </c>
      <c r="DF35" s="390">
        <f t="shared" si="4"/>
        <v>1.1378517287646601</v>
      </c>
      <c r="DG35" s="273">
        <v>0</v>
      </c>
      <c r="DH35" s="311">
        <v>0.19563247445831236</v>
      </c>
      <c r="DI35" s="309">
        <v>0</v>
      </c>
      <c r="DJ35" s="278">
        <v>0</v>
      </c>
      <c r="DK35" s="278">
        <v>0</v>
      </c>
      <c r="DL35" s="278">
        <v>0</v>
      </c>
      <c r="DM35" s="278">
        <v>0</v>
      </c>
      <c r="DN35" s="278">
        <v>0</v>
      </c>
      <c r="DO35" s="278">
        <v>0</v>
      </c>
      <c r="DP35" s="278">
        <v>0.22486491317047397</v>
      </c>
      <c r="DQ35" s="278">
        <v>2.1839999999999998E-2</v>
      </c>
      <c r="DR35" s="282">
        <v>2.5479999999999999E-2</v>
      </c>
      <c r="DS35" s="283"/>
      <c r="DT35" s="312">
        <v>-1.0917478197918041E-2</v>
      </c>
      <c r="DU35" s="274">
        <v>-1.025544066073456E-2</v>
      </c>
      <c r="DV35" s="274">
        <v>0</v>
      </c>
      <c r="DW35" s="278">
        <v>0</v>
      </c>
      <c r="DX35" s="276">
        <v>0</v>
      </c>
      <c r="DY35" s="309">
        <v>0</v>
      </c>
      <c r="DZ35" s="276">
        <v>0</v>
      </c>
      <c r="EA35" s="276">
        <v>0</v>
      </c>
      <c r="EB35" s="276">
        <v>0</v>
      </c>
      <c r="EC35" s="276">
        <v>-9.5940231215874017E-3</v>
      </c>
      <c r="ED35" s="276">
        <v>0</v>
      </c>
      <c r="EE35" s="313">
        <v>-0.11393131126991041</v>
      </c>
      <c r="EF35" s="212"/>
      <c r="EG35" s="312">
        <v>0</v>
      </c>
      <c r="EH35" s="274">
        <v>0</v>
      </c>
      <c r="EI35" s="278">
        <v>0</v>
      </c>
      <c r="EJ35" s="278">
        <v>0</v>
      </c>
      <c r="EK35" s="276">
        <v>0</v>
      </c>
      <c r="EL35" s="309">
        <v>0</v>
      </c>
      <c r="EM35" s="276">
        <v>0</v>
      </c>
      <c r="EN35" s="276">
        <v>0</v>
      </c>
      <c r="EO35" s="276">
        <v>0</v>
      </c>
      <c r="EP35" s="276">
        <v>2.9050646701427405E-2</v>
      </c>
      <c r="EQ35" s="276">
        <v>-0.60435348231090014</v>
      </c>
      <c r="ER35" s="313">
        <v>-0.19539373276368957</v>
      </c>
      <c r="ES35" s="283"/>
      <c r="ET35" s="312">
        <v>0.56136359000000002</v>
      </c>
      <c r="EU35" s="274">
        <v>1.0663405394409126E-5</v>
      </c>
      <c r="EV35" s="274">
        <v>0</v>
      </c>
      <c r="EW35" s="278">
        <v>0</v>
      </c>
      <c r="EX35" s="276">
        <v>0</v>
      </c>
      <c r="EY35" s="309">
        <v>0</v>
      </c>
      <c r="EZ35" s="276">
        <v>0</v>
      </c>
      <c r="FA35" s="276">
        <v>0</v>
      </c>
      <c r="FB35" s="276">
        <v>0</v>
      </c>
      <c r="FC35" s="276">
        <v>-5.2237935814718767E-3</v>
      </c>
      <c r="FD35" s="276">
        <v>0</v>
      </c>
      <c r="FE35" s="313">
        <v>-4.8195943236351021E-18</v>
      </c>
      <c r="FF35" s="212"/>
      <c r="FG35" s="312">
        <v>0</v>
      </c>
      <c r="FH35" s="274">
        <v>0.33230945713629323</v>
      </c>
      <c r="FI35" s="278">
        <v>0</v>
      </c>
      <c r="FJ35" s="278">
        <v>0</v>
      </c>
      <c r="FK35" s="276">
        <v>0</v>
      </c>
      <c r="FL35" s="309">
        <v>0</v>
      </c>
      <c r="FM35" s="276">
        <v>0</v>
      </c>
      <c r="FN35" s="276">
        <v>0</v>
      </c>
      <c r="FO35" s="276">
        <v>0</v>
      </c>
      <c r="FP35" s="276">
        <v>-1.2265358900208134E-4</v>
      </c>
      <c r="FQ35" s="276">
        <v>-2.1839999999999995E-2</v>
      </c>
      <c r="FR35" s="313">
        <v>-1.368639999999998E-3</v>
      </c>
      <c r="FS35" s="283"/>
      <c r="FT35" s="286">
        <v>70.905000000000001</v>
      </c>
      <c r="FU35" s="260">
        <v>107.887</v>
      </c>
      <c r="FV35" s="260">
        <v>33.57</v>
      </c>
      <c r="FW35" s="260">
        <v>-36.981999999999999</v>
      </c>
      <c r="FX35" s="287">
        <v>-0.34278458016257751</v>
      </c>
      <c r="FY35" s="327">
        <v>1.332946011</v>
      </c>
      <c r="FZ35" s="275">
        <v>2.2483408326233123</v>
      </c>
      <c r="GA35" s="275">
        <v>0.46781738762878627</v>
      </c>
      <c r="GB35" s="275">
        <v>-0.91539482162331232</v>
      </c>
      <c r="GC35" s="275">
        <v>-0.77069656837316225</v>
      </c>
      <c r="GD35" s="275">
        <v>-0.1446982532501504</v>
      </c>
      <c r="GE35" s="275">
        <v>0.30897816354729118</v>
      </c>
      <c r="GF35" s="277">
        <v>0.55615045982392264</v>
      </c>
      <c r="GG35" s="214">
        <v>0</v>
      </c>
      <c r="GH35" s="286">
        <v>6.6240000000000006</v>
      </c>
      <c r="GI35" s="260">
        <v>16</v>
      </c>
      <c r="GJ35" s="260">
        <v>7</v>
      </c>
      <c r="GK35" s="260">
        <v>-9.3759999999999994</v>
      </c>
      <c r="GL35" s="291">
        <v>-0.58599999999999997</v>
      </c>
      <c r="GM35" s="275">
        <v>2.4111359999999998E-2</v>
      </c>
      <c r="GN35" s="275">
        <v>0.33343640403359998</v>
      </c>
      <c r="GO35" s="275">
        <v>2.5479999999999999E-2</v>
      </c>
      <c r="GP35" s="275">
        <v>-0.30932504403359995</v>
      </c>
      <c r="GQ35" s="275">
        <v>-0.19539373276368957</v>
      </c>
      <c r="GR35" s="277">
        <v>-0.11393131126991041</v>
      </c>
      <c r="GS35" s="275">
        <v>-1.368639999999998E-3</v>
      </c>
      <c r="GT35" s="284">
        <v>-4.8195943236351021E-18</v>
      </c>
      <c r="GU35" s="292">
        <v>-1.9808032013303263E-3</v>
      </c>
      <c r="GV35" s="214">
        <v>0</v>
      </c>
      <c r="GW35" s="293">
        <v>2.6092163201330329E-2</v>
      </c>
      <c r="GX35" s="294"/>
      <c r="GY35" s="293">
        <v>0.86512862337121366</v>
      </c>
      <c r="GZ35" s="293">
        <v>0</v>
      </c>
      <c r="HA35" s="293">
        <v>-1.3686400000000008E-3</v>
      </c>
      <c r="HB35" s="293">
        <v>-2.8189256484623115E-18</v>
      </c>
      <c r="HC35" s="295">
        <v>2.6092163201330322E-2</v>
      </c>
    </row>
    <row r="36" spans="1:211" ht="22.5" customHeight="1">
      <c r="A36" s="213"/>
      <c r="B36" s="328" t="s">
        <v>185</v>
      </c>
      <c r="C36" s="297" t="s">
        <v>159</v>
      </c>
      <c r="D36" s="298" t="s">
        <v>49</v>
      </c>
      <c r="E36" s="299" t="s">
        <v>184</v>
      </c>
      <c r="F36" s="382" t="s">
        <v>146</v>
      </c>
      <c r="G36" s="301">
        <v>46.066000000000003</v>
      </c>
      <c r="H36" s="301">
        <v>62.006000000000014</v>
      </c>
      <c r="I36" s="319">
        <v>0</v>
      </c>
      <c r="J36" s="319">
        <v>0</v>
      </c>
      <c r="K36" s="320">
        <v>0</v>
      </c>
      <c r="L36" s="261">
        <v>0</v>
      </c>
      <c r="M36" s="261">
        <v>0</v>
      </c>
      <c r="N36" s="261">
        <v>0</v>
      </c>
      <c r="O36" s="261">
        <v>0</v>
      </c>
      <c r="P36" s="261">
        <v>47.066000000000003</v>
      </c>
      <c r="Q36" s="261">
        <v>0</v>
      </c>
      <c r="R36" s="303">
        <v>60.149000000000015</v>
      </c>
      <c r="S36" s="261">
        <f t="shared" si="3"/>
        <v>107.21500000000002</v>
      </c>
      <c r="T36" s="270">
        <v>46.066000000000003</v>
      </c>
      <c r="U36" s="304">
        <v>62.006000000000014</v>
      </c>
      <c r="V36" s="258">
        <v>0</v>
      </c>
      <c r="W36" s="259">
        <v>0</v>
      </c>
      <c r="X36" s="259">
        <v>0</v>
      </c>
      <c r="Y36" s="259">
        <v>0</v>
      </c>
      <c r="Z36" s="259">
        <v>0</v>
      </c>
      <c r="AA36" s="259">
        <v>0</v>
      </c>
      <c r="AB36" s="259">
        <v>0</v>
      </c>
      <c r="AC36" s="259">
        <v>100</v>
      </c>
      <c r="AD36" s="259">
        <v>130</v>
      </c>
      <c r="AE36" s="268">
        <v>94</v>
      </c>
      <c r="AG36" s="270">
        <v>0</v>
      </c>
      <c r="AH36" s="304">
        <v>67.039999999999992</v>
      </c>
      <c r="AI36" s="258">
        <v>0</v>
      </c>
      <c r="AJ36" s="259">
        <v>0</v>
      </c>
      <c r="AK36" s="259">
        <v>0</v>
      </c>
      <c r="AL36" s="259">
        <v>0</v>
      </c>
      <c r="AM36" s="259">
        <v>0</v>
      </c>
      <c r="AN36" s="259">
        <v>0</v>
      </c>
      <c r="AO36" s="259">
        <v>0</v>
      </c>
      <c r="AP36" s="259">
        <v>58</v>
      </c>
      <c r="AQ36" s="259">
        <v>66.900000000000006</v>
      </c>
      <c r="AR36" s="268">
        <v>65.722999999999999</v>
      </c>
      <c r="AS36" s="269">
        <v>1.6578372532676529E-2</v>
      </c>
      <c r="AT36" s="321">
        <v>177894.15013241876</v>
      </c>
      <c r="AU36" s="320">
        <v>176909.00638647872</v>
      </c>
      <c r="AV36" s="259">
        <v>0</v>
      </c>
      <c r="AW36" s="320">
        <v>0</v>
      </c>
      <c r="AX36" s="320">
        <v>0</v>
      </c>
      <c r="AY36" s="320">
        <v>0</v>
      </c>
      <c r="AZ36" s="320">
        <v>0</v>
      </c>
      <c r="BA36" s="320">
        <v>0</v>
      </c>
      <c r="BB36" s="320">
        <v>0</v>
      </c>
      <c r="BC36" s="320">
        <v>175097.69727616533</v>
      </c>
      <c r="BD36" s="320">
        <v>0</v>
      </c>
      <c r="BE36" s="322">
        <v>26008.573874877384</v>
      </c>
      <c r="BG36" s="321">
        <v>180252.02127121153</v>
      </c>
      <c r="BH36" s="320">
        <v>180252.0212712115</v>
      </c>
      <c r="BI36" s="320">
        <v>0</v>
      </c>
      <c r="BJ36" s="320">
        <v>0</v>
      </c>
      <c r="BK36" s="320">
        <v>0</v>
      </c>
      <c r="BL36" s="320">
        <v>0</v>
      </c>
      <c r="BM36" s="320">
        <v>0</v>
      </c>
      <c r="BN36" s="320">
        <v>0</v>
      </c>
      <c r="BO36" s="320">
        <v>0</v>
      </c>
      <c r="BP36" s="320">
        <v>180252.02127121153</v>
      </c>
      <c r="BQ36" s="320">
        <v>180252.02127121153</v>
      </c>
      <c r="BR36" s="322">
        <v>180252.02127121153</v>
      </c>
      <c r="BT36" s="270">
        <v>0</v>
      </c>
      <c r="BU36" s="323">
        <v>176666.69823721205</v>
      </c>
      <c r="BV36" s="323">
        <v>0</v>
      </c>
      <c r="BW36" s="323">
        <v>0</v>
      </c>
      <c r="BX36" s="323">
        <v>0</v>
      </c>
      <c r="BY36" s="323">
        <v>0</v>
      </c>
      <c r="BZ36" s="323">
        <v>0</v>
      </c>
      <c r="CA36" s="323">
        <v>0</v>
      </c>
      <c r="CB36" s="323">
        <v>0</v>
      </c>
      <c r="CC36" s="323">
        <v>177211.16241353087</v>
      </c>
      <c r="CD36" s="323">
        <v>26049.147982062779</v>
      </c>
      <c r="CE36" s="324">
        <v>26205.294326187181</v>
      </c>
      <c r="CF36" s="212"/>
      <c r="CG36" s="273">
        <v>0.81948719200000031</v>
      </c>
      <c r="CH36" s="329">
        <v>1.0969419850000002</v>
      </c>
      <c r="CI36" s="325">
        <v>0</v>
      </c>
      <c r="CJ36" s="325">
        <v>0</v>
      </c>
      <c r="CK36" s="325">
        <v>0</v>
      </c>
      <c r="CL36" s="276">
        <v>0</v>
      </c>
      <c r="CM36" s="276">
        <v>0</v>
      </c>
      <c r="CN36" s="276">
        <v>0</v>
      </c>
      <c r="CO36" s="276">
        <v>0</v>
      </c>
      <c r="CP36" s="276">
        <v>0.82411482199999986</v>
      </c>
      <c r="CQ36" s="276">
        <v>0</v>
      </c>
      <c r="CR36" s="313">
        <v>0.15643897100000001</v>
      </c>
      <c r="CS36" s="212"/>
      <c r="CT36" s="273">
        <v>0.83034896118796309</v>
      </c>
      <c r="CU36" s="278">
        <v>1.1176706830942744</v>
      </c>
      <c r="CV36" s="278">
        <v>0</v>
      </c>
      <c r="CW36" s="278">
        <v>0</v>
      </c>
      <c r="CX36" s="278">
        <v>0</v>
      </c>
      <c r="CY36" s="278">
        <v>0</v>
      </c>
      <c r="CZ36" s="278">
        <v>0</v>
      </c>
      <c r="DA36" s="278">
        <v>0</v>
      </c>
      <c r="DB36" s="278">
        <v>0</v>
      </c>
      <c r="DC36" s="278">
        <v>1.8025202127121154</v>
      </c>
      <c r="DD36" s="278">
        <v>2.3432762765257502</v>
      </c>
      <c r="DE36" s="278">
        <v>1.6943689999493885</v>
      </c>
      <c r="DF36" s="390">
        <f t="shared" si="4"/>
        <v>5.8401654891872532</v>
      </c>
      <c r="DG36" s="273">
        <v>0</v>
      </c>
      <c r="DH36" s="311">
        <v>1.1843735449822694</v>
      </c>
      <c r="DI36" s="309">
        <v>0</v>
      </c>
      <c r="DJ36" s="278">
        <v>0</v>
      </c>
      <c r="DK36" s="278">
        <v>0</v>
      </c>
      <c r="DL36" s="278">
        <v>0</v>
      </c>
      <c r="DM36" s="278">
        <v>0</v>
      </c>
      <c r="DN36" s="278">
        <v>0</v>
      </c>
      <c r="DO36" s="278">
        <v>0</v>
      </c>
      <c r="DP36" s="278">
        <v>1.027824741998479</v>
      </c>
      <c r="DQ36" s="278">
        <v>0.1742688</v>
      </c>
      <c r="DR36" s="282">
        <v>0.17222905590000001</v>
      </c>
      <c r="DS36" s="283"/>
      <c r="DT36" s="312">
        <v>-1.0861769187962802E-2</v>
      </c>
      <c r="DU36" s="274">
        <v>-2.0728698094274082E-2</v>
      </c>
      <c r="DV36" s="274">
        <v>0</v>
      </c>
      <c r="DW36" s="278">
        <v>0</v>
      </c>
      <c r="DX36" s="276">
        <v>0</v>
      </c>
      <c r="DY36" s="309">
        <v>0</v>
      </c>
      <c r="DZ36" s="276">
        <v>0</v>
      </c>
      <c r="EA36" s="276">
        <v>0</v>
      </c>
      <c r="EB36" s="276">
        <v>0</v>
      </c>
      <c r="EC36" s="276">
        <v>-2.4259341315084452E-2</v>
      </c>
      <c r="ED36" s="276">
        <v>0</v>
      </c>
      <c r="EE36" s="313">
        <v>-0.92775891174421055</v>
      </c>
      <c r="EF36" s="212"/>
      <c r="EG36" s="312">
        <v>0</v>
      </c>
      <c r="EH36" s="274">
        <v>0</v>
      </c>
      <c r="EI36" s="278">
        <v>0</v>
      </c>
      <c r="EJ36" s="278">
        <v>0</v>
      </c>
      <c r="EK36" s="276">
        <v>0</v>
      </c>
      <c r="EL36" s="309">
        <v>0</v>
      </c>
      <c r="EM36" s="276">
        <v>0</v>
      </c>
      <c r="EN36" s="276">
        <v>0</v>
      </c>
      <c r="EO36" s="276">
        <v>0</v>
      </c>
      <c r="EP36" s="276">
        <v>-0.95414604939703107</v>
      </c>
      <c r="EQ36" s="276">
        <v>-2.3432762765257502</v>
      </c>
      <c r="ER36" s="313">
        <v>-0.61017111720517792</v>
      </c>
      <c r="ES36" s="283"/>
      <c r="ET36" s="312">
        <v>0.81948719200000031</v>
      </c>
      <c r="EU36" s="274">
        <v>1.5024559103429013E-3</v>
      </c>
      <c r="EV36" s="274">
        <v>0</v>
      </c>
      <c r="EW36" s="278">
        <v>0</v>
      </c>
      <c r="EX36" s="276">
        <v>0</v>
      </c>
      <c r="EY36" s="309">
        <v>0</v>
      </c>
      <c r="EZ36" s="276">
        <v>0</v>
      </c>
      <c r="FA36" s="276">
        <v>0</v>
      </c>
      <c r="FB36" s="276">
        <v>0</v>
      </c>
      <c r="FC36" s="276">
        <v>-9.9472350155246324E-3</v>
      </c>
      <c r="FD36" s="276">
        <v>0</v>
      </c>
      <c r="FE36" s="313">
        <v>-1.183253842583297E-3</v>
      </c>
      <c r="FF36" s="212"/>
      <c r="FG36" s="312">
        <v>0</v>
      </c>
      <c r="FH36" s="274">
        <v>-8.8934015892612156E-2</v>
      </c>
      <c r="FI36" s="278">
        <v>0</v>
      </c>
      <c r="FJ36" s="278">
        <v>0</v>
      </c>
      <c r="FK36" s="276">
        <v>0</v>
      </c>
      <c r="FL36" s="309">
        <v>0</v>
      </c>
      <c r="FM36" s="276">
        <v>0</v>
      </c>
      <c r="FN36" s="276">
        <v>0</v>
      </c>
      <c r="FO36" s="276">
        <v>0</v>
      </c>
      <c r="FP36" s="276">
        <v>-0.1937626849829546</v>
      </c>
      <c r="FQ36" s="276">
        <v>-0.1742688</v>
      </c>
      <c r="FR36" s="313">
        <v>-1.4606831057416692E-2</v>
      </c>
      <c r="FS36" s="283"/>
      <c r="FT36" s="286">
        <v>215.28700000000003</v>
      </c>
      <c r="FU36" s="260">
        <v>432.072</v>
      </c>
      <c r="FV36" s="260">
        <v>257.66300000000001</v>
      </c>
      <c r="FW36" s="260">
        <v>-216.78499999999997</v>
      </c>
      <c r="FX36" s="287">
        <v>-0.50173350737839983</v>
      </c>
      <c r="FY36" s="327">
        <v>2.8969829700000003</v>
      </c>
      <c r="FZ36" s="275">
        <v>7.7881851334694918</v>
      </c>
      <c r="GA36" s="275">
        <v>2.5586961428807484</v>
      </c>
      <c r="GB36" s="275">
        <v>-4.891202163469492</v>
      </c>
      <c r="GC36" s="275">
        <v>-3.9075934431279591</v>
      </c>
      <c r="GD36" s="275">
        <v>-0.98360872034153191</v>
      </c>
      <c r="GE36" s="275">
        <v>-0.47157233193298342</v>
      </c>
      <c r="GF36" s="277">
        <v>0.80985915905223527</v>
      </c>
      <c r="GG36" s="214">
        <v>0</v>
      </c>
      <c r="GH36" s="286">
        <v>60.149000000000015</v>
      </c>
      <c r="GI36" s="260">
        <v>94</v>
      </c>
      <c r="GJ36" s="260">
        <v>65.722999999999999</v>
      </c>
      <c r="GK36" s="260">
        <v>-33.850999999999985</v>
      </c>
      <c r="GL36" s="291">
        <v>-0.36011702127659556</v>
      </c>
      <c r="GM36" s="275">
        <v>0.15643897100000001</v>
      </c>
      <c r="GN36" s="275">
        <v>1.6943689999493885</v>
      </c>
      <c r="GO36" s="275">
        <v>0.17222905590000001</v>
      </c>
      <c r="GP36" s="275">
        <v>-1.5379300289493885</v>
      </c>
      <c r="GQ36" s="275">
        <v>-0.61017111720517792</v>
      </c>
      <c r="GR36" s="277">
        <v>-0.92775891174421055</v>
      </c>
      <c r="GS36" s="275">
        <v>-1.4606831057416692E-2</v>
      </c>
      <c r="GT36" s="284">
        <v>-1.183253842583297E-3</v>
      </c>
      <c r="GU36" s="292">
        <v>-1.8603961685970508E-2</v>
      </c>
      <c r="GV36" s="214">
        <v>0</v>
      </c>
      <c r="GW36" s="293">
        <v>0.17636690088515872</v>
      </c>
      <c r="GX36" s="294"/>
      <c r="GY36" s="293">
        <v>0.33828682711925184</v>
      </c>
      <c r="GZ36" s="293">
        <v>0</v>
      </c>
      <c r="HA36" s="293">
        <v>-1.5790084900000001E-2</v>
      </c>
      <c r="HB36" s="293">
        <v>-1.1832538425833091E-3</v>
      </c>
      <c r="HC36" s="295">
        <v>0.17504293268597051</v>
      </c>
    </row>
    <row r="37" spans="1:211" ht="16.5" customHeight="1" thickBot="1">
      <c r="A37" s="213"/>
      <c r="B37" s="328" t="s">
        <v>186</v>
      </c>
      <c r="C37" s="297" t="s">
        <v>159</v>
      </c>
      <c r="D37" s="298" t="s">
        <v>49</v>
      </c>
      <c r="E37" s="299" t="s">
        <v>184</v>
      </c>
      <c r="F37" s="382" t="s">
        <v>187</v>
      </c>
      <c r="G37" s="318">
        <v>8.4450000000000003</v>
      </c>
      <c r="H37" s="318">
        <v>0</v>
      </c>
      <c r="I37" s="319">
        <v>0</v>
      </c>
      <c r="J37" s="320">
        <v>0</v>
      </c>
      <c r="K37" s="320">
        <v>0</v>
      </c>
      <c r="L37" s="261">
        <v>0</v>
      </c>
      <c r="M37" s="261">
        <v>0</v>
      </c>
      <c r="N37" s="261">
        <v>0</v>
      </c>
      <c r="O37" s="261">
        <v>0</v>
      </c>
      <c r="P37" s="261">
        <v>10.978999999999997</v>
      </c>
      <c r="Q37" s="261">
        <v>0</v>
      </c>
      <c r="R37" s="303">
        <v>0</v>
      </c>
      <c r="S37" s="261">
        <f t="shared" si="3"/>
        <v>10.978999999999997</v>
      </c>
      <c r="T37" s="270">
        <v>8.4450000000000003</v>
      </c>
      <c r="U37" s="304">
        <v>0</v>
      </c>
      <c r="V37" s="258">
        <v>0</v>
      </c>
      <c r="W37" s="259">
        <v>0</v>
      </c>
      <c r="X37" s="259">
        <v>0</v>
      </c>
      <c r="Y37" s="259">
        <v>0</v>
      </c>
      <c r="Z37" s="259">
        <v>0</v>
      </c>
      <c r="AA37" s="259">
        <v>0</v>
      </c>
      <c r="AB37" s="259">
        <v>0</v>
      </c>
      <c r="AC37" s="259">
        <v>13</v>
      </c>
      <c r="AD37" s="259">
        <v>5</v>
      </c>
      <c r="AE37" s="268">
        <v>10</v>
      </c>
      <c r="AG37" s="270">
        <v>0</v>
      </c>
      <c r="AH37" s="304">
        <v>0</v>
      </c>
      <c r="AI37" s="258">
        <v>0</v>
      </c>
      <c r="AJ37" s="259">
        <v>0</v>
      </c>
      <c r="AK37" s="259">
        <v>0</v>
      </c>
      <c r="AL37" s="259">
        <v>0</v>
      </c>
      <c r="AM37" s="259">
        <v>0</v>
      </c>
      <c r="AN37" s="259">
        <v>0</v>
      </c>
      <c r="AO37" s="259">
        <v>0</v>
      </c>
      <c r="AP37" s="259">
        <v>11</v>
      </c>
      <c r="AQ37" s="259">
        <v>4</v>
      </c>
      <c r="AR37" s="268">
        <v>8</v>
      </c>
      <c r="AS37" s="269">
        <v>2.0179690559075552E-3</v>
      </c>
      <c r="AT37" s="321">
        <v>166082.63232682063</v>
      </c>
      <c r="AU37" s="320">
        <v>0</v>
      </c>
      <c r="AV37" s="259">
        <v>0</v>
      </c>
      <c r="AW37" s="320">
        <v>0</v>
      </c>
      <c r="AX37" s="320">
        <v>0</v>
      </c>
      <c r="AY37" s="320">
        <v>0</v>
      </c>
      <c r="AZ37" s="320">
        <v>0</v>
      </c>
      <c r="BA37" s="320">
        <v>0</v>
      </c>
      <c r="BB37" s="320">
        <v>0</v>
      </c>
      <c r="BC37" s="320">
        <v>161509.1538391475</v>
      </c>
      <c r="BD37" s="320">
        <v>0</v>
      </c>
      <c r="BE37" s="322">
        <v>0</v>
      </c>
      <c r="BG37" s="321">
        <v>166677.04248299997</v>
      </c>
      <c r="BH37" s="320">
        <v>0</v>
      </c>
      <c r="BI37" s="320">
        <v>0</v>
      </c>
      <c r="BJ37" s="320">
        <v>0</v>
      </c>
      <c r="BK37" s="320">
        <v>0</v>
      </c>
      <c r="BL37" s="320">
        <v>0</v>
      </c>
      <c r="BM37" s="320">
        <v>0</v>
      </c>
      <c r="BN37" s="320">
        <v>0</v>
      </c>
      <c r="BO37" s="320">
        <v>0</v>
      </c>
      <c r="BP37" s="320">
        <v>166677.04248299997</v>
      </c>
      <c r="BQ37" s="320">
        <v>166677.04248299997</v>
      </c>
      <c r="BR37" s="322">
        <v>166677.04248299997</v>
      </c>
      <c r="BT37" s="270">
        <v>0</v>
      </c>
      <c r="BU37" s="323">
        <v>0</v>
      </c>
      <c r="BV37" s="323">
        <v>0</v>
      </c>
      <c r="BW37" s="323">
        <v>0</v>
      </c>
      <c r="BX37" s="323">
        <v>0</v>
      </c>
      <c r="BY37" s="323">
        <v>0</v>
      </c>
      <c r="BZ37" s="323">
        <v>0</v>
      </c>
      <c r="CA37" s="323">
        <v>0</v>
      </c>
      <c r="CB37" s="323">
        <v>0</v>
      </c>
      <c r="CC37" s="323">
        <v>166071.21074679456</v>
      </c>
      <c r="CD37" s="323">
        <v>20933.000000000004</v>
      </c>
      <c r="CE37" s="324">
        <v>20933.000000000004</v>
      </c>
      <c r="CF37" s="212"/>
      <c r="CG37" s="315">
        <v>0.14025678300000002</v>
      </c>
      <c r="CH37" s="329">
        <v>0</v>
      </c>
      <c r="CI37" s="325">
        <v>0</v>
      </c>
      <c r="CJ37" s="325">
        <v>0</v>
      </c>
      <c r="CK37" s="325">
        <v>0</v>
      </c>
      <c r="CL37" s="276">
        <v>0</v>
      </c>
      <c r="CM37" s="276">
        <v>0</v>
      </c>
      <c r="CN37" s="276">
        <v>0</v>
      </c>
      <c r="CO37" s="276">
        <v>0</v>
      </c>
      <c r="CP37" s="276">
        <v>0.17732089999999998</v>
      </c>
      <c r="CQ37" s="276">
        <v>0</v>
      </c>
      <c r="CR37" s="313">
        <v>0</v>
      </c>
      <c r="CS37" s="212"/>
      <c r="CT37" s="273">
        <v>0.14075876237689347</v>
      </c>
      <c r="CU37" s="278">
        <v>0</v>
      </c>
      <c r="CV37" s="278">
        <v>0</v>
      </c>
      <c r="CW37" s="278">
        <v>0</v>
      </c>
      <c r="CX37" s="278">
        <v>0</v>
      </c>
      <c r="CY37" s="278">
        <v>0</v>
      </c>
      <c r="CZ37" s="278">
        <v>0</v>
      </c>
      <c r="DA37" s="278">
        <v>0</v>
      </c>
      <c r="DB37" s="278">
        <v>0</v>
      </c>
      <c r="DC37" s="278">
        <v>0.21668015522789996</v>
      </c>
      <c r="DD37" s="278">
        <v>8.3338521241499985E-2</v>
      </c>
      <c r="DE37" s="278">
        <v>0.16667704248299997</v>
      </c>
      <c r="DF37" s="390">
        <f t="shared" si="4"/>
        <v>0.46669571895239992</v>
      </c>
      <c r="DG37" s="273">
        <v>0</v>
      </c>
      <c r="DH37" s="311">
        <v>0</v>
      </c>
      <c r="DI37" s="309">
        <v>0</v>
      </c>
      <c r="DJ37" s="278">
        <v>0</v>
      </c>
      <c r="DK37" s="278">
        <v>0</v>
      </c>
      <c r="DL37" s="278">
        <v>0</v>
      </c>
      <c r="DM37" s="278">
        <v>0</v>
      </c>
      <c r="DN37" s="278">
        <v>0</v>
      </c>
      <c r="DO37" s="278">
        <v>0</v>
      </c>
      <c r="DP37" s="278">
        <v>0.182678331821474</v>
      </c>
      <c r="DQ37" s="278">
        <v>8.3732000000000008E-3</v>
      </c>
      <c r="DR37" s="282">
        <v>1.6746400000000002E-2</v>
      </c>
      <c r="DS37" s="283"/>
      <c r="DT37" s="312">
        <v>-5.0197937689344912E-4</v>
      </c>
      <c r="DU37" s="274">
        <v>0</v>
      </c>
      <c r="DV37" s="274">
        <v>0</v>
      </c>
      <c r="DW37" s="278">
        <v>0</v>
      </c>
      <c r="DX37" s="276">
        <v>0</v>
      </c>
      <c r="DY37" s="309">
        <v>0</v>
      </c>
      <c r="DZ37" s="276">
        <v>0</v>
      </c>
      <c r="EA37" s="276">
        <v>0</v>
      </c>
      <c r="EB37" s="276">
        <v>0</v>
      </c>
      <c r="EC37" s="276">
        <v>-5.6738249420856188E-3</v>
      </c>
      <c r="ED37" s="276">
        <v>0</v>
      </c>
      <c r="EE37" s="313">
        <v>0</v>
      </c>
      <c r="EF37" s="212"/>
      <c r="EG37" s="312">
        <v>0</v>
      </c>
      <c r="EH37" s="274">
        <v>0</v>
      </c>
      <c r="EI37" s="278">
        <v>0</v>
      </c>
      <c r="EJ37" s="278">
        <v>0</v>
      </c>
      <c r="EK37" s="276">
        <v>0</v>
      </c>
      <c r="EL37" s="309">
        <v>0</v>
      </c>
      <c r="EM37" s="276">
        <v>0</v>
      </c>
      <c r="EN37" s="276">
        <v>0</v>
      </c>
      <c r="EO37" s="276">
        <v>0</v>
      </c>
      <c r="EP37" s="276">
        <v>-3.3685430285814333E-2</v>
      </c>
      <c r="EQ37" s="276">
        <v>-8.3338521241499985E-2</v>
      </c>
      <c r="ER37" s="313">
        <v>-0.16667704248299997</v>
      </c>
      <c r="ES37" s="283"/>
      <c r="ET37" s="312">
        <v>0.14025678300000002</v>
      </c>
      <c r="EU37" s="274">
        <v>0</v>
      </c>
      <c r="EV37" s="274">
        <v>0</v>
      </c>
      <c r="EW37" s="278">
        <v>0</v>
      </c>
      <c r="EX37" s="276">
        <v>0</v>
      </c>
      <c r="EY37" s="309">
        <v>0</v>
      </c>
      <c r="EZ37" s="276">
        <v>0</v>
      </c>
      <c r="FA37" s="276">
        <v>0</v>
      </c>
      <c r="FB37" s="276">
        <v>0</v>
      </c>
      <c r="FC37" s="276">
        <v>-5.0086822789057019E-3</v>
      </c>
      <c r="FD37" s="276">
        <v>0</v>
      </c>
      <c r="FE37" s="313">
        <v>0</v>
      </c>
      <c r="FF37" s="212"/>
      <c r="FG37" s="312">
        <v>0</v>
      </c>
      <c r="FH37" s="274">
        <v>0</v>
      </c>
      <c r="FI37" s="278">
        <v>0</v>
      </c>
      <c r="FJ37" s="278">
        <v>0</v>
      </c>
      <c r="FK37" s="276">
        <v>0</v>
      </c>
      <c r="FL37" s="309">
        <v>0</v>
      </c>
      <c r="FM37" s="276">
        <v>0</v>
      </c>
      <c r="FN37" s="276">
        <v>0</v>
      </c>
      <c r="FO37" s="276">
        <v>0</v>
      </c>
      <c r="FP37" s="276">
        <v>-3.4874954256831127E-4</v>
      </c>
      <c r="FQ37" s="276">
        <v>-8.3732000000000008E-3</v>
      </c>
      <c r="FR37" s="313">
        <v>-1.6746400000000002E-2</v>
      </c>
      <c r="FS37" s="283"/>
      <c r="FT37" s="286">
        <v>19.423999999999999</v>
      </c>
      <c r="FU37" s="260">
        <v>36.445</v>
      </c>
      <c r="FV37" s="260">
        <v>23</v>
      </c>
      <c r="FW37" s="260">
        <v>-17.021000000000001</v>
      </c>
      <c r="FX37" s="287">
        <v>-0.4670325147482508</v>
      </c>
      <c r="FY37" s="327">
        <v>0.317577683</v>
      </c>
      <c r="FZ37" s="275">
        <v>0.60745448132929336</v>
      </c>
      <c r="GA37" s="275">
        <v>0.20779793182147399</v>
      </c>
      <c r="GB37" s="275">
        <v>-0.28987679832929336</v>
      </c>
      <c r="GC37" s="275">
        <v>-0.28370099401031429</v>
      </c>
      <c r="GD37" s="275">
        <v>-6.175804318979068E-3</v>
      </c>
      <c r="GE37" s="275">
        <v>-2.5468349542568314E-2</v>
      </c>
      <c r="GF37" s="277">
        <v>0.13524810072109433</v>
      </c>
      <c r="GG37" s="214">
        <v>0</v>
      </c>
      <c r="GH37" s="286">
        <v>0</v>
      </c>
      <c r="GI37" s="260">
        <v>10</v>
      </c>
      <c r="GJ37" s="260">
        <v>8</v>
      </c>
      <c r="GK37" s="260">
        <v>-10</v>
      </c>
      <c r="GL37" s="291">
        <v>-1</v>
      </c>
      <c r="GM37" s="275">
        <v>0</v>
      </c>
      <c r="GN37" s="275">
        <v>0.16667704248299997</v>
      </c>
      <c r="GO37" s="275">
        <v>1.6746400000000002E-2</v>
      </c>
      <c r="GP37" s="275">
        <v>-0.16667704248299997</v>
      </c>
      <c r="GQ37" s="275">
        <v>-0.16667704248299997</v>
      </c>
      <c r="GR37" s="277">
        <v>0</v>
      </c>
      <c r="GS37" s="275">
        <v>-1.6746400000000002E-2</v>
      </c>
      <c r="GT37" s="284">
        <v>0</v>
      </c>
      <c r="GU37" s="292">
        <v>0</v>
      </c>
      <c r="GV37" s="214">
        <v>0</v>
      </c>
      <c r="GW37" s="293">
        <v>1.7148736335744045E-2</v>
      </c>
      <c r="GX37" s="294"/>
      <c r="GY37" s="293">
        <v>0.10977975117852601</v>
      </c>
      <c r="GZ37" s="293">
        <v>0</v>
      </c>
      <c r="HA37" s="293">
        <v>-1.6746400000000002E-2</v>
      </c>
      <c r="HB37" s="293">
        <v>0</v>
      </c>
      <c r="HC37" s="295">
        <v>0</v>
      </c>
    </row>
    <row r="38" spans="1:211" s="381" customFormat="1" ht="12.75" customHeight="1" thickBot="1">
      <c r="A38" s="352"/>
      <c r="B38" s="383"/>
      <c r="C38" s="384"/>
      <c r="D38" s="1069" t="s">
        <v>188</v>
      </c>
      <c r="E38" s="1070"/>
      <c r="F38" s="1071"/>
      <c r="G38" s="355">
        <v>196.61500000000004</v>
      </c>
      <c r="H38" s="355">
        <v>400.10100000000006</v>
      </c>
      <c r="I38" s="355">
        <v>175.09399999999997</v>
      </c>
      <c r="J38" s="355">
        <v>130.166</v>
      </c>
      <c r="K38" s="355">
        <v>13.079000000000001</v>
      </c>
      <c r="L38" s="355">
        <v>0</v>
      </c>
      <c r="M38" s="355">
        <v>0</v>
      </c>
      <c r="N38" s="355">
        <v>0</v>
      </c>
      <c r="O38" s="355">
        <v>16.276</v>
      </c>
      <c r="P38" s="355">
        <v>97.453999999999994</v>
      </c>
      <c r="Q38" s="355">
        <v>0</v>
      </c>
      <c r="R38" s="355">
        <v>66.77300000000001</v>
      </c>
      <c r="S38" s="261">
        <f t="shared" si="3"/>
        <v>164.227</v>
      </c>
      <c r="T38" s="356">
        <v>317.55592831692405</v>
      </c>
      <c r="U38" s="355">
        <v>251.23956607139701</v>
      </c>
      <c r="V38" s="357">
        <v>86.764597988827902</v>
      </c>
      <c r="W38" s="355">
        <v>322.38619423305903</v>
      </c>
      <c r="X38" s="355">
        <v>172.62439036249089</v>
      </c>
      <c r="Y38" s="355">
        <v>156.61741271053785</v>
      </c>
      <c r="Z38" s="355">
        <v>90.46125596998256</v>
      </c>
      <c r="AA38" s="355">
        <v>193.90281220322731</v>
      </c>
      <c r="AB38" s="355">
        <v>126.31041512797741</v>
      </c>
      <c r="AC38" s="355">
        <v>264.65937824142731</v>
      </c>
      <c r="AD38" s="355">
        <v>173.88204877414853</v>
      </c>
      <c r="AE38" s="355">
        <v>120</v>
      </c>
      <c r="AF38" s="358"/>
      <c r="AG38" s="356">
        <v>0</v>
      </c>
      <c r="AH38" s="356">
        <v>409.12810000000002</v>
      </c>
      <c r="AI38" s="357">
        <v>171</v>
      </c>
      <c r="AJ38" s="355">
        <v>133.4023</v>
      </c>
      <c r="AK38" s="355">
        <v>12.0763</v>
      </c>
      <c r="AL38" s="355">
        <v>0</v>
      </c>
      <c r="AM38" s="355">
        <v>0</v>
      </c>
      <c r="AN38" s="355">
        <v>0</v>
      </c>
      <c r="AO38" s="355">
        <v>0</v>
      </c>
      <c r="AP38" s="355">
        <v>109</v>
      </c>
      <c r="AQ38" s="355">
        <v>76.900000000000006</v>
      </c>
      <c r="AR38" s="355">
        <v>80.722999999999999</v>
      </c>
      <c r="AS38" s="359">
        <v>2.0362064512503195E-2</v>
      </c>
      <c r="AT38" s="357">
        <v>141988.94423111153</v>
      </c>
      <c r="AU38" s="357">
        <v>128756.38441293572</v>
      </c>
      <c r="AV38" s="357">
        <v>113096.32089049314</v>
      </c>
      <c r="AW38" s="357">
        <v>119254.47144415593</v>
      </c>
      <c r="AX38" s="357">
        <v>119419.45561587278</v>
      </c>
      <c r="AY38" s="357">
        <v>0</v>
      </c>
      <c r="AZ38" s="357">
        <v>0</v>
      </c>
      <c r="BA38" s="357">
        <v>0</v>
      </c>
      <c r="BB38" s="357">
        <v>103582.63946915703</v>
      </c>
      <c r="BC38" s="357">
        <v>155487.65776674123</v>
      </c>
      <c r="BD38" s="357">
        <v>0</v>
      </c>
      <c r="BE38" s="357">
        <v>27039.421772273221</v>
      </c>
      <c r="BF38" s="360"/>
      <c r="BG38" s="357">
        <v>121988.61759444495</v>
      </c>
      <c r="BH38" s="357">
        <v>131230.25096946163</v>
      </c>
      <c r="BI38" s="357">
        <v>100630.52277860735</v>
      </c>
      <c r="BJ38" s="357">
        <v>97470.726025203447</v>
      </c>
      <c r="BK38" s="357">
        <v>100159.50790545074</v>
      </c>
      <c r="BL38" s="357">
        <v>98786.049190563514</v>
      </c>
      <c r="BM38" s="357">
        <v>99293.487437002521</v>
      </c>
      <c r="BN38" s="357">
        <v>96992.86137772302</v>
      </c>
      <c r="BO38" s="357">
        <v>101479.22506897376</v>
      </c>
      <c r="BP38" s="357">
        <v>136919.22011918269</v>
      </c>
      <c r="BQ38" s="357">
        <v>179662.82721033777</v>
      </c>
      <c r="BR38" s="357">
        <v>182873.53720549904</v>
      </c>
      <c r="BS38" s="360"/>
      <c r="BT38" s="357">
        <v>0</v>
      </c>
      <c r="BU38" s="357">
        <v>125358.11750926576</v>
      </c>
      <c r="BV38" s="357">
        <v>111954.5132285135</v>
      </c>
      <c r="BW38" s="357">
        <v>115808.89973832255</v>
      </c>
      <c r="BX38" s="357">
        <v>121758.9430940703</v>
      </c>
      <c r="BY38" s="357">
        <v>0</v>
      </c>
      <c r="BZ38" s="357">
        <v>0</v>
      </c>
      <c r="CA38" s="357">
        <v>0</v>
      </c>
      <c r="CB38" s="357">
        <v>0</v>
      </c>
      <c r="CC38" s="357">
        <v>160899.45501493994</v>
      </c>
      <c r="CD38" s="357">
        <v>26590.637191157344</v>
      </c>
      <c r="CE38" s="357">
        <v>26566.834223207759</v>
      </c>
      <c r="CF38" s="361"/>
      <c r="CG38" s="362">
        <v>2.7917156269999999</v>
      </c>
      <c r="CH38" s="362">
        <v>5.1515558160000001</v>
      </c>
      <c r="CI38" s="362">
        <v>1.9802487209999999</v>
      </c>
      <c r="CJ38" s="362">
        <v>1.5522877530000001</v>
      </c>
      <c r="CK38" s="362">
        <v>0.15618870600000001</v>
      </c>
      <c r="CL38" s="362">
        <v>0</v>
      </c>
      <c r="CM38" s="362">
        <v>0</v>
      </c>
      <c r="CN38" s="362">
        <v>0</v>
      </c>
      <c r="CO38" s="362">
        <v>0.16859110399999999</v>
      </c>
      <c r="CP38" s="362">
        <v>1.51528942</v>
      </c>
      <c r="CQ38" s="362">
        <v>0</v>
      </c>
      <c r="CR38" s="363">
        <v>0.18055033100000001</v>
      </c>
      <c r="CS38" s="361"/>
      <c r="CT38" s="364">
        <v>3.8738208704302219</v>
      </c>
      <c r="CU38" s="364">
        <v>3.2970231309008065</v>
      </c>
      <c r="CV38" s="364">
        <v>0.87311668542914567</v>
      </c>
      <c r="CW38" s="364">
        <v>3.1423216412398522</v>
      </c>
      <c r="CX38" s="365">
        <v>1.7289973991185519</v>
      </c>
      <c r="CY38" s="364">
        <v>1.5471615436121979</v>
      </c>
      <c r="CZ38" s="364">
        <v>0.89822135831909322</v>
      </c>
      <c r="DA38" s="364">
        <v>1.8807188584778287</v>
      </c>
      <c r="DB38" s="364">
        <v>1.2817883045327525</v>
      </c>
      <c r="DC38" s="364">
        <v>3.6236955666044013</v>
      </c>
      <c r="DD38" s="364">
        <v>3.1240140483889371</v>
      </c>
      <c r="DE38" s="366">
        <v>2.1944824464659884</v>
      </c>
      <c r="DF38" s="390">
        <f t="shared" si="4"/>
        <v>8.9421920614593269</v>
      </c>
      <c r="DG38" s="364">
        <v>0</v>
      </c>
      <c r="DH38" s="367">
        <v>5.1287528436142642</v>
      </c>
      <c r="DI38" s="368">
        <v>1.9144221762075808</v>
      </c>
      <c r="DJ38" s="367">
        <v>1.5449173585561626</v>
      </c>
      <c r="DK38" s="369">
        <v>0.14703975244869213</v>
      </c>
      <c r="DL38" s="369">
        <v>0</v>
      </c>
      <c r="DM38" s="369">
        <v>0</v>
      </c>
      <c r="DN38" s="369">
        <v>0</v>
      </c>
      <c r="DO38" s="369">
        <v>0</v>
      </c>
      <c r="DP38" s="369">
        <v>1.7538040596628452</v>
      </c>
      <c r="DQ38" s="369">
        <v>0.204482</v>
      </c>
      <c r="DR38" s="370">
        <v>0.21445545590000001</v>
      </c>
      <c r="DS38" s="371"/>
      <c r="DT38" s="364">
        <v>0.39323642216682003</v>
      </c>
      <c r="DU38" s="369">
        <v>-9.8979648313257493E-2</v>
      </c>
      <c r="DV38" s="369">
        <v>0.21826864546025293</v>
      </c>
      <c r="DW38" s="369">
        <v>0.28355030062033693</v>
      </c>
      <c r="DX38" s="369">
        <v>2.5190085610460992E-2</v>
      </c>
      <c r="DY38" s="369">
        <v>0</v>
      </c>
      <c r="DZ38" s="369">
        <v>0</v>
      </c>
      <c r="EA38" s="369">
        <v>0</v>
      </c>
      <c r="EB38" s="369">
        <v>3.423517277738299E-3</v>
      </c>
      <c r="EC38" s="369">
        <v>0.18095685225051705</v>
      </c>
      <c r="ED38" s="369">
        <v>0</v>
      </c>
      <c r="EE38" s="370">
        <v>-1.0405511389822788</v>
      </c>
      <c r="EF38" s="361"/>
      <c r="EG38" s="364">
        <v>-1.4753416655970422</v>
      </c>
      <c r="EH38" s="364">
        <v>1.9535123334124509</v>
      </c>
      <c r="EI38" s="364">
        <v>0.88886339011060167</v>
      </c>
      <c r="EJ38" s="364">
        <v>-1.8735841888601887</v>
      </c>
      <c r="EK38" s="364">
        <v>-1.5979987787290129</v>
      </c>
      <c r="EL38" s="364">
        <v>-1.5471615436121979</v>
      </c>
      <c r="EM38" s="364">
        <v>-0.89822135831909322</v>
      </c>
      <c r="EN38" s="364">
        <v>-1.8807188584778287</v>
      </c>
      <c r="EO38" s="364">
        <v>-1.1131972005327528</v>
      </c>
      <c r="EP38" s="364">
        <v>-2.0881127023953692</v>
      </c>
      <c r="EQ38" s="364">
        <v>-3.1240140483889376</v>
      </c>
      <c r="ER38" s="364">
        <v>-0.97224189245186743</v>
      </c>
      <c r="ES38" s="372"/>
      <c r="ET38" s="364">
        <v>2.7917156269999999</v>
      </c>
      <c r="EU38" s="369">
        <v>3.0033937452225755E-3</v>
      </c>
      <c r="EV38" s="369">
        <v>5.1653075879549309E-4</v>
      </c>
      <c r="EW38" s="369">
        <v>5.195073656756026E-2</v>
      </c>
      <c r="EX38" s="369">
        <v>2.9157600669956478E-2</v>
      </c>
      <c r="EY38" s="369">
        <v>0</v>
      </c>
      <c r="EZ38" s="369">
        <v>0</v>
      </c>
      <c r="FA38" s="369">
        <v>0</v>
      </c>
      <c r="FB38" s="369">
        <v>0.16859110399999999</v>
      </c>
      <c r="FC38" s="369">
        <v>-3.785692732372177E-2</v>
      </c>
      <c r="FD38" s="369">
        <v>0</v>
      </c>
      <c r="FE38" s="370">
        <v>-1.1832538425833017E-3</v>
      </c>
      <c r="FF38" s="361"/>
      <c r="FG38" s="364">
        <v>0</v>
      </c>
      <c r="FH38" s="369">
        <v>1.9799578640513932E-2</v>
      </c>
      <c r="FI38" s="369">
        <v>6.5310014033623534E-2</v>
      </c>
      <c r="FJ38" s="369">
        <v>-4.4580342123722791E-2</v>
      </c>
      <c r="FK38" s="369">
        <v>-2.0008647118648571E-2</v>
      </c>
      <c r="FL38" s="369">
        <v>0</v>
      </c>
      <c r="FM38" s="369">
        <v>0</v>
      </c>
      <c r="FN38" s="369">
        <v>0</v>
      </c>
      <c r="FO38" s="369">
        <v>0</v>
      </c>
      <c r="FP38" s="369">
        <v>-0.20065771233912377</v>
      </c>
      <c r="FQ38" s="369">
        <v>-0.204482</v>
      </c>
      <c r="FR38" s="369">
        <v>-3.2721871057416696E-2</v>
      </c>
      <c r="FS38" s="372"/>
      <c r="FT38" s="373">
        <v>1095.558</v>
      </c>
      <c r="FU38" s="373">
        <v>2276.404</v>
      </c>
      <c r="FV38" s="373">
        <v>992.22969999999998</v>
      </c>
      <c r="FW38" s="373">
        <v>-1180.8459999999998</v>
      </c>
      <c r="FX38" s="385"/>
      <c r="FY38" s="373">
        <v>13.496427477999999</v>
      </c>
      <c r="FZ38" s="373">
        <v>27.465361853519781</v>
      </c>
      <c r="GA38" s="373">
        <v>10.907873646389545</v>
      </c>
      <c r="GB38" s="373">
        <v>-13.96893437551978</v>
      </c>
      <c r="GC38" s="374">
        <v>-13.920351319067592</v>
      </c>
      <c r="GD38" s="373">
        <v>-4.8583056452184907E-2</v>
      </c>
      <c r="GE38" s="374">
        <v>-0.41734097996477432</v>
      </c>
      <c r="GF38" s="375">
        <v>3.0058948115752293</v>
      </c>
      <c r="GG38" s="376"/>
      <c r="GH38" s="373">
        <v>66.77300000000001</v>
      </c>
      <c r="GI38" s="373">
        <v>120</v>
      </c>
      <c r="GJ38" s="373">
        <v>80.722999999999999</v>
      </c>
      <c r="GK38" s="373">
        <v>-53.226999999999983</v>
      </c>
      <c r="GL38" s="377">
        <v>-1.9461170212765955</v>
      </c>
      <c r="GM38" s="378">
        <v>0.18055033100000001</v>
      </c>
      <c r="GN38" s="378">
        <v>2.1944824464659884</v>
      </c>
      <c r="GO38" s="378">
        <v>0.21445545590000001</v>
      </c>
      <c r="GP38" s="378">
        <v>-2.0139321154659884</v>
      </c>
      <c r="GQ38" s="378">
        <v>-0.97224189245186743</v>
      </c>
      <c r="GR38" s="378">
        <v>-1.0405511389822788</v>
      </c>
      <c r="GS38" s="378">
        <v>-3.2721871057416696E-2</v>
      </c>
      <c r="GT38" s="379">
        <v>-1.1832538425833017E-3</v>
      </c>
      <c r="GU38" s="380">
        <v>-4.2963991038065606E-2</v>
      </c>
      <c r="GV38" s="376"/>
      <c r="GW38" s="380"/>
      <c r="GX38" s="380"/>
      <c r="GY38" s="380"/>
      <c r="GZ38" s="380"/>
      <c r="HA38" s="380"/>
      <c r="HB38" s="380"/>
      <c r="HC38" s="380"/>
    </row>
    <row r="39" spans="1:211" ht="12.75" customHeight="1">
      <c r="B39" s="328" t="s">
        <v>189</v>
      </c>
      <c r="C39" s="297" t="s">
        <v>135</v>
      </c>
      <c r="D39" s="299" t="s">
        <v>190</v>
      </c>
      <c r="E39" s="299" t="s">
        <v>191</v>
      </c>
      <c r="F39" s="382" t="s">
        <v>144</v>
      </c>
      <c r="G39" s="386">
        <v>0</v>
      </c>
      <c r="H39" s="386">
        <v>0</v>
      </c>
      <c r="I39" s="334">
        <v>5.7240000000000002</v>
      </c>
      <c r="J39" s="336">
        <v>0</v>
      </c>
      <c r="K39" s="336">
        <v>0</v>
      </c>
      <c r="L39" s="332">
        <v>5.8819999999999997</v>
      </c>
      <c r="M39" s="332">
        <v>0</v>
      </c>
      <c r="N39" s="260">
        <v>0</v>
      </c>
      <c r="O39" s="332">
        <v>0</v>
      </c>
      <c r="P39" s="332">
        <v>0</v>
      </c>
      <c r="Q39" s="332">
        <v>0</v>
      </c>
      <c r="R39" s="387">
        <v>0</v>
      </c>
      <c r="S39" s="261">
        <f t="shared" si="3"/>
        <v>0</v>
      </c>
      <c r="T39" s="388">
        <v>6</v>
      </c>
      <c r="U39" s="267">
        <v>0</v>
      </c>
      <c r="V39" s="259">
        <v>0</v>
      </c>
      <c r="W39" s="259">
        <v>6</v>
      </c>
      <c r="X39" s="259">
        <v>0</v>
      </c>
      <c r="Y39" s="259">
        <v>0</v>
      </c>
      <c r="Z39" s="259">
        <v>0</v>
      </c>
      <c r="AA39" s="259">
        <v>0</v>
      </c>
      <c r="AB39" s="259">
        <v>0</v>
      </c>
      <c r="AC39" s="259">
        <v>6</v>
      </c>
      <c r="AD39" s="259">
        <v>0</v>
      </c>
      <c r="AE39" s="268">
        <v>0</v>
      </c>
      <c r="AG39" s="388">
        <v>0</v>
      </c>
      <c r="AH39" s="267">
        <v>0</v>
      </c>
      <c r="AI39" s="259">
        <v>6</v>
      </c>
      <c r="AJ39" s="259">
        <v>0</v>
      </c>
      <c r="AK39" s="259">
        <v>0</v>
      </c>
      <c r="AL39" s="259">
        <v>6</v>
      </c>
      <c r="AM39" s="259">
        <v>0</v>
      </c>
      <c r="AN39" s="259">
        <v>0</v>
      </c>
      <c r="AO39" s="259">
        <v>0</v>
      </c>
      <c r="AP39" s="259">
        <v>0</v>
      </c>
      <c r="AQ39" s="259">
        <v>0</v>
      </c>
      <c r="AR39" s="268">
        <v>0</v>
      </c>
      <c r="AS39" s="269">
        <v>0</v>
      </c>
      <c r="AT39" s="305">
        <v>0</v>
      </c>
      <c r="AU39" s="336">
        <v>0</v>
      </c>
      <c r="AV39" s="336">
        <v>227333.33333333334</v>
      </c>
      <c r="AW39" s="336">
        <v>0</v>
      </c>
      <c r="AX39" s="336">
        <v>0</v>
      </c>
      <c r="AY39" s="336">
        <v>227348.79292757571</v>
      </c>
      <c r="AZ39" s="259">
        <v>0</v>
      </c>
      <c r="BA39" s="259">
        <v>0</v>
      </c>
      <c r="BB39" s="259">
        <v>0</v>
      </c>
      <c r="BC39" s="259">
        <v>0</v>
      </c>
      <c r="BD39" s="259">
        <v>0</v>
      </c>
      <c r="BE39" s="268">
        <v>0</v>
      </c>
      <c r="BG39" s="305">
        <v>211068.10333619791</v>
      </c>
      <c r="BH39" s="336">
        <v>0</v>
      </c>
      <c r="BI39" s="336">
        <v>227333.33333333334</v>
      </c>
      <c r="BJ39" s="336">
        <v>211068.10333619791</v>
      </c>
      <c r="BK39" s="336">
        <v>0</v>
      </c>
      <c r="BL39" s="336">
        <v>227348.79292757571</v>
      </c>
      <c r="BM39" s="259">
        <v>0</v>
      </c>
      <c r="BN39" s="259">
        <v>0</v>
      </c>
      <c r="BO39" s="259">
        <v>0</v>
      </c>
      <c r="BP39" s="259">
        <v>211068.10333619791</v>
      </c>
      <c r="BQ39" s="259">
        <v>0</v>
      </c>
      <c r="BR39" s="268">
        <v>0</v>
      </c>
      <c r="BT39" s="389">
        <v>0</v>
      </c>
      <c r="BU39" s="307">
        <v>0</v>
      </c>
      <c r="BV39" s="307">
        <v>227395.9867680156</v>
      </c>
      <c r="BW39" s="307">
        <v>0</v>
      </c>
      <c r="BX39" s="307">
        <v>0</v>
      </c>
      <c r="BY39" s="307">
        <v>227395.9867680156</v>
      </c>
      <c r="BZ39" s="307">
        <v>0</v>
      </c>
      <c r="CA39" s="307">
        <v>0</v>
      </c>
      <c r="CB39" s="307">
        <v>0</v>
      </c>
      <c r="CC39" s="307">
        <v>0</v>
      </c>
      <c r="CD39" s="307">
        <v>0</v>
      </c>
      <c r="CE39" s="308">
        <v>0</v>
      </c>
      <c r="CF39" s="212"/>
      <c r="CG39" s="315">
        <v>0</v>
      </c>
      <c r="CH39" s="329">
        <v>0</v>
      </c>
      <c r="CI39" s="329">
        <v>0.13012560000000001</v>
      </c>
      <c r="CJ39" s="329">
        <v>0</v>
      </c>
      <c r="CK39" s="329">
        <v>0</v>
      </c>
      <c r="CL39" s="341">
        <v>0.13372656000000002</v>
      </c>
      <c r="CM39" s="338">
        <v>0</v>
      </c>
      <c r="CN39" s="338">
        <v>0</v>
      </c>
      <c r="CO39" s="276">
        <v>0</v>
      </c>
      <c r="CP39" s="338">
        <v>0</v>
      </c>
      <c r="CQ39" s="338">
        <v>0</v>
      </c>
      <c r="CR39" s="339">
        <v>0</v>
      </c>
      <c r="CS39" s="390"/>
      <c r="CT39" s="273">
        <v>0.12664086200171876</v>
      </c>
      <c r="CU39" s="278">
        <v>0</v>
      </c>
      <c r="CV39" s="278">
        <v>0</v>
      </c>
      <c r="CW39" s="278">
        <v>0.12664086200171876</v>
      </c>
      <c r="CX39" s="278">
        <v>0</v>
      </c>
      <c r="CY39" s="278">
        <v>0</v>
      </c>
      <c r="CZ39" s="278">
        <v>0</v>
      </c>
      <c r="DA39" s="278">
        <v>0</v>
      </c>
      <c r="DB39" s="278">
        <v>0</v>
      </c>
      <c r="DC39" s="278">
        <v>0.12664086200171876</v>
      </c>
      <c r="DD39" s="278">
        <v>0</v>
      </c>
      <c r="DE39" s="278">
        <v>0</v>
      </c>
      <c r="DF39" s="390">
        <f t="shared" si="4"/>
        <v>0.12664086200171876</v>
      </c>
      <c r="DG39" s="391">
        <v>0</v>
      </c>
      <c r="DH39" s="281">
        <v>0</v>
      </c>
      <c r="DI39" s="278">
        <v>0.13643759206080935</v>
      </c>
      <c r="DJ39" s="278">
        <v>0</v>
      </c>
      <c r="DK39" s="278">
        <v>0</v>
      </c>
      <c r="DL39" s="278">
        <v>0.13643759206080935</v>
      </c>
      <c r="DM39" s="278">
        <v>0</v>
      </c>
      <c r="DN39" s="278">
        <v>0</v>
      </c>
      <c r="DO39" s="278">
        <v>0</v>
      </c>
      <c r="DP39" s="278">
        <v>0</v>
      </c>
      <c r="DQ39" s="278">
        <v>0</v>
      </c>
      <c r="DR39" s="282">
        <v>0</v>
      </c>
      <c r="DS39" s="226"/>
      <c r="DT39" s="273">
        <v>0</v>
      </c>
      <c r="DU39" s="278">
        <v>0</v>
      </c>
      <c r="DV39" s="278">
        <v>0</v>
      </c>
      <c r="DW39" s="278">
        <v>0</v>
      </c>
      <c r="DX39" s="275">
        <v>0</v>
      </c>
      <c r="DY39" s="281">
        <v>0</v>
      </c>
      <c r="DZ39" s="281">
        <v>0</v>
      </c>
      <c r="EA39" s="281">
        <v>0</v>
      </c>
      <c r="EB39" s="275">
        <v>0</v>
      </c>
      <c r="EC39" s="275">
        <v>0</v>
      </c>
      <c r="ED39" s="275">
        <v>0</v>
      </c>
      <c r="EE39" s="277">
        <v>0</v>
      </c>
      <c r="EF39" s="212"/>
      <c r="EG39" s="273">
        <v>-0.12664086200171876</v>
      </c>
      <c r="EH39" s="278">
        <v>0</v>
      </c>
      <c r="EI39" s="278">
        <v>0.13012560000000001</v>
      </c>
      <c r="EJ39" s="278">
        <v>-0.12664086200171876</v>
      </c>
      <c r="EK39" s="275">
        <v>0</v>
      </c>
      <c r="EL39" s="281">
        <v>0.13372656000000002</v>
      </c>
      <c r="EM39" s="281">
        <v>0</v>
      </c>
      <c r="EN39" s="281">
        <v>0</v>
      </c>
      <c r="EO39" s="275">
        <v>0</v>
      </c>
      <c r="EP39" s="275">
        <v>-0.12664086200171876</v>
      </c>
      <c r="EQ39" s="275">
        <v>0</v>
      </c>
      <c r="ER39" s="277">
        <v>0</v>
      </c>
      <c r="ES39" s="283"/>
      <c r="ET39" s="273">
        <v>0</v>
      </c>
      <c r="EU39" s="278">
        <v>0</v>
      </c>
      <c r="EV39" s="278">
        <v>-3.586282601212511E-5</v>
      </c>
      <c r="EW39" s="278">
        <v>0</v>
      </c>
      <c r="EX39" s="275">
        <v>0</v>
      </c>
      <c r="EY39" s="281">
        <v>-2.7759416946747432E-5</v>
      </c>
      <c r="EZ39" s="281">
        <v>0</v>
      </c>
      <c r="FA39" s="281">
        <v>0</v>
      </c>
      <c r="FB39" s="275">
        <v>0</v>
      </c>
      <c r="FC39" s="275">
        <v>0</v>
      </c>
      <c r="FD39" s="275">
        <v>0</v>
      </c>
      <c r="FE39" s="277">
        <v>0</v>
      </c>
      <c r="FF39" s="212"/>
      <c r="FG39" s="273">
        <v>0</v>
      </c>
      <c r="FH39" s="278">
        <v>0</v>
      </c>
      <c r="FI39" s="278">
        <v>-6.276129234797226E-3</v>
      </c>
      <c r="FJ39" s="278">
        <v>0</v>
      </c>
      <c r="FK39" s="275">
        <v>0</v>
      </c>
      <c r="FL39" s="281">
        <v>-2.6832726438625917E-3</v>
      </c>
      <c r="FM39" s="281">
        <v>0</v>
      </c>
      <c r="FN39" s="281">
        <v>0</v>
      </c>
      <c r="FO39" s="275">
        <v>0</v>
      </c>
      <c r="FP39" s="275">
        <v>0</v>
      </c>
      <c r="FQ39" s="275">
        <v>0</v>
      </c>
      <c r="FR39" s="277">
        <v>0</v>
      </c>
      <c r="FS39" s="283"/>
      <c r="FT39" s="286">
        <v>11.606</v>
      </c>
      <c r="FU39" s="260">
        <v>18</v>
      </c>
      <c r="FV39" s="260">
        <v>12</v>
      </c>
      <c r="FW39" s="260">
        <v>-6.3940000000000001</v>
      </c>
      <c r="FX39" s="287">
        <v>-0.35522222222222222</v>
      </c>
      <c r="FY39" s="327">
        <v>0.26385216</v>
      </c>
      <c r="FZ39" s="275">
        <v>0.37992258600515627</v>
      </c>
      <c r="GA39" s="275">
        <v>0.27287518412161871</v>
      </c>
      <c r="GB39" s="275">
        <v>-0.11607042600515627</v>
      </c>
      <c r="GC39" s="275">
        <v>-0.11607042600515624</v>
      </c>
      <c r="GD39" s="275">
        <v>0</v>
      </c>
      <c r="GE39" s="275">
        <v>-8.9594018786598173E-3</v>
      </c>
      <c r="GF39" s="277">
        <v>-6.3622242958872539E-5</v>
      </c>
      <c r="GG39" s="214">
        <v>0</v>
      </c>
      <c r="GH39" s="286">
        <v>0</v>
      </c>
      <c r="GI39" s="260">
        <v>0</v>
      </c>
      <c r="GJ39" s="260">
        <v>0</v>
      </c>
      <c r="GK39" s="260">
        <v>0</v>
      </c>
      <c r="GL39" s="291">
        <v>0</v>
      </c>
      <c r="GM39" s="275">
        <v>0</v>
      </c>
      <c r="GN39" s="275">
        <v>0</v>
      </c>
      <c r="GO39" s="275">
        <v>0</v>
      </c>
      <c r="GP39" s="275">
        <v>0</v>
      </c>
      <c r="GQ39" s="275">
        <v>0</v>
      </c>
      <c r="GR39" s="277">
        <v>0</v>
      </c>
      <c r="GS39" s="275">
        <v>0</v>
      </c>
      <c r="GT39" s="284">
        <v>0</v>
      </c>
      <c r="GU39" s="292">
        <v>0</v>
      </c>
      <c r="GV39" s="214">
        <v>0</v>
      </c>
      <c r="GW39" s="293">
        <v>0</v>
      </c>
      <c r="GX39" s="294"/>
      <c r="GY39" s="293">
        <v>-9.0230241216187057E-3</v>
      </c>
      <c r="GZ39" s="293">
        <v>1.5612511283791264E-17</v>
      </c>
      <c r="HA39" s="293">
        <v>0</v>
      </c>
      <c r="HB39" s="293">
        <v>0</v>
      </c>
      <c r="HC39" s="295">
        <v>0</v>
      </c>
    </row>
    <row r="40" spans="1:211" ht="12.75" customHeight="1">
      <c r="B40" s="328" t="s">
        <v>192</v>
      </c>
      <c r="C40" s="297" t="s">
        <v>135</v>
      </c>
      <c r="D40" s="299" t="s">
        <v>193</v>
      </c>
      <c r="E40" s="299"/>
      <c r="F40" s="382" t="s">
        <v>144</v>
      </c>
      <c r="G40" s="386"/>
      <c r="H40" s="386"/>
      <c r="I40" s="334"/>
      <c r="J40" s="336"/>
      <c r="K40" s="336"/>
      <c r="L40" s="332">
        <v>0</v>
      </c>
      <c r="M40" s="332">
        <v>0</v>
      </c>
      <c r="N40" s="260">
        <v>0</v>
      </c>
      <c r="O40" s="332">
        <v>24.279</v>
      </c>
      <c r="P40" s="332">
        <v>33.673999999999992</v>
      </c>
      <c r="Q40" s="332">
        <v>0</v>
      </c>
      <c r="R40" s="387">
        <v>19.238</v>
      </c>
      <c r="S40" s="261">
        <f t="shared" si="3"/>
        <v>52.911999999999992</v>
      </c>
      <c r="T40" s="388">
        <v>0</v>
      </c>
      <c r="U40" s="267">
        <v>0</v>
      </c>
      <c r="V40" s="259">
        <v>0</v>
      </c>
      <c r="W40" s="259">
        <v>0</v>
      </c>
      <c r="X40" s="259">
        <v>0</v>
      </c>
      <c r="Y40" s="259">
        <v>0</v>
      </c>
      <c r="Z40" s="259">
        <v>15</v>
      </c>
      <c r="AA40" s="259">
        <v>0</v>
      </c>
      <c r="AB40" s="259">
        <v>15</v>
      </c>
      <c r="AC40" s="259">
        <v>0</v>
      </c>
      <c r="AD40" s="259">
        <v>15</v>
      </c>
      <c r="AE40" s="268">
        <v>15</v>
      </c>
      <c r="AG40" s="388">
        <v>0</v>
      </c>
      <c r="AH40" s="267">
        <v>0</v>
      </c>
      <c r="AI40" s="259">
        <v>0</v>
      </c>
      <c r="AJ40" s="259">
        <v>0</v>
      </c>
      <c r="AK40" s="259">
        <v>0</v>
      </c>
      <c r="AL40" s="259">
        <v>0</v>
      </c>
      <c r="AM40" s="259">
        <v>0</v>
      </c>
      <c r="AN40" s="259">
        <v>0</v>
      </c>
      <c r="AO40" s="259">
        <v>42</v>
      </c>
      <c r="AP40" s="259">
        <v>42.981499999999997</v>
      </c>
      <c r="AQ40" s="259">
        <v>0.57600000000000007</v>
      </c>
      <c r="AR40" s="268">
        <v>20</v>
      </c>
      <c r="AS40" s="269">
        <v>5.0449226397688875E-3</v>
      </c>
      <c r="AT40" s="305">
        <v>0</v>
      </c>
      <c r="AU40" s="336">
        <v>0</v>
      </c>
      <c r="AV40" s="336">
        <v>0</v>
      </c>
      <c r="AW40" s="336">
        <v>0</v>
      </c>
      <c r="AX40" s="336">
        <v>0</v>
      </c>
      <c r="AY40" s="336">
        <v>0</v>
      </c>
      <c r="AZ40" s="259">
        <v>0</v>
      </c>
      <c r="BA40" s="259">
        <v>0</v>
      </c>
      <c r="BB40" s="259">
        <v>223794.46929445196</v>
      </c>
      <c r="BC40" s="259">
        <v>216672.04133753048</v>
      </c>
      <c r="BD40" s="259">
        <v>0</v>
      </c>
      <c r="BE40" s="268">
        <v>208304.33101153962</v>
      </c>
      <c r="BG40" s="305">
        <v>0</v>
      </c>
      <c r="BH40" s="336">
        <v>0</v>
      </c>
      <c r="BI40" s="336">
        <v>0</v>
      </c>
      <c r="BJ40" s="336">
        <v>0</v>
      </c>
      <c r="BK40" s="336">
        <v>0</v>
      </c>
      <c r="BL40" s="336">
        <v>0</v>
      </c>
      <c r="BM40" s="259">
        <v>250000</v>
      </c>
      <c r="BN40" s="259">
        <v>0</v>
      </c>
      <c r="BO40" s="259">
        <v>250000</v>
      </c>
      <c r="BP40" s="259">
        <v>216672.04133753048</v>
      </c>
      <c r="BQ40" s="259">
        <v>250000</v>
      </c>
      <c r="BR40" s="268">
        <v>250000</v>
      </c>
      <c r="BT40" s="389">
        <v>0</v>
      </c>
      <c r="BU40" s="307">
        <v>0</v>
      </c>
      <c r="BV40" s="307">
        <v>0</v>
      </c>
      <c r="BW40" s="307">
        <v>0</v>
      </c>
      <c r="BX40" s="307">
        <v>0</v>
      </c>
      <c r="BY40" s="307">
        <v>0</v>
      </c>
      <c r="BZ40" s="307">
        <v>0</v>
      </c>
      <c r="CA40" s="307">
        <v>0</v>
      </c>
      <c r="CB40" s="307">
        <v>223815.00000000003</v>
      </c>
      <c r="CC40" s="307">
        <v>211830.54561846374</v>
      </c>
      <c r="CD40" s="307">
        <v>223815.00000000003</v>
      </c>
      <c r="CE40" s="308">
        <v>223815</v>
      </c>
      <c r="CF40" s="212"/>
      <c r="CG40" s="326"/>
      <c r="CH40" s="329"/>
      <c r="CI40" s="329"/>
      <c r="CJ40" s="329"/>
      <c r="CK40" s="329"/>
      <c r="CL40" s="341"/>
      <c r="CM40" s="338">
        <v>0</v>
      </c>
      <c r="CN40" s="338">
        <v>0</v>
      </c>
      <c r="CO40" s="276">
        <v>0.54335059199999991</v>
      </c>
      <c r="CP40" s="338">
        <v>0.72962143199999996</v>
      </c>
      <c r="CQ40" s="338">
        <v>0</v>
      </c>
      <c r="CR40" s="339">
        <v>0.40073587199999994</v>
      </c>
      <c r="CS40" s="390"/>
      <c r="CT40" s="273">
        <v>0</v>
      </c>
      <c r="CU40" s="278">
        <v>0</v>
      </c>
      <c r="CV40" s="278">
        <v>0</v>
      </c>
      <c r="CW40" s="278">
        <v>0</v>
      </c>
      <c r="CX40" s="278">
        <v>0</v>
      </c>
      <c r="CY40" s="278">
        <v>0</v>
      </c>
      <c r="CZ40" s="278">
        <v>0.375</v>
      </c>
      <c r="DA40" s="278">
        <v>0</v>
      </c>
      <c r="DB40" s="278">
        <v>0.375</v>
      </c>
      <c r="DC40" s="278">
        <v>0</v>
      </c>
      <c r="DD40" s="278">
        <v>0.375</v>
      </c>
      <c r="DE40" s="278">
        <v>0.375</v>
      </c>
      <c r="DF40" s="390">
        <f t="shared" si="4"/>
        <v>0.75</v>
      </c>
      <c r="DG40" s="391">
        <v>0</v>
      </c>
      <c r="DH40" s="281">
        <v>0</v>
      </c>
      <c r="DI40" s="278">
        <v>0</v>
      </c>
      <c r="DJ40" s="278">
        <v>0</v>
      </c>
      <c r="DK40" s="278">
        <v>0</v>
      </c>
      <c r="DL40" s="278">
        <v>0</v>
      </c>
      <c r="DM40" s="278">
        <v>0</v>
      </c>
      <c r="DN40" s="278">
        <v>0</v>
      </c>
      <c r="DO40" s="278">
        <v>0.94002300000000005</v>
      </c>
      <c r="DP40" s="278">
        <v>0.91047945964999988</v>
      </c>
      <c r="DQ40" s="278">
        <v>1.2891744000000002E-2</v>
      </c>
      <c r="DR40" s="282">
        <v>0.44762999999999997</v>
      </c>
      <c r="DS40" s="226"/>
      <c r="DT40" s="273">
        <v>0</v>
      </c>
      <c r="DU40" s="278">
        <v>0</v>
      </c>
      <c r="DV40" s="278">
        <v>0</v>
      </c>
      <c r="DW40" s="278">
        <v>0</v>
      </c>
      <c r="DX40" s="275">
        <v>0</v>
      </c>
      <c r="DY40" s="281">
        <v>0</v>
      </c>
      <c r="DZ40" s="281">
        <v>0</v>
      </c>
      <c r="EA40" s="281">
        <v>0</v>
      </c>
      <c r="EB40" s="275">
        <v>-6.3624408000000077E-2</v>
      </c>
      <c r="EC40" s="275">
        <v>0</v>
      </c>
      <c r="ED40" s="275">
        <v>0</v>
      </c>
      <c r="EE40" s="277">
        <v>-8.0214128000000079E-2</v>
      </c>
      <c r="EF40" s="212"/>
      <c r="EG40" s="273">
        <v>0</v>
      </c>
      <c r="EH40" s="278">
        <v>0</v>
      </c>
      <c r="EI40" s="278">
        <v>0</v>
      </c>
      <c r="EJ40" s="278">
        <v>0</v>
      </c>
      <c r="EK40" s="275">
        <v>0</v>
      </c>
      <c r="EL40" s="281">
        <v>0</v>
      </c>
      <c r="EM40" s="281">
        <v>-0.375</v>
      </c>
      <c r="EN40" s="281">
        <v>0</v>
      </c>
      <c r="EO40" s="275">
        <v>0.23197499999999999</v>
      </c>
      <c r="EP40" s="275">
        <v>0.72962143199999996</v>
      </c>
      <c r="EQ40" s="275">
        <v>-0.375</v>
      </c>
      <c r="ER40" s="277">
        <v>0.10595</v>
      </c>
      <c r="ES40" s="283"/>
      <c r="ET40" s="273">
        <v>0</v>
      </c>
      <c r="EU40" s="278">
        <v>0</v>
      </c>
      <c r="EV40" s="278">
        <v>0</v>
      </c>
      <c r="EW40" s="278">
        <v>0</v>
      </c>
      <c r="EX40" s="275">
        <v>0</v>
      </c>
      <c r="EY40" s="281">
        <v>0</v>
      </c>
      <c r="EZ40" s="281">
        <v>0</v>
      </c>
      <c r="FA40" s="281">
        <v>0</v>
      </c>
      <c r="FB40" s="275">
        <v>-4.9846500000149875E-5</v>
      </c>
      <c r="FC40" s="275">
        <v>1.6303252684385316E-2</v>
      </c>
      <c r="FD40" s="275">
        <v>0</v>
      </c>
      <c r="FE40" s="277">
        <v>-2.9839425000000086E-2</v>
      </c>
      <c r="FF40" s="212"/>
      <c r="FG40" s="273">
        <v>0</v>
      </c>
      <c r="FH40" s="278">
        <v>0</v>
      </c>
      <c r="FI40" s="278">
        <v>0</v>
      </c>
      <c r="FJ40" s="278">
        <v>0</v>
      </c>
      <c r="FK40" s="275">
        <v>0</v>
      </c>
      <c r="FL40" s="281">
        <v>0</v>
      </c>
      <c r="FM40" s="281">
        <v>0</v>
      </c>
      <c r="FN40" s="281">
        <v>0</v>
      </c>
      <c r="FO40" s="275">
        <v>-0.39662256150000008</v>
      </c>
      <c r="FP40" s="275">
        <v>-0.19716128033438524</v>
      </c>
      <c r="FQ40" s="275">
        <v>-1.2891744000000004E-2</v>
      </c>
      <c r="FR40" s="277">
        <v>-1.7054703000000011E-2</v>
      </c>
      <c r="FS40" s="283"/>
      <c r="FT40" s="286">
        <v>77.190999999999988</v>
      </c>
      <c r="FU40" s="260">
        <v>60</v>
      </c>
      <c r="FV40" s="260">
        <v>105.55749999999999</v>
      </c>
      <c r="FW40" s="260">
        <v>17.190999999999988</v>
      </c>
      <c r="FX40" s="287">
        <v>0.28651666666666648</v>
      </c>
      <c r="FY40" s="327">
        <v>1.6737078959999998</v>
      </c>
      <c r="FZ40" s="275">
        <v>1.5</v>
      </c>
      <c r="GA40" s="275">
        <v>2.3110242036499997</v>
      </c>
      <c r="GB40" s="275">
        <v>0.17370789599999981</v>
      </c>
      <c r="GC40" s="275">
        <v>0.31754643199999988</v>
      </c>
      <c r="GD40" s="275">
        <v>-0.14383853600000016</v>
      </c>
      <c r="GE40" s="275">
        <v>-0.6237302888343853</v>
      </c>
      <c r="GF40" s="277">
        <v>-1.3586018815614918E-2</v>
      </c>
      <c r="GG40" s="214">
        <v>0</v>
      </c>
      <c r="GH40" s="286">
        <v>19.238</v>
      </c>
      <c r="GI40" s="260">
        <v>15</v>
      </c>
      <c r="GJ40" s="260">
        <v>20</v>
      </c>
      <c r="GK40" s="260">
        <v>4.2379999999999995</v>
      </c>
      <c r="GL40" s="291">
        <v>0.2825333333333333</v>
      </c>
      <c r="GM40" s="275">
        <v>0.40073587199999994</v>
      </c>
      <c r="GN40" s="275">
        <v>0.375</v>
      </c>
      <c r="GO40" s="275">
        <v>0.44762999999999997</v>
      </c>
      <c r="GP40" s="275">
        <v>2.5735871999999937E-2</v>
      </c>
      <c r="GQ40" s="275">
        <v>0.10595</v>
      </c>
      <c r="GR40" s="277">
        <v>-8.0214128000000079E-2</v>
      </c>
      <c r="GS40" s="275">
        <v>-1.7054703000000011E-2</v>
      </c>
      <c r="GT40" s="284">
        <v>-2.9839425000000086E-2</v>
      </c>
      <c r="GU40" s="292">
        <v>-2.5881914522529637E-2</v>
      </c>
      <c r="GV40" s="214">
        <v>0</v>
      </c>
      <c r="GW40" s="293">
        <v>0.45838441969432869</v>
      </c>
      <c r="GX40" s="294"/>
      <c r="GY40" s="293">
        <v>-0.63731630764999991</v>
      </c>
      <c r="GZ40" s="293"/>
      <c r="HA40" s="293"/>
      <c r="HB40" s="293"/>
      <c r="HC40" s="295"/>
    </row>
    <row r="41" spans="1:211">
      <c r="B41" s="328" t="s">
        <v>194</v>
      </c>
      <c r="C41" s="297" t="s">
        <v>135</v>
      </c>
      <c r="D41" s="299" t="s">
        <v>193</v>
      </c>
      <c r="E41" s="299"/>
      <c r="F41" s="382" t="s">
        <v>140</v>
      </c>
      <c r="G41" s="386"/>
      <c r="H41" s="386"/>
      <c r="I41" s="334"/>
      <c r="J41" s="336"/>
      <c r="K41" s="336"/>
      <c r="L41" s="332"/>
      <c r="M41" s="332"/>
      <c r="N41" s="260"/>
      <c r="O41" s="332">
        <v>0</v>
      </c>
      <c r="P41" s="332">
        <v>4.8380000000000001</v>
      </c>
      <c r="Q41" s="332">
        <v>0</v>
      </c>
      <c r="R41" s="387">
        <v>0</v>
      </c>
      <c r="S41" s="261">
        <f t="shared" si="3"/>
        <v>4.8380000000000001</v>
      </c>
      <c r="T41" s="388">
        <v>0</v>
      </c>
      <c r="U41" s="267">
        <v>0</v>
      </c>
      <c r="V41" s="259">
        <v>0</v>
      </c>
      <c r="W41" s="259">
        <v>0</v>
      </c>
      <c r="X41" s="259">
        <v>0</v>
      </c>
      <c r="Y41" s="259">
        <v>0</v>
      </c>
      <c r="Z41" s="259">
        <v>0</v>
      </c>
      <c r="AA41" s="259">
        <v>0</v>
      </c>
      <c r="AB41" s="259">
        <v>0</v>
      </c>
      <c r="AC41" s="259">
        <v>0</v>
      </c>
      <c r="AD41" s="259">
        <v>0</v>
      </c>
      <c r="AE41" s="268">
        <v>0</v>
      </c>
      <c r="AG41" s="388">
        <v>0</v>
      </c>
      <c r="AH41" s="267">
        <v>0</v>
      </c>
      <c r="AI41" s="259">
        <v>0</v>
      </c>
      <c r="AJ41" s="259">
        <v>0</v>
      </c>
      <c r="AK41" s="259">
        <v>0</v>
      </c>
      <c r="AL41" s="259">
        <v>0</v>
      </c>
      <c r="AM41" s="259">
        <v>0</v>
      </c>
      <c r="AN41" s="259">
        <v>0</v>
      </c>
      <c r="AO41" s="259">
        <v>0</v>
      </c>
      <c r="AP41" s="259">
        <v>4</v>
      </c>
      <c r="AQ41" s="259">
        <v>0</v>
      </c>
      <c r="AR41" s="268">
        <v>0</v>
      </c>
      <c r="AS41" s="269">
        <v>0</v>
      </c>
      <c r="AT41" s="305">
        <v>0</v>
      </c>
      <c r="AU41" s="336">
        <v>0</v>
      </c>
      <c r="AV41" s="336">
        <v>0</v>
      </c>
      <c r="AW41" s="336">
        <v>0</v>
      </c>
      <c r="AX41" s="336">
        <v>0</v>
      </c>
      <c r="AY41" s="336">
        <v>0</v>
      </c>
      <c r="AZ41" s="259">
        <v>0</v>
      </c>
      <c r="BA41" s="259">
        <v>0</v>
      </c>
      <c r="BB41" s="259">
        <v>0</v>
      </c>
      <c r="BC41" s="259">
        <v>233219.28069450188</v>
      </c>
      <c r="BD41" s="259">
        <v>0</v>
      </c>
      <c r="BE41" s="268">
        <v>0</v>
      </c>
      <c r="BG41" s="305">
        <v>0</v>
      </c>
      <c r="BH41" s="336">
        <v>0</v>
      </c>
      <c r="BI41" s="336">
        <v>0</v>
      </c>
      <c r="BJ41" s="336">
        <v>0</v>
      </c>
      <c r="BK41" s="336">
        <v>0</v>
      </c>
      <c r="BL41" s="336">
        <v>0</v>
      </c>
      <c r="BM41" s="259">
        <v>0</v>
      </c>
      <c r="BN41" s="259">
        <v>0</v>
      </c>
      <c r="BO41" s="259">
        <v>0</v>
      </c>
      <c r="BP41" s="259">
        <v>233219.28069450188</v>
      </c>
      <c r="BQ41" s="259">
        <v>0</v>
      </c>
      <c r="BR41" s="268">
        <v>0</v>
      </c>
      <c r="BT41" s="389">
        <v>0</v>
      </c>
      <c r="BU41" s="307">
        <v>0</v>
      </c>
      <c r="BV41" s="307">
        <v>0</v>
      </c>
      <c r="BW41" s="307">
        <v>0</v>
      </c>
      <c r="BX41" s="307">
        <v>0</v>
      </c>
      <c r="BY41" s="307">
        <v>0</v>
      </c>
      <c r="BZ41" s="307">
        <v>0</v>
      </c>
      <c r="CA41" s="307">
        <v>0</v>
      </c>
      <c r="CB41" s="307">
        <v>0</v>
      </c>
      <c r="CC41" s="307">
        <v>232017</v>
      </c>
      <c r="CD41" s="307"/>
      <c r="CE41" s="308"/>
      <c r="CF41" s="212"/>
      <c r="CG41" s="326"/>
      <c r="CH41" s="329"/>
      <c r="CI41" s="329"/>
      <c r="CJ41" s="329"/>
      <c r="CK41" s="329"/>
      <c r="CL41" s="341"/>
      <c r="CM41" s="338"/>
      <c r="CN41" s="338"/>
      <c r="CO41" s="276"/>
      <c r="CP41" s="338">
        <v>0.11283148800000001</v>
      </c>
      <c r="CQ41" s="338">
        <v>0</v>
      </c>
      <c r="CR41" s="339">
        <v>0</v>
      </c>
      <c r="CS41" s="390"/>
      <c r="CT41" s="273">
        <v>0</v>
      </c>
      <c r="CU41" s="278">
        <v>0</v>
      </c>
      <c r="CV41" s="278">
        <v>0</v>
      </c>
      <c r="CW41" s="278">
        <v>0</v>
      </c>
      <c r="CX41" s="278">
        <v>0</v>
      </c>
      <c r="CY41" s="278">
        <v>0</v>
      </c>
      <c r="CZ41" s="278">
        <v>0</v>
      </c>
      <c r="DA41" s="278">
        <v>0</v>
      </c>
      <c r="DB41" s="278">
        <v>0</v>
      </c>
      <c r="DC41" s="278">
        <v>0</v>
      </c>
      <c r="DD41" s="278">
        <v>0</v>
      </c>
      <c r="DE41" s="278">
        <v>0</v>
      </c>
      <c r="DF41" s="390">
        <f t="shared" si="4"/>
        <v>0</v>
      </c>
      <c r="DG41" s="391">
        <v>0</v>
      </c>
      <c r="DH41" s="281">
        <v>0</v>
      </c>
      <c r="DI41" s="278">
        <v>0</v>
      </c>
      <c r="DJ41" s="278">
        <v>0</v>
      </c>
      <c r="DK41" s="278">
        <v>0</v>
      </c>
      <c r="DL41" s="278">
        <v>0</v>
      </c>
      <c r="DM41" s="278">
        <v>0</v>
      </c>
      <c r="DN41" s="278">
        <v>0</v>
      </c>
      <c r="DO41" s="278">
        <v>0</v>
      </c>
      <c r="DP41" s="278">
        <v>9.2806799999999995E-2</v>
      </c>
      <c r="DQ41" s="278">
        <v>0</v>
      </c>
      <c r="DR41" s="282">
        <v>0</v>
      </c>
      <c r="DS41" s="226"/>
      <c r="DT41" s="273">
        <v>0</v>
      </c>
      <c r="DU41" s="278">
        <v>0</v>
      </c>
      <c r="DV41" s="278">
        <v>0</v>
      </c>
      <c r="DW41" s="278">
        <v>0</v>
      </c>
      <c r="DX41" s="275">
        <v>0</v>
      </c>
      <c r="DY41" s="281">
        <v>0</v>
      </c>
      <c r="DZ41" s="281">
        <v>0</v>
      </c>
      <c r="EA41" s="281">
        <v>0</v>
      </c>
      <c r="EB41" s="275">
        <v>0</v>
      </c>
      <c r="EC41" s="275">
        <v>0</v>
      </c>
      <c r="ED41" s="275">
        <v>0</v>
      </c>
      <c r="EE41" s="277">
        <v>0</v>
      </c>
      <c r="EF41" s="212"/>
      <c r="EG41" s="273">
        <v>0</v>
      </c>
      <c r="EH41" s="278">
        <v>0</v>
      </c>
      <c r="EI41" s="278">
        <v>0</v>
      </c>
      <c r="EJ41" s="278">
        <v>0</v>
      </c>
      <c r="EK41" s="275">
        <v>0</v>
      </c>
      <c r="EL41" s="281">
        <v>0</v>
      </c>
      <c r="EM41" s="281">
        <v>0</v>
      </c>
      <c r="EN41" s="281">
        <v>0</v>
      </c>
      <c r="EO41" s="275">
        <v>0</v>
      </c>
      <c r="EP41" s="275">
        <v>0.11283148800000001</v>
      </c>
      <c r="EQ41" s="275">
        <v>0</v>
      </c>
      <c r="ER41" s="277">
        <v>0</v>
      </c>
      <c r="ES41" s="283"/>
      <c r="ET41" s="273">
        <v>0</v>
      </c>
      <c r="EU41" s="278">
        <v>0</v>
      </c>
      <c r="EV41" s="278">
        <v>0</v>
      </c>
      <c r="EW41" s="278">
        <v>0</v>
      </c>
      <c r="EX41" s="275">
        <v>0</v>
      </c>
      <c r="EY41" s="281">
        <v>0</v>
      </c>
      <c r="EZ41" s="281">
        <v>0</v>
      </c>
      <c r="FA41" s="281">
        <v>0</v>
      </c>
      <c r="FB41" s="275">
        <v>0</v>
      </c>
      <c r="FC41" s="275">
        <v>5.8166340000001049E-4</v>
      </c>
      <c r="FD41" s="275">
        <v>0</v>
      </c>
      <c r="FE41" s="277">
        <v>0</v>
      </c>
      <c r="FF41" s="212"/>
      <c r="FG41" s="273">
        <v>0</v>
      </c>
      <c r="FH41" s="278">
        <v>0</v>
      </c>
      <c r="FI41" s="278">
        <v>0</v>
      </c>
      <c r="FJ41" s="278">
        <v>0</v>
      </c>
      <c r="FK41" s="275">
        <v>0</v>
      </c>
      <c r="FL41" s="281">
        <v>0</v>
      </c>
      <c r="FM41" s="281">
        <v>0</v>
      </c>
      <c r="FN41" s="281">
        <v>0</v>
      </c>
      <c r="FO41" s="275">
        <v>0</v>
      </c>
      <c r="FP41" s="275">
        <v>1.9443024600000001E-2</v>
      </c>
      <c r="FQ41" s="275">
        <v>0</v>
      </c>
      <c r="FR41" s="277">
        <v>0</v>
      </c>
      <c r="FS41" s="283"/>
      <c r="FT41" s="286">
        <v>4.8380000000000001</v>
      </c>
      <c r="FU41" s="260">
        <v>0</v>
      </c>
      <c r="FV41" s="260">
        <v>4</v>
      </c>
      <c r="FW41" s="260">
        <v>4.8380000000000001</v>
      </c>
      <c r="FX41" s="287">
        <v>0</v>
      </c>
      <c r="FY41" s="327">
        <v>0.11283148800000001</v>
      </c>
      <c r="FZ41" s="275">
        <v>0</v>
      </c>
      <c r="GA41" s="275">
        <v>9.2806799999999995E-2</v>
      </c>
      <c r="GB41" s="275">
        <v>0.11283148800000001</v>
      </c>
      <c r="GC41" s="275">
        <v>0.11283148800000001</v>
      </c>
      <c r="GD41" s="275">
        <v>0</v>
      </c>
      <c r="GE41" s="275">
        <v>1.9443024600000001E-2</v>
      </c>
      <c r="GF41" s="277">
        <v>5.8166340000001049E-4</v>
      </c>
      <c r="GG41" s="214">
        <v>0</v>
      </c>
      <c r="GH41" s="286">
        <v>0</v>
      </c>
      <c r="GI41" s="260">
        <v>0</v>
      </c>
      <c r="GJ41" s="260">
        <v>0</v>
      </c>
      <c r="GK41" s="260">
        <v>0</v>
      </c>
      <c r="GL41" s="291">
        <v>0</v>
      </c>
      <c r="GM41" s="275">
        <v>0</v>
      </c>
      <c r="GN41" s="275">
        <v>0</v>
      </c>
      <c r="GO41" s="275">
        <v>0</v>
      </c>
      <c r="GP41" s="275">
        <v>0</v>
      </c>
      <c r="GQ41" s="275">
        <v>0</v>
      </c>
      <c r="GR41" s="277">
        <v>0</v>
      </c>
      <c r="GS41" s="275">
        <v>0</v>
      </c>
      <c r="GT41" s="284">
        <v>0</v>
      </c>
      <c r="GU41" s="292">
        <v>0</v>
      </c>
      <c r="GW41" s="293"/>
      <c r="GX41" s="294"/>
      <c r="GY41" s="293"/>
      <c r="GZ41" s="293"/>
      <c r="HA41" s="293"/>
      <c r="HB41" s="293"/>
      <c r="HC41" s="295"/>
    </row>
    <row r="42" spans="1:211">
      <c r="B42" s="328" t="s">
        <v>195</v>
      </c>
      <c r="C42" s="297" t="s">
        <v>135</v>
      </c>
      <c r="D42" s="299" t="s">
        <v>27</v>
      </c>
      <c r="E42" s="299" t="s">
        <v>196</v>
      </c>
      <c r="F42" s="382" t="s">
        <v>142</v>
      </c>
      <c r="G42" s="386">
        <v>150.76600000000002</v>
      </c>
      <c r="H42" s="386">
        <v>85.460999999999999</v>
      </c>
      <c r="I42" s="334">
        <v>88.311999999999983</v>
      </c>
      <c r="J42" s="336">
        <v>187.98700000000002</v>
      </c>
      <c r="K42" s="336">
        <v>240.745</v>
      </c>
      <c r="L42" s="332">
        <v>121.273</v>
      </c>
      <c r="M42" s="332">
        <v>62.294999999999987</v>
      </c>
      <c r="N42" s="260">
        <v>0</v>
      </c>
      <c r="O42" s="332">
        <v>0</v>
      </c>
      <c r="P42" s="332">
        <v>0</v>
      </c>
      <c r="Q42" s="332">
        <v>0</v>
      </c>
      <c r="R42" s="387">
        <v>0</v>
      </c>
      <c r="S42" s="261">
        <f t="shared" si="3"/>
        <v>0</v>
      </c>
      <c r="T42" s="388">
        <v>112.5</v>
      </c>
      <c r="U42" s="267">
        <v>78</v>
      </c>
      <c r="V42" s="259">
        <v>67.5</v>
      </c>
      <c r="W42" s="259">
        <v>50</v>
      </c>
      <c r="X42" s="259">
        <v>250</v>
      </c>
      <c r="Y42" s="259">
        <v>100</v>
      </c>
      <c r="Z42" s="259">
        <v>100</v>
      </c>
      <c r="AA42" s="259">
        <v>50</v>
      </c>
      <c r="AB42" s="259">
        <v>50</v>
      </c>
      <c r="AC42" s="259">
        <v>50</v>
      </c>
      <c r="AD42" s="259">
        <v>50</v>
      </c>
      <c r="AE42" s="268">
        <v>50</v>
      </c>
      <c r="AG42" s="388">
        <v>0</v>
      </c>
      <c r="AH42" s="267">
        <v>110.2727</v>
      </c>
      <c r="AI42" s="259">
        <v>92</v>
      </c>
      <c r="AJ42" s="259">
        <v>199.91</v>
      </c>
      <c r="AK42" s="259">
        <v>242.25880000000001</v>
      </c>
      <c r="AL42" s="259">
        <v>100.4752</v>
      </c>
      <c r="AM42" s="259">
        <v>61</v>
      </c>
      <c r="AN42" s="259">
        <v>80</v>
      </c>
      <c r="AO42" s="259">
        <v>0</v>
      </c>
      <c r="AP42" s="259">
        <v>148.66649999999998</v>
      </c>
      <c r="AQ42" s="259">
        <v>151</v>
      </c>
      <c r="AR42" s="268">
        <v>360</v>
      </c>
      <c r="AS42" s="269">
        <v>9.0808607515839981E-2</v>
      </c>
      <c r="AT42" s="305">
        <v>133628.61759282593</v>
      </c>
      <c r="AU42" s="336">
        <v>133332.39723382596</v>
      </c>
      <c r="AV42" s="336">
        <v>133332.72941389622</v>
      </c>
      <c r="AW42" s="336">
        <v>129494.44376472838</v>
      </c>
      <c r="AX42" s="336">
        <v>128348.0622235145</v>
      </c>
      <c r="AY42" s="336">
        <v>127600.21043430938</v>
      </c>
      <c r="AZ42" s="259">
        <v>132284.3939320973</v>
      </c>
      <c r="BA42" s="259">
        <v>0</v>
      </c>
      <c r="BB42" s="259">
        <v>0</v>
      </c>
      <c r="BC42" s="259">
        <v>0</v>
      </c>
      <c r="BD42" s="259">
        <v>0</v>
      </c>
      <c r="BE42" s="268">
        <v>0</v>
      </c>
      <c r="BG42" s="305">
        <v>143391.45680236802</v>
      </c>
      <c r="BH42" s="336">
        <v>143391.45680236802</v>
      </c>
      <c r="BI42" s="336">
        <v>143391.45680236802</v>
      </c>
      <c r="BJ42" s="336">
        <v>143391.45680236802</v>
      </c>
      <c r="BK42" s="336">
        <v>143391.45680236802</v>
      </c>
      <c r="BL42" s="336">
        <v>143391.45680236802</v>
      </c>
      <c r="BM42" s="259">
        <v>143391.45680236802</v>
      </c>
      <c r="BN42" s="259">
        <v>143391.45680236802</v>
      </c>
      <c r="BO42" s="259">
        <v>143391.45680236802</v>
      </c>
      <c r="BP42" s="259">
        <v>143391.45680236802</v>
      </c>
      <c r="BQ42" s="259">
        <v>143391.45680236802</v>
      </c>
      <c r="BR42" s="268">
        <v>143391.45680236802</v>
      </c>
      <c r="BT42" s="389">
        <v>0</v>
      </c>
      <c r="BU42" s="307">
        <v>142144.44422373085</v>
      </c>
      <c r="BV42" s="307">
        <v>142144.44422373085</v>
      </c>
      <c r="BW42" s="307">
        <v>142144.44422373085</v>
      </c>
      <c r="BX42" s="307">
        <v>128335.82484777775</v>
      </c>
      <c r="BY42" s="307">
        <v>127594.34349882296</v>
      </c>
      <c r="BZ42" s="307">
        <v>132392.51532767588</v>
      </c>
      <c r="CA42" s="307">
        <v>133333.33333333337</v>
      </c>
      <c r="CB42" s="307">
        <v>0</v>
      </c>
      <c r="CC42" s="307">
        <v>59039.999999999993</v>
      </c>
      <c r="CD42" s="307">
        <v>78762.545988236641</v>
      </c>
      <c r="CE42" s="308">
        <v>78340</v>
      </c>
      <c r="CF42" s="212"/>
      <c r="CG42" s="273">
        <v>2.0146652159999996</v>
      </c>
      <c r="CH42" s="329">
        <v>1.139472</v>
      </c>
      <c r="CI42" s="329">
        <v>1.1774880000000001</v>
      </c>
      <c r="CJ42" s="329">
        <v>2.4343271999999998</v>
      </c>
      <c r="CK42" s="329">
        <v>3.089915424</v>
      </c>
      <c r="CL42" s="341">
        <v>1.5474460320000001</v>
      </c>
      <c r="CM42" s="338">
        <v>0.82406563199999994</v>
      </c>
      <c r="CN42" s="338">
        <v>0</v>
      </c>
      <c r="CO42" s="276">
        <v>0</v>
      </c>
      <c r="CP42" s="338">
        <v>0</v>
      </c>
      <c r="CQ42" s="338">
        <v>0</v>
      </c>
      <c r="CR42" s="339">
        <v>0</v>
      </c>
      <c r="CS42" s="390"/>
      <c r="CT42" s="273">
        <v>1.6131538890266401</v>
      </c>
      <c r="CU42" s="278">
        <v>1.1184533630584705</v>
      </c>
      <c r="CV42" s="278">
        <v>0.96789233341598413</v>
      </c>
      <c r="CW42" s="278">
        <v>0.71695728401184011</v>
      </c>
      <c r="CX42" s="278">
        <v>3.5847864200592006</v>
      </c>
      <c r="CY42" s="278">
        <v>1.4339145680236802</v>
      </c>
      <c r="CZ42" s="278">
        <v>1.4339145680236802</v>
      </c>
      <c r="DA42" s="278">
        <v>0.71695728401184011</v>
      </c>
      <c r="DB42" s="278">
        <v>0.71695728401184011</v>
      </c>
      <c r="DC42" s="278">
        <v>0.71695728401184011</v>
      </c>
      <c r="DD42" s="278">
        <v>0.71695728401184011</v>
      </c>
      <c r="DE42" s="278">
        <v>0.71695728401184011</v>
      </c>
      <c r="DF42" s="390">
        <f t="shared" si="4"/>
        <v>2.1508718520355203</v>
      </c>
      <c r="DG42" s="391">
        <v>0</v>
      </c>
      <c r="DH42" s="281">
        <v>1.5674651654550207</v>
      </c>
      <c r="DI42" s="278">
        <v>1.3077288868583237</v>
      </c>
      <c r="DJ42" s="278">
        <v>2.8416095844766032</v>
      </c>
      <c r="DK42" s="278">
        <v>3.1090482924632821</v>
      </c>
      <c r="DL42" s="278">
        <v>1.2820067181912935</v>
      </c>
      <c r="DM42" s="278">
        <v>0.80759434349882298</v>
      </c>
      <c r="DN42" s="278">
        <v>1.0666666666666669</v>
      </c>
      <c r="DO42" s="278">
        <v>0</v>
      </c>
      <c r="DP42" s="278">
        <v>0.8777270159999998</v>
      </c>
      <c r="DQ42" s="278">
        <v>1.1893144444223731</v>
      </c>
      <c r="DR42" s="282">
        <v>2.8202400000000001</v>
      </c>
      <c r="DS42" s="226"/>
      <c r="DT42" s="273">
        <v>-0.14719042162658222</v>
      </c>
      <c r="DU42" s="278">
        <v>-8.5965728978717251E-2</v>
      </c>
      <c r="DV42" s="278">
        <v>-8.8830633313072158E-2</v>
      </c>
      <c r="DW42" s="278">
        <v>-0.26124577899067636</v>
      </c>
      <c r="DX42" s="275">
        <v>-0.36216220278860906</v>
      </c>
      <c r="DY42" s="281">
        <v>-0.19150518207935752</v>
      </c>
      <c r="DZ42" s="281">
        <v>-6.9191448150351428E-2</v>
      </c>
      <c r="EA42" s="281">
        <v>0</v>
      </c>
      <c r="EB42" s="275">
        <v>0</v>
      </c>
      <c r="EC42" s="275">
        <v>0</v>
      </c>
      <c r="ED42" s="275">
        <v>0</v>
      </c>
      <c r="EE42" s="277">
        <v>0</v>
      </c>
      <c r="EF42" s="212"/>
      <c r="EG42" s="273">
        <v>0.5487017485999417</v>
      </c>
      <c r="EH42" s="278">
        <v>0.10698436592024677</v>
      </c>
      <c r="EI42" s="278">
        <v>0.29842629989708808</v>
      </c>
      <c r="EJ42" s="278">
        <v>1.9786156949788358</v>
      </c>
      <c r="EK42" s="275">
        <v>-0.13270879327059154</v>
      </c>
      <c r="EL42" s="281">
        <v>0.30503664605567743</v>
      </c>
      <c r="EM42" s="281">
        <v>-0.54065748787332879</v>
      </c>
      <c r="EN42" s="281">
        <v>-0.71695728401184011</v>
      </c>
      <c r="EO42" s="275">
        <v>-0.71695728401184011</v>
      </c>
      <c r="EP42" s="275">
        <v>-0.71695728401184011</v>
      </c>
      <c r="EQ42" s="275">
        <v>-0.71695728401184011</v>
      </c>
      <c r="ER42" s="277">
        <v>-0.71695728401184011</v>
      </c>
      <c r="ES42" s="283"/>
      <c r="ET42" s="273">
        <v>2.0146652159999996</v>
      </c>
      <c r="EU42" s="278">
        <v>-7.5308634780426195E-2</v>
      </c>
      <c r="EV42" s="278">
        <v>-7.7818015828611628E-2</v>
      </c>
      <c r="EW42" s="278">
        <v>-0.23780356362864991</v>
      </c>
      <c r="EX42" s="275">
        <v>2.946087021742889E-4</v>
      </c>
      <c r="EY42" s="281">
        <v>7.1150086724522672E-5</v>
      </c>
      <c r="EZ42" s="281">
        <v>-6.7354223375675653E-4</v>
      </c>
      <c r="FA42" s="281">
        <v>0</v>
      </c>
      <c r="FB42" s="275">
        <v>0</v>
      </c>
      <c r="FC42" s="275">
        <v>0</v>
      </c>
      <c r="FD42" s="275">
        <v>0</v>
      </c>
      <c r="FE42" s="277">
        <v>0</v>
      </c>
      <c r="FF42" s="212"/>
      <c r="FG42" s="273">
        <v>0</v>
      </c>
      <c r="FH42" s="278">
        <v>-0.35268453067459432</v>
      </c>
      <c r="FI42" s="278">
        <v>-5.2422871029712173E-2</v>
      </c>
      <c r="FJ42" s="278">
        <v>-0.16947882084795393</v>
      </c>
      <c r="FK42" s="275">
        <v>-1.942747716545664E-2</v>
      </c>
      <c r="FL42" s="281">
        <v>0.26536816372198191</v>
      </c>
      <c r="FM42" s="281">
        <v>1.714483073493386E-2</v>
      </c>
      <c r="FN42" s="281">
        <v>-1.0666666666666669</v>
      </c>
      <c r="FO42" s="275">
        <v>0</v>
      </c>
      <c r="FP42" s="275">
        <v>-0.8777270159999998</v>
      </c>
      <c r="FQ42" s="275">
        <v>-1.1893144444223733</v>
      </c>
      <c r="FR42" s="277">
        <v>-2.8202400000000001</v>
      </c>
      <c r="FS42" s="283"/>
      <c r="FT42" s="286">
        <v>936.83900000000006</v>
      </c>
      <c r="FU42" s="260">
        <v>1008</v>
      </c>
      <c r="FV42" s="260">
        <v>1545.5831999999998</v>
      </c>
      <c r="FW42" s="260">
        <v>-71.160999999999945</v>
      </c>
      <c r="FX42" s="287">
        <v>-7.0596230158730108E-2</v>
      </c>
      <c r="FY42" s="314">
        <v>12.227379503999998</v>
      </c>
      <c r="FZ42" s="275">
        <v>14.453858845678699</v>
      </c>
      <c r="GA42" s="275">
        <v>16.869401118032386</v>
      </c>
      <c r="GB42" s="275">
        <v>-2.2264793416787008</v>
      </c>
      <c r="GC42" s="275">
        <v>-1.020387945751331</v>
      </c>
      <c r="GD42" s="275">
        <v>-1.2060913959273662</v>
      </c>
      <c r="GE42" s="275">
        <v>-6.2654488323498416</v>
      </c>
      <c r="GF42" s="277">
        <v>1.6234272183174538</v>
      </c>
      <c r="GG42" s="214">
        <v>3.5527136788005009E-15</v>
      </c>
      <c r="GH42" s="286">
        <v>0</v>
      </c>
      <c r="GI42" s="260">
        <v>50</v>
      </c>
      <c r="GJ42" s="260">
        <v>360</v>
      </c>
      <c r="GK42" s="260">
        <v>-50</v>
      </c>
      <c r="GL42" s="291">
        <v>-1</v>
      </c>
      <c r="GM42" s="275">
        <v>0</v>
      </c>
      <c r="GN42" s="275">
        <v>0.71695728401184011</v>
      </c>
      <c r="GO42" s="275">
        <v>2.8202400000000001</v>
      </c>
      <c r="GP42" s="275">
        <v>-0.71695728401184011</v>
      </c>
      <c r="GQ42" s="275">
        <v>-0.71695728401184011</v>
      </c>
      <c r="GR42" s="277">
        <v>0</v>
      </c>
      <c r="GS42" s="275">
        <v>-2.8202400000000001</v>
      </c>
      <c r="GT42" s="284">
        <v>0</v>
      </c>
      <c r="GU42" s="292">
        <v>0</v>
      </c>
      <c r="GV42" s="214">
        <v>0</v>
      </c>
      <c r="GW42" s="293">
        <v>2.887996952390889</v>
      </c>
      <c r="GX42" s="294"/>
      <c r="GY42" s="293">
        <v>-4.6420216140323873</v>
      </c>
      <c r="GZ42" s="293">
        <v>0</v>
      </c>
      <c r="HA42" s="293">
        <v>-2.8202400000000001</v>
      </c>
      <c r="HB42" s="293">
        <v>0</v>
      </c>
      <c r="HC42" s="295">
        <v>0</v>
      </c>
    </row>
    <row r="43" spans="1:211">
      <c r="B43" s="328" t="s">
        <v>197</v>
      </c>
      <c r="C43" s="297" t="s">
        <v>198</v>
      </c>
      <c r="D43" s="299" t="s">
        <v>27</v>
      </c>
      <c r="E43" s="299" t="s">
        <v>196</v>
      </c>
      <c r="F43" s="382" t="s">
        <v>142</v>
      </c>
      <c r="G43" s="386"/>
      <c r="H43" s="386"/>
      <c r="I43" s="334"/>
      <c r="J43" s="336"/>
      <c r="K43" s="336"/>
      <c r="L43" s="332"/>
      <c r="M43" s="332"/>
      <c r="N43" s="260"/>
      <c r="O43" s="332"/>
      <c r="P43" s="332">
        <v>154.73159999999999</v>
      </c>
      <c r="Q43" s="332">
        <v>421.49400000000014</v>
      </c>
      <c r="R43" s="387">
        <v>290.94200000000001</v>
      </c>
      <c r="S43" s="261">
        <f t="shared" si="3"/>
        <v>867.16760000000011</v>
      </c>
      <c r="T43" s="388">
        <v>0</v>
      </c>
      <c r="U43" s="267">
        <v>0</v>
      </c>
      <c r="V43" s="259">
        <v>0</v>
      </c>
      <c r="W43" s="259">
        <v>0</v>
      </c>
      <c r="X43" s="259">
        <v>0</v>
      </c>
      <c r="Y43" s="259">
        <v>0</v>
      </c>
      <c r="Z43" s="259">
        <v>0</v>
      </c>
      <c r="AA43" s="259">
        <v>0</v>
      </c>
      <c r="AB43" s="259">
        <v>0</v>
      </c>
      <c r="AC43" s="259">
        <v>0</v>
      </c>
      <c r="AD43" s="259">
        <v>0</v>
      </c>
      <c r="AE43" s="268">
        <v>0</v>
      </c>
      <c r="AG43" s="388">
        <v>0</v>
      </c>
      <c r="AH43" s="267">
        <v>0</v>
      </c>
      <c r="AI43" s="259">
        <v>0</v>
      </c>
      <c r="AJ43" s="259">
        <v>0</v>
      </c>
      <c r="AK43" s="259">
        <v>0</v>
      </c>
      <c r="AL43" s="259">
        <v>0</v>
      </c>
      <c r="AM43" s="259">
        <v>0</v>
      </c>
      <c r="AN43" s="259">
        <v>0</v>
      </c>
      <c r="AO43" s="259">
        <v>0</v>
      </c>
      <c r="AP43" s="259">
        <v>0</v>
      </c>
      <c r="AQ43" s="259">
        <v>0</v>
      </c>
      <c r="AR43" s="268">
        <v>0</v>
      </c>
      <c r="AS43" s="269">
        <v>0</v>
      </c>
      <c r="AT43" s="305">
        <v>0</v>
      </c>
      <c r="AU43" s="336">
        <v>0</v>
      </c>
      <c r="AV43" s="336">
        <v>0</v>
      </c>
      <c r="AW43" s="336">
        <v>0</v>
      </c>
      <c r="AX43" s="336">
        <v>0</v>
      </c>
      <c r="AY43" s="336">
        <v>0</v>
      </c>
      <c r="AZ43" s="259">
        <v>0</v>
      </c>
      <c r="BA43" s="259">
        <v>0</v>
      </c>
      <c r="BB43" s="259">
        <v>0</v>
      </c>
      <c r="BC43" s="259">
        <v>19333.333333333332</v>
      </c>
      <c r="BD43" s="259">
        <v>6444.4077495765041</v>
      </c>
      <c r="BE43" s="268">
        <v>19333.280172680465</v>
      </c>
      <c r="BG43" s="305">
        <v>0</v>
      </c>
      <c r="BH43" s="336">
        <v>0</v>
      </c>
      <c r="BI43" s="336">
        <v>0</v>
      </c>
      <c r="BJ43" s="336">
        <v>0</v>
      </c>
      <c r="BK43" s="336">
        <v>0</v>
      </c>
      <c r="BL43" s="336">
        <v>0</v>
      </c>
      <c r="BM43" s="259">
        <v>0</v>
      </c>
      <c r="BN43" s="259">
        <v>0</v>
      </c>
      <c r="BO43" s="259">
        <v>0</v>
      </c>
      <c r="BP43" s="259">
        <v>19333.333333333332</v>
      </c>
      <c r="BQ43" s="259">
        <v>6444.4077495765041</v>
      </c>
      <c r="BR43" s="268">
        <v>19333.280172680465</v>
      </c>
      <c r="BT43" s="389">
        <v>0</v>
      </c>
      <c r="BU43" s="307">
        <v>0</v>
      </c>
      <c r="BV43" s="307">
        <v>0</v>
      </c>
      <c r="BW43" s="307">
        <v>0</v>
      </c>
      <c r="BX43" s="307">
        <v>0</v>
      </c>
      <c r="BY43" s="307">
        <v>0</v>
      </c>
      <c r="BZ43" s="307">
        <v>0</v>
      </c>
      <c r="CA43" s="307">
        <v>0</v>
      </c>
      <c r="CB43" s="307">
        <v>0</v>
      </c>
      <c r="CC43" s="307">
        <v>0</v>
      </c>
      <c r="CD43" s="307">
        <v>0</v>
      </c>
      <c r="CE43" s="308">
        <v>0</v>
      </c>
      <c r="CF43" s="212"/>
      <c r="CG43" s="273"/>
      <c r="CH43" s="329"/>
      <c r="CI43" s="329"/>
      <c r="CJ43" s="329"/>
      <c r="CK43" s="329"/>
      <c r="CL43" s="341"/>
      <c r="CM43" s="338"/>
      <c r="CN43" s="338"/>
      <c r="CO43" s="276"/>
      <c r="CP43" s="338">
        <v>0.29914775999999993</v>
      </c>
      <c r="CQ43" s="338">
        <v>0.27162791999999997</v>
      </c>
      <c r="CR43" s="339">
        <v>0.56248631999999998</v>
      </c>
      <c r="CS43" s="390"/>
      <c r="CT43" s="273">
        <v>0</v>
      </c>
      <c r="CU43" s="278">
        <v>0</v>
      </c>
      <c r="CV43" s="278">
        <v>0</v>
      </c>
      <c r="CW43" s="278">
        <v>0</v>
      </c>
      <c r="CX43" s="278">
        <v>0</v>
      </c>
      <c r="CY43" s="278">
        <v>0</v>
      </c>
      <c r="CZ43" s="278">
        <v>0</v>
      </c>
      <c r="DA43" s="278">
        <v>0</v>
      </c>
      <c r="DB43" s="278">
        <v>0</v>
      </c>
      <c r="DC43" s="278">
        <v>0</v>
      </c>
      <c r="DD43" s="278">
        <v>0</v>
      </c>
      <c r="DE43" s="278">
        <v>0</v>
      </c>
      <c r="DF43" s="390">
        <f t="shared" si="4"/>
        <v>0</v>
      </c>
      <c r="DG43" s="391">
        <v>0</v>
      </c>
      <c r="DH43" s="281">
        <v>0</v>
      </c>
      <c r="DI43" s="278">
        <v>0</v>
      </c>
      <c r="DJ43" s="278">
        <v>0</v>
      </c>
      <c r="DK43" s="278">
        <v>0</v>
      </c>
      <c r="DL43" s="278">
        <v>0</v>
      </c>
      <c r="DM43" s="278">
        <v>0</v>
      </c>
      <c r="DN43" s="278">
        <v>0</v>
      </c>
      <c r="DO43" s="278">
        <v>0</v>
      </c>
      <c r="DP43" s="278">
        <v>0</v>
      </c>
      <c r="DQ43" s="278">
        <v>0</v>
      </c>
      <c r="DR43" s="282">
        <v>0</v>
      </c>
      <c r="DS43" s="226"/>
      <c r="DT43" s="273">
        <v>0</v>
      </c>
      <c r="DU43" s="278">
        <v>0</v>
      </c>
      <c r="DV43" s="278">
        <v>0</v>
      </c>
      <c r="DW43" s="278">
        <v>0</v>
      </c>
      <c r="DX43" s="275">
        <v>0</v>
      </c>
      <c r="DY43" s="281">
        <v>0</v>
      </c>
      <c r="DZ43" s="281">
        <v>0</v>
      </c>
      <c r="EA43" s="281">
        <v>0</v>
      </c>
      <c r="EB43" s="275">
        <v>0</v>
      </c>
      <c r="EC43" s="275">
        <v>0</v>
      </c>
      <c r="ED43" s="275">
        <v>0</v>
      </c>
      <c r="EE43" s="277">
        <v>0</v>
      </c>
      <c r="EF43" s="212"/>
      <c r="EG43" s="273">
        <v>0</v>
      </c>
      <c r="EH43" s="278">
        <v>0</v>
      </c>
      <c r="EI43" s="278">
        <v>0</v>
      </c>
      <c r="EJ43" s="278">
        <v>0</v>
      </c>
      <c r="EK43" s="275">
        <v>0</v>
      </c>
      <c r="EL43" s="281">
        <v>0</v>
      </c>
      <c r="EM43" s="281">
        <v>0</v>
      </c>
      <c r="EN43" s="281">
        <v>0</v>
      </c>
      <c r="EO43" s="275">
        <v>0</v>
      </c>
      <c r="EP43" s="275">
        <v>0.29914775999999998</v>
      </c>
      <c r="EQ43" s="275">
        <v>0.27162791999999997</v>
      </c>
      <c r="ER43" s="277">
        <v>0.56248631999999998</v>
      </c>
      <c r="ES43" s="283"/>
      <c r="ET43" s="273">
        <v>0</v>
      </c>
      <c r="EU43" s="278">
        <v>0</v>
      </c>
      <c r="EV43" s="278">
        <v>0</v>
      </c>
      <c r="EW43" s="278">
        <v>0</v>
      </c>
      <c r="EX43" s="275">
        <v>0</v>
      </c>
      <c r="EY43" s="281">
        <v>0</v>
      </c>
      <c r="EZ43" s="281">
        <v>0</v>
      </c>
      <c r="FA43" s="281">
        <v>0</v>
      </c>
      <c r="FB43" s="275">
        <v>0</v>
      </c>
      <c r="FC43" s="275">
        <v>0.29914775999999998</v>
      </c>
      <c r="FD43" s="275">
        <v>0.27162791999999997</v>
      </c>
      <c r="FE43" s="277">
        <v>0.56248631999999998</v>
      </c>
      <c r="FF43" s="212"/>
      <c r="FG43" s="273">
        <v>0</v>
      </c>
      <c r="FH43" s="278">
        <v>0</v>
      </c>
      <c r="FI43" s="278">
        <v>0</v>
      </c>
      <c r="FJ43" s="278">
        <v>0</v>
      </c>
      <c r="FK43" s="275">
        <v>0</v>
      </c>
      <c r="FL43" s="281">
        <v>0</v>
      </c>
      <c r="FM43" s="281">
        <v>0</v>
      </c>
      <c r="FN43" s="281">
        <v>0</v>
      </c>
      <c r="FO43" s="275">
        <v>0</v>
      </c>
      <c r="FP43" s="275">
        <v>0</v>
      </c>
      <c r="FQ43" s="275">
        <v>0</v>
      </c>
      <c r="FR43" s="277">
        <v>0</v>
      </c>
      <c r="FS43" s="283"/>
      <c r="FT43" s="286">
        <v>867.16760000000011</v>
      </c>
      <c r="FU43" s="260">
        <v>0</v>
      </c>
      <c r="FV43" s="260">
        <v>0</v>
      </c>
      <c r="FW43" s="260">
        <v>867.16760000000011</v>
      </c>
      <c r="FX43" s="287">
        <v>0</v>
      </c>
      <c r="FY43" s="314">
        <v>1.1332619999999998</v>
      </c>
      <c r="FZ43" s="275">
        <v>0</v>
      </c>
      <c r="GA43" s="275">
        <v>0</v>
      </c>
      <c r="GB43" s="275">
        <v>1.1332619999999998</v>
      </c>
      <c r="GC43" s="275">
        <v>1.1332619999999998</v>
      </c>
      <c r="GD43" s="275">
        <v>0</v>
      </c>
      <c r="GE43" s="275">
        <v>0</v>
      </c>
      <c r="GF43" s="277">
        <v>1.1332619999999998</v>
      </c>
      <c r="GG43" s="214">
        <v>0</v>
      </c>
      <c r="GH43" s="286">
        <v>290.94200000000001</v>
      </c>
      <c r="GI43" s="260">
        <v>0</v>
      </c>
      <c r="GJ43" s="260">
        <v>0</v>
      </c>
      <c r="GK43" s="260">
        <v>290.94200000000001</v>
      </c>
      <c r="GL43" s="291">
        <v>0</v>
      </c>
      <c r="GM43" s="275">
        <v>0.56248631999999998</v>
      </c>
      <c r="GN43" s="275">
        <v>0</v>
      </c>
      <c r="GO43" s="275">
        <v>0</v>
      </c>
      <c r="GP43" s="275">
        <v>0.56248631999999998</v>
      </c>
      <c r="GQ43" s="275">
        <v>0.56248631999999998</v>
      </c>
      <c r="GR43" s="277">
        <v>0</v>
      </c>
      <c r="GS43" s="275">
        <v>0</v>
      </c>
      <c r="GT43" s="284">
        <v>0.56248631999999998</v>
      </c>
      <c r="GU43" s="292">
        <v>0.56248631999999998</v>
      </c>
      <c r="GV43" s="214">
        <v>0</v>
      </c>
      <c r="GW43" s="293">
        <v>0</v>
      </c>
      <c r="GX43" s="294"/>
      <c r="GY43" s="293"/>
      <c r="GZ43" s="293"/>
      <c r="HA43" s="293"/>
      <c r="HB43" s="293"/>
      <c r="HC43" s="295"/>
    </row>
    <row r="44" spans="1:211" s="381" customFormat="1">
      <c r="A44" s="392"/>
      <c r="B44" s="328" t="s">
        <v>199</v>
      </c>
      <c r="C44" s="297" t="s">
        <v>135</v>
      </c>
      <c r="D44" s="299" t="s">
        <v>200</v>
      </c>
      <c r="E44" s="299" t="s">
        <v>201</v>
      </c>
      <c r="F44" s="382" t="s">
        <v>142</v>
      </c>
      <c r="G44" s="301">
        <v>0</v>
      </c>
      <c r="H44" s="301">
        <v>4.3739999999999997</v>
      </c>
      <c r="I44" s="258">
        <v>0</v>
      </c>
      <c r="J44" s="302">
        <v>0</v>
      </c>
      <c r="K44" s="302">
        <v>30.96</v>
      </c>
      <c r="L44" s="261">
        <v>29.43</v>
      </c>
      <c r="M44" s="261">
        <v>0</v>
      </c>
      <c r="N44" s="260">
        <v>30.131999999999998</v>
      </c>
      <c r="O44" s="261">
        <v>59.094000000000008</v>
      </c>
      <c r="P44" s="332">
        <v>0</v>
      </c>
      <c r="Q44" s="261">
        <v>0</v>
      </c>
      <c r="R44" s="303">
        <v>0</v>
      </c>
      <c r="S44" s="261">
        <f t="shared" si="3"/>
        <v>0</v>
      </c>
      <c r="T44" s="388">
        <v>30</v>
      </c>
      <c r="U44" s="267">
        <v>0</v>
      </c>
      <c r="V44" s="259">
        <v>30</v>
      </c>
      <c r="W44" s="259">
        <v>30</v>
      </c>
      <c r="X44" s="259">
        <v>30</v>
      </c>
      <c r="Y44" s="259">
        <v>0</v>
      </c>
      <c r="Z44" s="259">
        <v>30</v>
      </c>
      <c r="AA44" s="259">
        <v>30</v>
      </c>
      <c r="AB44" s="259">
        <v>30</v>
      </c>
      <c r="AC44" s="259">
        <v>30</v>
      </c>
      <c r="AD44" s="259">
        <v>30</v>
      </c>
      <c r="AE44" s="268">
        <v>30</v>
      </c>
      <c r="AF44" s="209"/>
      <c r="AG44" s="388">
        <v>0</v>
      </c>
      <c r="AH44" s="267">
        <v>1.2033</v>
      </c>
      <c r="AI44" s="259">
        <v>0</v>
      </c>
      <c r="AJ44" s="259">
        <v>0</v>
      </c>
      <c r="AK44" s="259">
        <v>0</v>
      </c>
      <c r="AL44" s="259">
        <v>30</v>
      </c>
      <c r="AM44" s="259">
        <v>0</v>
      </c>
      <c r="AN44" s="259">
        <v>30</v>
      </c>
      <c r="AO44" s="259">
        <v>60</v>
      </c>
      <c r="AP44" s="259">
        <v>0</v>
      </c>
      <c r="AQ44" s="259">
        <v>0</v>
      </c>
      <c r="AR44" s="268">
        <v>0</v>
      </c>
      <c r="AS44" s="269">
        <v>0</v>
      </c>
      <c r="AT44" s="305">
        <v>0</v>
      </c>
      <c r="AU44" s="336">
        <v>131866.66666666669</v>
      </c>
      <c r="AV44" s="336">
        <v>0</v>
      </c>
      <c r="AW44" s="336">
        <v>0</v>
      </c>
      <c r="AX44" s="336">
        <v>131866.66666666669</v>
      </c>
      <c r="AY44" s="336">
        <v>131866.66666666669</v>
      </c>
      <c r="AZ44" s="259">
        <v>0</v>
      </c>
      <c r="BA44" s="259">
        <v>131866.66666666669</v>
      </c>
      <c r="BB44" s="259">
        <v>120933.33333333331</v>
      </c>
      <c r="BC44" s="259">
        <v>0</v>
      </c>
      <c r="BD44" s="259">
        <v>0</v>
      </c>
      <c r="BE44" s="268">
        <v>0</v>
      </c>
      <c r="BF44" s="209"/>
      <c r="BG44" s="305">
        <v>124891.44513543964</v>
      </c>
      <c r="BH44" s="336">
        <v>131866.66666666669</v>
      </c>
      <c r="BI44" s="336">
        <v>124891.44513543964</v>
      </c>
      <c r="BJ44" s="336">
        <v>124891.44513543964</v>
      </c>
      <c r="BK44" s="336">
        <v>124891.44513543964</v>
      </c>
      <c r="BL44" s="336">
        <v>131866.66666666669</v>
      </c>
      <c r="BM44" s="259">
        <v>124891.44513543964</v>
      </c>
      <c r="BN44" s="259">
        <v>124891.44513543964</v>
      </c>
      <c r="BO44" s="259">
        <v>124891.44513543964</v>
      </c>
      <c r="BP44" s="259">
        <v>124891.44513543964</v>
      </c>
      <c r="BQ44" s="259">
        <v>124891.44513543964</v>
      </c>
      <c r="BR44" s="268">
        <v>124891.44513543964</v>
      </c>
      <c r="BS44" s="209"/>
      <c r="BT44" s="389">
        <v>0</v>
      </c>
      <c r="BU44" s="307">
        <v>131858.8854633937</v>
      </c>
      <c r="BV44" s="307">
        <v>0</v>
      </c>
      <c r="BW44" s="307">
        <v>0</v>
      </c>
      <c r="BX44" s="307">
        <v>0</v>
      </c>
      <c r="BY44" s="307">
        <v>131308.40931929881</v>
      </c>
      <c r="BZ44" s="307">
        <v>0</v>
      </c>
      <c r="CA44" s="307">
        <v>131308.40931929881</v>
      </c>
      <c r="CB44" s="307">
        <v>131308.40931929881</v>
      </c>
      <c r="CC44" s="307">
        <v>0</v>
      </c>
      <c r="CD44" s="307">
        <v>0</v>
      </c>
      <c r="CE44" s="308">
        <v>0</v>
      </c>
      <c r="CF44" s="212"/>
      <c r="CG44" s="273">
        <v>0</v>
      </c>
      <c r="CH44" s="274">
        <v>5.7678480000000004E-2</v>
      </c>
      <c r="CI44" s="274">
        <v>0</v>
      </c>
      <c r="CJ44" s="274">
        <v>0</v>
      </c>
      <c r="CK44" s="274">
        <v>0.40825920000000004</v>
      </c>
      <c r="CL44" s="309">
        <v>0.38808360000000008</v>
      </c>
      <c r="CM44" s="276">
        <v>0</v>
      </c>
      <c r="CN44" s="276">
        <v>0.39734064000000002</v>
      </c>
      <c r="CO44" s="276">
        <v>0.71464343999999991</v>
      </c>
      <c r="CP44" s="276">
        <v>0</v>
      </c>
      <c r="CQ44" s="276">
        <v>0</v>
      </c>
      <c r="CR44" s="313">
        <v>0</v>
      </c>
      <c r="CS44" s="390"/>
      <c r="CT44" s="273">
        <v>0.37467433540631895</v>
      </c>
      <c r="CU44" s="278">
        <v>0</v>
      </c>
      <c r="CV44" s="278">
        <v>0.37467433540631895</v>
      </c>
      <c r="CW44" s="278">
        <v>0.37467433540631895</v>
      </c>
      <c r="CX44" s="278">
        <v>0.37467433540631895</v>
      </c>
      <c r="CY44" s="278">
        <v>0</v>
      </c>
      <c r="CZ44" s="278">
        <v>0.37467433540631895</v>
      </c>
      <c r="DA44" s="278">
        <v>0.37467433540631895</v>
      </c>
      <c r="DB44" s="278">
        <v>0.37467433540631895</v>
      </c>
      <c r="DC44" s="278">
        <v>0.37467433540631895</v>
      </c>
      <c r="DD44" s="278">
        <v>0.37467433540631895</v>
      </c>
      <c r="DE44" s="278">
        <v>0.37467433540631895</v>
      </c>
      <c r="DF44" s="390">
        <f t="shared" si="4"/>
        <v>1.1240230062189569</v>
      </c>
      <c r="DG44" s="391">
        <v>0</v>
      </c>
      <c r="DH44" s="281">
        <v>1.5866579687810165E-2</v>
      </c>
      <c r="DI44" s="278">
        <v>0</v>
      </c>
      <c r="DJ44" s="278">
        <v>0</v>
      </c>
      <c r="DK44" s="278">
        <v>0</v>
      </c>
      <c r="DL44" s="278">
        <v>0.39392522795789642</v>
      </c>
      <c r="DM44" s="278">
        <v>0</v>
      </c>
      <c r="DN44" s="278">
        <v>0.39392522795789642</v>
      </c>
      <c r="DO44" s="278">
        <v>0.78785045591579284</v>
      </c>
      <c r="DP44" s="278">
        <v>0</v>
      </c>
      <c r="DQ44" s="278">
        <v>0</v>
      </c>
      <c r="DR44" s="282">
        <v>0</v>
      </c>
      <c r="DS44" s="226"/>
      <c r="DT44" s="273">
        <v>0</v>
      </c>
      <c r="DU44" s="278">
        <v>0</v>
      </c>
      <c r="DV44" s="278">
        <v>0</v>
      </c>
      <c r="DW44" s="278">
        <v>0</v>
      </c>
      <c r="DX44" s="275">
        <v>2.1595285860678923E-2</v>
      </c>
      <c r="DY44" s="281">
        <v>0</v>
      </c>
      <c r="DZ44" s="281">
        <v>0</v>
      </c>
      <c r="EA44" s="281">
        <v>2.101773751789332E-2</v>
      </c>
      <c r="EB44" s="275">
        <v>-2.3390065883367152E-2</v>
      </c>
      <c r="EC44" s="275">
        <v>0</v>
      </c>
      <c r="ED44" s="275">
        <v>0</v>
      </c>
      <c r="EE44" s="277">
        <v>0</v>
      </c>
      <c r="EF44" s="212"/>
      <c r="EG44" s="273">
        <v>-0.37467433540631889</v>
      </c>
      <c r="EH44" s="278">
        <v>5.7678480000000004E-2</v>
      </c>
      <c r="EI44" s="278">
        <v>-0.37467433540631889</v>
      </c>
      <c r="EJ44" s="278">
        <v>-0.37467433540631889</v>
      </c>
      <c r="EK44" s="275">
        <v>1.1989578733002217E-2</v>
      </c>
      <c r="EL44" s="281">
        <v>0.38808360000000003</v>
      </c>
      <c r="EM44" s="281">
        <v>-0.37467433540631889</v>
      </c>
      <c r="EN44" s="281">
        <v>1.6485670757877772E-3</v>
      </c>
      <c r="EO44" s="275">
        <v>0.36335917047704819</v>
      </c>
      <c r="EP44" s="275">
        <v>-0.37467433540631889</v>
      </c>
      <c r="EQ44" s="275">
        <v>-0.37467433540631889</v>
      </c>
      <c r="ER44" s="277">
        <v>-0.37467433540631889</v>
      </c>
      <c r="ES44" s="283"/>
      <c r="ET44" s="273">
        <v>0</v>
      </c>
      <c r="EU44" s="278">
        <v>3.4034983116037672E-6</v>
      </c>
      <c r="EV44" s="278">
        <v>0</v>
      </c>
      <c r="EW44" s="278">
        <v>0</v>
      </c>
      <c r="EX44" s="275">
        <v>0.4082592000000001</v>
      </c>
      <c r="EY44" s="281">
        <v>1.6429513733036668E-3</v>
      </c>
      <c r="EZ44" s="281">
        <v>0</v>
      </c>
      <c r="FA44" s="281">
        <v>1.6821410390888915E-3</v>
      </c>
      <c r="FB44" s="275">
        <v>-6.1310474031464501E-2</v>
      </c>
      <c r="FC44" s="275">
        <v>0</v>
      </c>
      <c r="FD44" s="275">
        <v>0</v>
      </c>
      <c r="FE44" s="277">
        <v>0</v>
      </c>
      <c r="FF44" s="212"/>
      <c r="FG44" s="273">
        <v>0</v>
      </c>
      <c r="FH44" s="278">
        <v>4.1808496813878236E-2</v>
      </c>
      <c r="FI44" s="278">
        <v>0</v>
      </c>
      <c r="FJ44" s="278">
        <v>0</v>
      </c>
      <c r="FK44" s="275">
        <v>0</v>
      </c>
      <c r="FL44" s="281">
        <v>-7.484579331200036E-3</v>
      </c>
      <c r="FM44" s="281">
        <v>0</v>
      </c>
      <c r="FN44" s="281">
        <v>1.7332710030147165E-3</v>
      </c>
      <c r="FO44" s="275">
        <v>-1.1896541884328362E-2</v>
      </c>
      <c r="FP44" s="275">
        <v>0</v>
      </c>
      <c r="FQ44" s="275">
        <v>0</v>
      </c>
      <c r="FR44" s="277">
        <v>0</v>
      </c>
      <c r="FS44" s="283"/>
      <c r="FT44" s="286">
        <v>153.99</v>
      </c>
      <c r="FU44" s="260">
        <v>300</v>
      </c>
      <c r="FV44" s="260">
        <v>121.2033</v>
      </c>
      <c r="FW44" s="260">
        <v>-146.01</v>
      </c>
      <c r="FX44" s="287">
        <v>-0.48669999999999997</v>
      </c>
      <c r="FY44" s="327">
        <v>1.96600536</v>
      </c>
      <c r="FZ44" s="275">
        <v>3.7467433540631894</v>
      </c>
      <c r="GA44" s="275">
        <v>1.5915674915193958</v>
      </c>
      <c r="GB44" s="275">
        <v>-1.7807379940631893</v>
      </c>
      <c r="GC44" s="275">
        <v>-1.7999609515583941</v>
      </c>
      <c r="GD44" s="275">
        <v>1.9222957495205091E-2</v>
      </c>
      <c r="GE44" s="275">
        <v>2.4160646601364549E-2</v>
      </c>
      <c r="GF44" s="277">
        <v>0.35027722187923976</v>
      </c>
      <c r="GG44" s="214">
        <v>0</v>
      </c>
      <c r="GH44" s="286">
        <v>0</v>
      </c>
      <c r="GI44" s="260">
        <v>30</v>
      </c>
      <c r="GJ44" s="260">
        <v>0</v>
      </c>
      <c r="GK44" s="260">
        <v>-30</v>
      </c>
      <c r="GL44" s="291">
        <v>-1</v>
      </c>
      <c r="GM44" s="275">
        <v>0</v>
      </c>
      <c r="GN44" s="275">
        <v>0.37467433540631895</v>
      </c>
      <c r="GO44" s="275">
        <v>0</v>
      </c>
      <c r="GP44" s="275">
        <v>-0.37467433540631895</v>
      </c>
      <c r="GQ44" s="275">
        <v>-0.37467433540631889</v>
      </c>
      <c r="GR44" s="277">
        <v>0</v>
      </c>
      <c r="GS44" s="275">
        <v>0</v>
      </c>
      <c r="GT44" s="284">
        <v>0</v>
      </c>
      <c r="GU44" s="292">
        <v>0</v>
      </c>
      <c r="GV44" s="214">
        <v>0</v>
      </c>
      <c r="GW44" s="293">
        <v>0</v>
      </c>
      <c r="GX44" s="294"/>
      <c r="GY44" s="293">
        <v>0.37443786848060423</v>
      </c>
      <c r="GZ44" s="293">
        <v>0</v>
      </c>
      <c r="HA44" s="293">
        <v>0</v>
      </c>
      <c r="HB44" s="293">
        <v>0</v>
      </c>
      <c r="HC44" s="295">
        <v>0</v>
      </c>
    </row>
    <row r="45" spans="1:211" s="381" customFormat="1">
      <c r="A45" s="392"/>
      <c r="B45" s="328" t="s">
        <v>202</v>
      </c>
      <c r="C45" s="297" t="s">
        <v>135</v>
      </c>
      <c r="D45" s="299" t="s">
        <v>53</v>
      </c>
      <c r="E45" s="299" t="s">
        <v>203</v>
      </c>
      <c r="F45" s="382" t="s">
        <v>140</v>
      </c>
      <c r="G45" s="301">
        <v>0</v>
      </c>
      <c r="H45" s="301">
        <v>0</v>
      </c>
      <c r="I45" s="258">
        <v>0</v>
      </c>
      <c r="J45" s="302">
        <v>0</v>
      </c>
      <c r="K45" s="302">
        <v>0</v>
      </c>
      <c r="L45" s="261">
        <v>0</v>
      </c>
      <c r="M45" s="261">
        <v>0</v>
      </c>
      <c r="N45" s="260">
        <v>4.7699999999999996</v>
      </c>
      <c r="O45" s="261">
        <v>0</v>
      </c>
      <c r="P45" s="393">
        <v>0</v>
      </c>
      <c r="Q45" s="261">
        <v>0</v>
      </c>
      <c r="R45" s="303">
        <v>0</v>
      </c>
      <c r="S45" s="261">
        <f t="shared" si="3"/>
        <v>0</v>
      </c>
      <c r="T45" s="388">
        <v>0</v>
      </c>
      <c r="U45" s="267">
        <v>0</v>
      </c>
      <c r="V45" s="259">
        <v>0</v>
      </c>
      <c r="W45" s="259">
        <v>0</v>
      </c>
      <c r="X45" s="259">
        <v>0</v>
      </c>
      <c r="Y45" s="259">
        <v>0</v>
      </c>
      <c r="Z45" s="259">
        <v>0</v>
      </c>
      <c r="AA45" s="259">
        <v>0</v>
      </c>
      <c r="AB45" s="259">
        <v>0</v>
      </c>
      <c r="AC45" s="259">
        <v>0</v>
      </c>
      <c r="AD45" s="259">
        <v>0</v>
      </c>
      <c r="AE45" s="268">
        <v>0</v>
      </c>
      <c r="AF45" s="209"/>
      <c r="AG45" s="388">
        <v>0</v>
      </c>
      <c r="AH45" s="267">
        <v>0</v>
      </c>
      <c r="AI45" s="259">
        <v>0</v>
      </c>
      <c r="AJ45" s="259">
        <v>0</v>
      </c>
      <c r="AK45" s="259">
        <v>0</v>
      </c>
      <c r="AL45" s="259">
        <v>0</v>
      </c>
      <c r="AM45" s="259">
        <v>0</v>
      </c>
      <c r="AN45" s="259">
        <v>5</v>
      </c>
      <c r="AO45" s="259">
        <v>0</v>
      </c>
      <c r="AP45" s="259">
        <v>0</v>
      </c>
      <c r="AQ45" s="259">
        <v>0</v>
      </c>
      <c r="AR45" s="268">
        <v>0</v>
      </c>
      <c r="AS45" s="269">
        <v>0</v>
      </c>
      <c r="AT45" s="305">
        <v>0</v>
      </c>
      <c r="AU45" s="336">
        <v>0</v>
      </c>
      <c r="AV45" s="336">
        <v>0</v>
      </c>
      <c r="AW45" s="336">
        <v>0</v>
      </c>
      <c r="AX45" s="336">
        <v>0</v>
      </c>
      <c r="AY45" s="336">
        <v>0</v>
      </c>
      <c r="AZ45" s="259">
        <v>0</v>
      </c>
      <c r="BA45" s="259">
        <v>158200</v>
      </c>
      <c r="BB45" s="259">
        <v>0</v>
      </c>
      <c r="BC45" s="259">
        <v>0</v>
      </c>
      <c r="BD45" s="259">
        <v>0</v>
      </c>
      <c r="BE45" s="268">
        <v>0</v>
      </c>
      <c r="BF45" s="209"/>
      <c r="BG45" s="305">
        <v>0</v>
      </c>
      <c r="BH45" s="336">
        <v>0</v>
      </c>
      <c r="BI45" s="336">
        <v>0</v>
      </c>
      <c r="BJ45" s="336">
        <v>0</v>
      </c>
      <c r="BK45" s="336">
        <v>0</v>
      </c>
      <c r="BL45" s="336">
        <v>0</v>
      </c>
      <c r="BM45" s="259">
        <v>0</v>
      </c>
      <c r="BN45" s="259">
        <v>158200</v>
      </c>
      <c r="BO45" s="259">
        <v>0</v>
      </c>
      <c r="BP45" s="259">
        <v>0</v>
      </c>
      <c r="BQ45" s="259">
        <v>0</v>
      </c>
      <c r="BR45" s="268">
        <v>0</v>
      </c>
      <c r="BS45" s="209"/>
      <c r="BT45" s="389">
        <v>0</v>
      </c>
      <c r="BU45" s="307">
        <v>0</v>
      </c>
      <c r="BV45" s="307">
        <v>0</v>
      </c>
      <c r="BW45" s="307">
        <v>0</v>
      </c>
      <c r="BX45" s="307">
        <v>0</v>
      </c>
      <c r="BY45" s="307">
        <v>0</v>
      </c>
      <c r="BZ45" s="307">
        <v>0</v>
      </c>
      <c r="CA45" s="307">
        <v>158175.91063648809</v>
      </c>
      <c r="CB45" s="307">
        <v>0</v>
      </c>
      <c r="CC45" s="307">
        <v>0</v>
      </c>
      <c r="CD45" s="307">
        <v>0</v>
      </c>
      <c r="CE45" s="308">
        <v>0</v>
      </c>
      <c r="CF45" s="212"/>
      <c r="CG45" s="312">
        <v>0</v>
      </c>
      <c r="CH45" s="274">
        <v>0</v>
      </c>
      <c r="CI45" s="274">
        <v>0</v>
      </c>
      <c r="CJ45" s="274">
        <v>0</v>
      </c>
      <c r="CK45" s="274">
        <v>0</v>
      </c>
      <c r="CL45" s="309">
        <v>0</v>
      </c>
      <c r="CM45" s="276">
        <v>0</v>
      </c>
      <c r="CN45" s="276">
        <v>7.5461399999999998E-2</v>
      </c>
      <c r="CO45" s="276">
        <v>0</v>
      </c>
      <c r="CP45" s="276">
        <v>0</v>
      </c>
      <c r="CQ45" s="276">
        <v>0</v>
      </c>
      <c r="CR45" s="313">
        <v>0</v>
      </c>
      <c r="CS45" s="390"/>
      <c r="CT45" s="273">
        <v>0</v>
      </c>
      <c r="CU45" s="278">
        <v>0</v>
      </c>
      <c r="CV45" s="278">
        <v>0</v>
      </c>
      <c r="CW45" s="278">
        <v>0</v>
      </c>
      <c r="CX45" s="278">
        <v>0</v>
      </c>
      <c r="CY45" s="278">
        <v>0</v>
      </c>
      <c r="CZ45" s="278">
        <v>0</v>
      </c>
      <c r="DA45" s="278">
        <v>0</v>
      </c>
      <c r="DB45" s="278">
        <v>0</v>
      </c>
      <c r="DC45" s="278">
        <v>0</v>
      </c>
      <c r="DD45" s="278">
        <v>0</v>
      </c>
      <c r="DE45" s="278">
        <v>0</v>
      </c>
      <c r="DF45" s="390">
        <f t="shared" si="4"/>
        <v>0</v>
      </c>
      <c r="DG45" s="391">
        <v>0</v>
      </c>
      <c r="DH45" s="281">
        <v>0</v>
      </c>
      <c r="DI45" s="278">
        <v>0</v>
      </c>
      <c r="DJ45" s="278">
        <v>0</v>
      </c>
      <c r="DK45" s="278">
        <v>0</v>
      </c>
      <c r="DL45" s="278">
        <v>0</v>
      </c>
      <c r="DM45" s="278">
        <v>0</v>
      </c>
      <c r="DN45" s="278">
        <v>7.908795531824403E-2</v>
      </c>
      <c r="DO45" s="278">
        <v>0</v>
      </c>
      <c r="DP45" s="278">
        <v>0</v>
      </c>
      <c r="DQ45" s="278">
        <v>0</v>
      </c>
      <c r="DR45" s="282">
        <v>0</v>
      </c>
      <c r="DS45" s="226"/>
      <c r="DT45" s="273">
        <v>0</v>
      </c>
      <c r="DU45" s="278">
        <v>0</v>
      </c>
      <c r="DV45" s="278">
        <v>0</v>
      </c>
      <c r="DW45" s="278">
        <v>0</v>
      </c>
      <c r="DX45" s="275">
        <v>0</v>
      </c>
      <c r="DY45" s="281">
        <v>0</v>
      </c>
      <c r="DZ45" s="281">
        <v>0</v>
      </c>
      <c r="EA45" s="281">
        <v>0</v>
      </c>
      <c r="EB45" s="275">
        <v>0</v>
      </c>
      <c r="EC45" s="275">
        <v>0</v>
      </c>
      <c r="ED45" s="394">
        <v>0</v>
      </c>
      <c r="EE45" s="277">
        <v>0</v>
      </c>
      <c r="EF45" s="212"/>
      <c r="EG45" s="273">
        <v>0</v>
      </c>
      <c r="EH45" s="278">
        <v>0</v>
      </c>
      <c r="EI45" s="278">
        <v>0</v>
      </c>
      <c r="EJ45" s="278">
        <v>0</v>
      </c>
      <c r="EK45" s="275">
        <v>0</v>
      </c>
      <c r="EL45" s="281">
        <v>0</v>
      </c>
      <c r="EM45" s="275">
        <v>0</v>
      </c>
      <c r="EN45" s="275">
        <v>7.5461399999999984E-2</v>
      </c>
      <c r="EO45" s="275">
        <v>0</v>
      </c>
      <c r="EP45" s="284">
        <v>0</v>
      </c>
      <c r="EQ45" s="284">
        <v>0</v>
      </c>
      <c r="ER45" s="285">
        <v>0</v>
      </c>
      <c r="ES45" s="283"/>
      <c r="ET45" s="273">
        <v>0</v>
      </c>
      <c r="EU45" s="278">
        <v>0</v>
      </c>
      <c r="EV45" s="278">
        <v>0</v>
      </c>
      <c r="EW45" s="278">
        <v>0</v>
      </c>
      <c r="EX45" s="275">
        <v>0</v>
      </c>
      <c r="EY45" s="281">
        <v>0</v>
      </c>
      <c r="EZ45" s="281">
        <v>0</v>
      </c>
      <c r="FA45" s="281">
        <v>1.1490626395182828E-5</v>
      </c>
      <c r="FB45" s="275">
        <v>0</v>
      </c>
      <c r="FC45" s="275">
        <v>0</v>
      </c>
      <c r="FD45" s="394">
        <v>0</v>
      </c>
      <c r="FE45" s="277">
        <v>0</v>
      </c>
      <c r="FF45" s="212"/>
      <c r="FG45" s="273">
        <v>0</v>
      </c>
      <c r="FH45" s="278">
        <v>0</v>
      </c>
      <c r="FI45" s="278">
        <v>0</v>
      </c>
      <c r="FJ45" s="278">
        <v>0</v>
      </c>
      <c r="FK45" s="275">
        <v>0</v>
      </c>
      <c r="FL45" s="281">
        <v>0</v>
      </c>
      <c r="FM45" s="275">
        <v>0</v>
      </c>
      <c r="FN45" s="275">
        <v>-3.6380459446392326E-3</v>
      </c>
      <c r="FO45" s="275">
        <v>0</v>
      </c>
      <c r="FP45" s="284">
        <v>0</v>
      </c>
      <c r="FQ45" s="284">
        <v>0</v>
      </c>
      <c r="FR45" s="285">
        <v>0</v>
      </c>
      <c r="FS45" s="283"/>
      <c r="FT45" s="286">
        <v>4.7699999999999996</v>
      </c>
      <c r="FU45" s="260">
        <v>0</v>
      </c>
      <c r="FV45" s="260">
        <v>5</v>
      </c>
      <c r="FW45" s="260">
        <v>4.7699999999999996</v>
      </c>
      <c r="FX45" s="287">
        <v>0</v>
      </c>
      <c r="FY45" s="314">
        <v>7.5461399999999998E-2</v>
      </c>
      <c r="FZ45" s="275">
        <v>0</v>
      </c>
      <c r="GA45" s="275">
        <v>7.908795531824403E-2</v>
      </c>
      <c r="GB45" s="275">
        <v>7.5461399999999998E-2</v>
      </c>
      <c r="GC45" s="275">
        <v>7.5461399999999984E-2</v>
      </c>
      <c r="GD45" s="275">
        <v>0</v>
      </c>
      <c r="GE45" s="275">
        <v>-3.6380459446392326E-3</v>
      </c>
      <c r="GF45" s="277">
        <v>1.1490626395182828E-5</v>
      </c>
      <c r="GG45" s="214">
        <v>0</v>
      </c>
      <c r="GH45" s="286">
        <v>0</v>
      </c>
      <c r="GI45" s="260">
        <v>0</v>
      </c>
      <c r="GJ45" s="260">
        <v>0</v>
      </c>
      <c r="GK45" s="260">
        <v>0</v>
      </c>
      <c r="GL45" s="291">
        <v>0</v>
      </c>
      <c r="GM45" s="275">
        <v>0</v>
      </c>
      <c r="GN45" s="275">
        <v>0</v>
      </c>
      <c r="GO45" s="275">
        <v>0</v>
      </c>
      <c r="GP45" s="275">
        <v>0</v>
      </c>
      <c r="GQ45" s="275">
        <v>0</v>
      </c>
      <c r="GR45" s="277">
        <v>0</v>
      </c>
      <c r="GS45" s="275">
        <v>0</v>
      </c>
      <c r="GT45" s="284">
        <v>0</v>
      </c>
      <c r="GU45" s="292">
        <v>0</v>
      </c>
      <c r="GV45" s="214">
        <v>0</v>
      </c>
      <c r="GW45" s="293">
        <v>0</v>
      </c>
      <c r="GX45" s="294"/>
      <c r="GY45" s="293">
        <v>-3.6265553182440319E-3</v>
      </c>
      <c r="GZ45" s="293">
        <v>-1.7780915628762273E-17</v>
      </c>
      <c r="HA45" s="293">
        <v>0</v>
      </c>
      <c r="HB45" s="293">
        <v>0</v>
      </c>
      <c r="HC45" s="295">
        <v>0</v>
      </c>
    </row>
    <row r="46" spans="1:211" s="381" customFormat="1">
      <c r="A46" s="392"/>
      <c r="B46" s="328" t="s">
        <v>204</v>
      </c>
      <c r="C46" s="297" t="s">
        <v>135</v>
      </c>
      <c r="D46" s="299" t="s">
        <v>53</v>
      </c>
      <c r="E46" s="299" t="s">
        <v>203</v>
      </c>
      <c r="F46" s="382" t="s">
        <v>142</v>
      </c>
      <c r="G46" s="301">
        <v>51.006999999999998</v>
      </c>
      <c r="H46" s="301">
        <v>50.746000000000009</v>
      </c>
      <c r="I46" s="258">
        <v>37.266000000000005</v>
      </c>
      <c r="J46" s="258">
        <v>36.433</v>
      </c>
      <c r="K46" s="302">
        <v>41.543999999999997</v>
      </c>
      <c r="L46" s="261">
        <v>26.627000000000002</v>
      </c>
      <c r="M46" s="261">
        <v>29.516000000000002</v>
      </c>
      <c r="N46" s="260">
        <v>33.698999999999998</v>
      </c>
      <c r="O46" s="261">
        <v>44.803999999999995</v>
      </c>
      <c r="P46" s="276">
        <v>15.093</v>
      </c>
      <c r="Q46" s="261">
        <v>1.085</v>
      </c>
      <c r="R46" s="303">
        <v>29.997000000000003</v>
      </c>
      <c r="S46" s="261">
        <f t="shared" si="3"/>
        <v>46.175000000000004</v>
      </c>
      <c r="T46" s="388">
        <v>30</v>
      </c>
      <c r="U46" s="267">
        <v>43</v>
      </c>
      <c r="V46" s="267">
        <v>34</v>
      </c>
      <c r="W46" s="267">
        <v>45</v>
      </c>
      <c r="X46" s="267">
        <v>58</v>
      </c>
      <c r="Y46" s="267">
        <v>61.5</v>
      </c>
      <c r="Z46" s="267">
        <v>41</v>
      </c>
      <c r="AA46" s="267">
        <v>35</v>
      </c>
      <c r="AB46" s="267">
        <v>35</v>
      </c>
      <c r="AC46" s="267">
        <v>15</v>
      </c>
      <c r="AD46" s="267">
        <v>24</v>
      </c>
      <c r="AE46" s="395">
        <v>32</v>
      </c>
      <c r="AF46" s="209"/>
      <c r="AG46" s="388">
        <v>0</v>
      </c>
      <c r="AH46" s="267">
        <v>38.840000000000003</v>
      </c>
      <c r="AI46" s="259">
        <v>37</v>
      </c>
      <c r="AJ46" s="259">
        <v>38.697900000000004</v>
      </c>
      <c r="AK46" s="259">
        <v>45.918999999999997</v>
      </c>
      <c r="AL46" s="259">
        <v>25.013999999999999</v>
      </c>
      <c r="AM46" s="259">
        <v>40.274999999999999</v>
      </c>
      <c r="AN46" s="259">
        <v>34.444977000000009</v>
      </c>
      <c r="AO46" s="259">
        <v>33.341000000000001</v>
      </c>
      <c r="AP46" s="259">
        <v>11.6187</v>
      </c>
      <c r="AQ46" s="259">
        <v>12.052900000000001</v>
      </c>
      <c r="AR46" s="268">
        <v>30.391000000000002</v>
      </c>
      <c r="AS46" s="269">
        <v>7.6660121972608134E-3</v>
      </c>
      <c r="AT46" s="305">
        <v>158574.24490756175</v>
      </c>
      <c r="AU46" s="336">
        <v>156269.78421944586</v>
      </c>
      <c r="AV46" s="336">
        <v>159679.05651263884</v>
      </c>
      <c r="AW46" s="336">
        <v>157775.8718743996</v>
      </c>
      <c r="AX46" s="336">
        <v>159212.90005777008</v>
      </c>
      <c r="AY46" s="336">
        <v>162669.64810155105</v>
      </c>
      <c r="AZ46" s="259">
        <v>162477.54031711613</v>
      </c>
      <c r="BA46" s="259">
        <v>164598.63616131042</v>
      </c>
      <c r="BB46" s="259">
        <v>162043.22828318903</v>
      </c>
      <c r="BC46" s="259">
        <v>152868.6940966011</v>
      </c>
      <c r="BD46" s="259">
        <v>168861.23502304146</v>
      </c>
      <c r="BE46" s="268">
        <v>165911.15511551153</v>
      </c>
      <c r="BF46" s="209"/>
      <c r="BG46" s="305">
        <v>133515.47329391178</v>
      </c>
      <c r="BH46" s="336">
        <v>133515.47329391178</v>
      </c>
      <c r="BI46" s="336">
        <v>133515.47329391178</v>
      </c>
      <c r="BJ46" s="336">
        <v>133515.47329391178</v>
      </c>
      <c r="BK46" s="336">
        <v>133515.47329391178</v>
      </c>
      <c r="BL46" s="336">
        <v>133515.47329391178</v>
      </c>
      <c r="BM46" s="259">
        <v>133515.47329391178</v>
      </c>
      <c r="BN46" s="259">
        <v>133515.47329391178</v>
      </c>
      <c r="BO46" s="259">
        <v>133515.47329391178</v>
      </c>
      <c r="BP46" s="259">
        <v>133515.47329391178</v>
      </c>
      <c r="BQ46" s="259">
        <v>133515.47329391178</v>
      </c>
      <c r="BR46" s="268">
        <v>133515.47329391178</v>
      </c>
      <c r="BS46" s="209"/>
      <c r="BT46" s="389">
        <v>0</v>
      </c>
      <c r="BU46" s="307">
        <v>159939.43564441451</v>
      </c>
      <c r="BV46" s="307">
        <v>161769.79242500968</v>
      </c>
      <c r="BW46" s="307">
        <v>156509.02066216498</v>
      </c>
      <c r="BX46" s="307">
        <v>159452.80015687368</v>
      </c>
      <c r="BY46" s="307">
        <v>162395.75094698754</v>
      </c>
      <c r="BZ46" s="307">
        <v>163362.0253358435</v>
      </c>
      <c r="CA46" s="307">
        <v>162812.56918553612</v>
      </c>
      <c r="CB46" s="307">
        <v>161627.03732273544</v>
      </c>
      <c r="CC46" s="307">
        <v>154498.30043900904</v>
      </c>
      <c r="CD46" s="307">
        <v>153013.03154301443</v>
      </c>
      <c r="CE46" s="308">
        <v>165195.47272829743</v>
      </c>
      <c r="CF46" s="212"/>
      <c r="CG46" s="312">
        <v>0.8088396510000001</v>
      </c>
      <c r="CH46" s="329">
        <v>0.79300664700000012</v>
      </c>
      <c r="CI46" s="274">
        <v>0.59505997199999994</v>
      </c>
      <c r="CJ46" s="274">
        <v>0.57482483400000006</v>
      </c>
      <c r="CK46" s="274">
        <v>0.66143407200000004</v>
      </c>
      <c r="CL46" s="309">
        <v>0.43314047200000005</v>
      </c>
      <c r="CM46" s="276">
        <v>0.47956870800000001</v>
      </c>
      <c r="CN46" s="276">
        <v>0.55468094400000001</v>
      </c>
      <c r="CO46" s="276">
        <v>0.72601848000000002</v>
      </c>
      <c r="CP46" s="276">
        <v>0.23072472000000002</v>
      </c>
      <c r="CQ46" s="276">
        <v>1.8321443999999999E-2</v>
      </c>
      <c r="CR46" s="313">
        <v>0.49768369199999996</v>
      </c>
      <c r="CS46" s="390"/>
      <c r="CT46" s="273">
        <v>0.40054641988173539</v>
      </c>
      <c r="CU46" s="278">
        <v>0.57411653516382066</v>
      </c>
      <c r="CV46" s="278">
        <v>0.45395260919930003</v>
      </c>
      <c r="CW46" s="278">
        <v>0.60081962982260306</v>
      </c>
      <c r="CX46" s="278">
        <v>0.77438974510468828</v>
      </c>
      <c r="CY46" s="278">
        <v>0.82112016075755745</v>
      </c>
      <c r="CZ46" s="278">
        <v>0.54741344050503826</v>
      </c>
      <c r="DA46" s="278">
        <v>0.46730415652869123</v>
      </c>
      <c r="DB46" s="278">
        <v>0.46730415652869123</v>
      </c>
      <c r="DC46" s="278">
        <v>0.2002732099408677</v>
      </c>
      <c r="DD46" s="278">
        <v>0.3204371359053883</v>
      </c>
      <c r="DE46" s="278">
        <v>0.42724951454051768</v>
      </c>
      <c r="DF46" s="390">
        <f t="shared" si="4"/>
        <v>0.9479598603867736</v>
      </c>
      <c r="DG46" s="391">
        <v>0</v>
      </c>
      <c r="DH46" s="281">
        <v>0.62120476804290603</v>
      </c>
      <c r="DI46" s="278">
        <v>0.59854823197253582</v>
      </c>
      <c r="DJ46" s="278">
        <v>0.60565704306823953</v>
      </c>
      <c r="DK46" s="278">
        <v>0.73219131304034812</v>
      </c>
      <c r="DL46" s="278">
        <v>0.40621673141879461</v>
      </c>
      <c r="DM46" s="278">
        <v>0.65794055704010979</v>
      </c>
      <c r="DN46" s="278">
        <v>0.56080752009067014</v>
      </c>
      <c r="DO46" s="278">
        <v>0.53888070513773223</v>
      </c>
      <c r="DP46" s="278">
        <v>0.17950694033107142</v>
      </c>
      <c r="DQ46" s="278">
        <v>0.18442507678847986</v>
      </c>
      <c r="DR46" s="282">
        <v>0.5020455611685688</v>
      </c>
      <c r="DS46" s="226"/>
      <c r="DT46" s="273">
        <v>0.12781727636974438</v>
      </c>
      <c r="DU46" s="278">
        <v>0.11546902622271527</v>
      </c>
      <c r="DV46" s="278">
        <v>9.7501209222908267E-2</v>
      </c>
      <c r="DW46" s="278">
        <v>8.8387910148291268E-2</v>
      </c>
      <c r="DX46" s="275">
        <v>0.10675738974777291</v>
      </c>
      <c r="DY46" s="281">
        <v>7.7628821260301087E-2</v>
      </c>
      <c r="DZ46" s="281">
        <v>8.548443702568996E-2</v>
      </c>
      <c r="EA46" s="281">
        <v>0.10474715054684668</v>
      </c>
      <c r="EB46" s="275">
        <v>0.12781575345395779</v>
      </c>
      <c r="EC46" s="275">
        <v>2.9209816157498989E-2</v>
      </c>
      <c r="ED46" s="394">
        <v>3.8350151476105698E-3</v>
      </c>
      <c r="EE46" s="277">
        <v>9.7177326760252772E-2</v>
      </c>
      <c r="EF46" s="212"/>
      <c r="EG46" s="273">
        <v>0.28047595474852044</v>
      </c>
      <c r="EH46" s="278">
        <v>0.10342108561346419</v>
      </c>
      <c r="EI46" s="278">
        <v>4.3606153577791663E-2</v>
      </c>
      <c r="EJ46" s="278">
        <v>-0.11438270597089421</v>
      </c>
      <c r="EK46" s="275">
        <v>-0.21971306285246126</v>
      </c>
      <c r="EL46" s="281">
        <v>-0.46560851001785852</v>
      </c>
      <c r="EM46" s="275">
        <v>-0.15332916953072828</v>
      </c>
      <c r="EN46" s="275">
        <v>-1.7370363075537947E-2</v>
      </c>
      <c r="EO46" s="275">
        <v>0.13089857001735106</v>
      </c>
      <c r="EP46" s="284">
        <v>1.2416939016333792E-3</v>
      </c>
      <c r="EQ46" s="284">
        <v>-0.30595070705299887</v>
      </c>
      <c r="ER46" s="285">
        <v>-2.6743149300770486E-2</v>
      </c>
      <c r="ES46" s="283"/>
      <c r="ET46" s="273">
        <v>0.80883965100000021</v>
      </c>
      <c r="EU46" s="278">
        <v>-1.8622013121145885E-2</v>
      </c>
      <c r="EV46" s="278">
        <v>-7.7913364510411908E-3</v>
      </c>
      <c r="EW46" s="278">
        <v>4.6155190215343717E-3</v>
      </c>
      <c r="EX46" s="275">
        <v>-9.9664097171599979E-4</v>
      </c>
      <c r="EY46" s="281">
        <v>7.2930595345626888E-4</v>
      </c>
      <c r="EZ46" s="281">
        <v>-2.6106459812757043E-3</v>
      </c>
      <c r="FA46" s="281">
        <v>6.0188671016618185E-3</v>
      </c>
      <c r="FB46" s="275">
        <v>1.8647019792162661E-3</v>
      </c>
      <c r="FC46" s="275">
        <v>-2.4595648525962935E-3</v>
      </c>
      <c r="FD46" s="394">
        <v>1.7195300775829331E-3</v>
      </c>
      <c r="FE46" s="277">
        <v>2.1468324569261232E-3</v>
      </c>
      <c r="FF46" s="212"/>
      <c r="FG46" s="273">
        <v>0</v>
      </c>
      <c r="FH46" s="278">
        <v>0.19042389207824001</v>
      </c>
      <c r="FI46" s="278">
        <v>4.3030764785053442E-3</v>
      </c>
      <c r="FJ46" s="278">
        <v>-3.5447728089773818E-2</v>
      </c>
      <c r="FK46" s="275">
        <v>-6.9760600068632231E-2</v>
      </c>
      <c r="FL46" s="281">
        <v>2.619443462774914E-2</v>
      </c>
      <c r="FM46" s="275">
        <v>-0.17576120305883397</v>
      </c>
      <c r="FN46" s="275">
        <v>-1.214544319233204E-2</v>
      </c>
      <c r="FO46" s="275">
        <v>0.18527307288305153</v>
      </c>
      <c r="FP46" s="284">
        <v>5.3677344521524895E-2</v>
      </c>
      <c r="FQ46" s="284">
        <v>-0.16782316286606278</v>
      </c>
      <c r="FR46" s="285">
        <v>-6.5087016254948915E-3</v>
      </c>
      <c r="FS46" s="283"/>
      <c r="FT46" s="286">
        <v>397.81700000000001</v>
      </c>
      <c r="FU46" s="260">
        <v>453.5</v>
      </c>
      <c r="FV46" s="260">
        <v>347.5944770000001</v>
      </c>
      <c r="FW46" s="260">
        <v>-55.682999999999993</v>
      </c>
      <c r="FX46" s="287">
        <v>-0.12278500551267915</v>
      </c>
      <c r="FY46" s="314">
        <v>6.373303636000001</v>
      </c>
      <c r="FZ46" s="275">
        <v>6.0549267138788982</v>
      </c>
      <c r="GA46" s="275">
        <v>5.5874244480994566</v>
      </c>
      <c r="GB46" s="275">
        <v>0.3183769221211028</v>
      </c>
      <c r="GC46" s="275">
        <v>-0.7434542099424889</v>
      </c>
      <c r="GD46" s="275">
        <v>1.06183113206359</v>
      </c>
      <c r="GE46" s="275">
        <v>-7.57501831205882E-3</v>
      </c>
      <c r="GF46" s="277">
        <v>0.79345420621260287</v>
      </c>
      <c r="GG46" s="214">
        <v>-1.6653345369377348E-15</v>
      </c>
      <c r="GH46" s="286">
        <v>29.997000000000003</v>
      </c>
      <c r="GI46" s="260">
        <v>32</v>
      </c>
      <c r="GJ46" s="260">
        <v>30.391000000000002</v>
      </c>
      <c r="GK46" s="260">
        <v>-2.0029999999999966</v>
      </c>
      <c r="GL46" s="291">
        <v>-6.2593749999999893E-2</v>
      </c>
      <c r="GM46" s="275">
        <v>0.49768369199999996</v>
      </c>
      <c r="GN46" s="275">
        <v>0.42724951454051768</v>
      </c>
      <c r="GO46" s="275">
        <v>0.5020455611685688</v>
      </c>
      <c r="GP46" s="275">
        <v>7.0434177459482272E-2</v>
      </c>
      <c r="GQ46" s="275">
        <v>-2.6743149300770486E-2</v>
      </c>
      <c r="GR46" s="277">
        <v>9.7177326760252772E-2</v>
      </c>
      <c r="GS46" s="275">
        <v>-6.5087016254948915E-3</v>
      </c>
      <c r="GT46" s="284">
        <v>2.1468324569261232E-3</v>
      </c>
      <c r="GU46" s="292">
        <v>-1.8650921939980619E-2</v>
      </c>
      <c r="GV46" s="214">
        <v>0</v>
      </c>
      <c r="GW46" s="293">
        <v>0.51410732796364855</v>
      </c>
      <c r="GX46" s="294"/>
      <c r="GY46" s="293">
        <v>0.78587918790054445</v>
      </c>
      <c r="GZ46" s="293">
        <v>0</v>
      </c>
      <c r="HA46" s="293">
        <v>-4.3618691685688438E-3</v>
      </c>
      <c r="HB46" s="293">
        <v>2.1468324569260478E-3</v>
      </c>
      <c r="HC46" s="295">
        <v>0.51633461393998059</v>
      </c>
    </row>
    <row r="47" spans="1:211" s="381" customFormat="1">
      <c r="A47" s="392"/>
      <c r="B47" s="328" t="s">
        <v>205</v>
      </c>
      <c r="C47" s="297" t="s">
        <v>135</v>
      </c>
      <c r="D47" s="297" t="s">
        <v>53</v>
      </c>
      <c r="E47" s="299" t="s">
        <v>203</v>
      </c>
      <c r="F47" s="382" t="s">
        <v>182</v>
      </c>
      <c r="G47" s="301">
        <v>29.565000000000001</v>
      </c>
      <c r="H47" s="301">
        <v>27.836999999999996</v>
      </c>
      <c r="I47" s="258">
        <v>49.769999999999996</v>
      </c>
      <c r="J47" s="258">
        <v>39.852000000000004</v>
      </c>
      <c r="K47" s="302">
        <v>70.805000000000007</v>
      </c>
      <c r="L47" s="261">
        <v>92.47399999999999</v>
      </c>
      <c r="M47" s="261">
        <v>41.137999999999991</v>
      </c>
      <c r="N47" s="260">
        <v>77.792999999999992</v>
      </c>
      <c r="O47" s="261">
        <v>39.601999999999997</v>
      </c>
      <c r="P47" s="261">
        <v>35.963999999999999</v>
      </c>
      <c r="Q47" s="261">
        <v>8.82</v>
      </c>
      <c r="R47" s="303">
        <v>36.800999999999995</v>
      </c>
      <c r="S47" s="261">
        <f t="shared" si="3"/>
        <v>81.584999999999994</v>
      </c>
      <c r="T47" s="388">
        <v>43</v>
      </c>
      <c r="U47" s="267">
        <v>43</v>
      </c>
      <c r="V47" s="267">
        <v>43</v>
      </c>
      <c r="W47" s="267">
        <v>42</v>
      </c>
      <c r="X47" s="267">
        <v>57</v>
      </c>
      <c r="Y47" s="267">
        <v>54</v>
      </c>
      <c r="Z47" s="267">
        <v>47</v>
      </c>
      <c r="AA47" s="267">
        <v>47</v>
      </c>
      <c r="AB47" s="267">
        <v>25</v>
      </c>
      <c r="AC47" s="267">
        <v>47</v>
      </c>
      <c r="AD47" s="267">
        <v>18</v>
      </c>
      <c r="AE47" s="395">
        <v>30</v>
      </c>
      <c r="AF47" s="209"/>
      <c r="AG47" s="388">
        <v>0</v>
      </c>
      <c r="AH47" s="267">
        <v>28</v>
      </c>
      <c r="AI47" s="259">
        <v>51.25</v>
      </c>
      <c r="AJ47" s="259">
        <v>31.802</v>
      </c>
      <c r="AK47" s="259">
        <v>75.52</v>
      </c>
      <c r="AL47" s="259">
        <v>87.35</v>
      </c>
      <c r="AM47" s="259">
        <v>47.5</v>
      </c>
      <c r="AN47" s="259">
        <v>79.215500000000006</v>
      </c>
      <c r="AO47" s="259">
        <v>47.176000000000002</v>
      </c>
      <c r="AP47" s="259">
        <v>36.814</v>
      </c>
      <c r="AQ47" s="259">
        <v>0.45900000000000002</v>
      </c>
      <c r="AR47" s="268">
        <v>41.136299999999999</v>
      </c>
      <c r="AS47" s="269">
        <v>1.0376472559316244E-2</v>
      </c>
      <c r="AT47" s="305">
        <v>150411.40334855404</v>
      </c>
      <c r="AU47" s="336">
        <v>151053.68250889107</v>
      </c>
      <c r="AV47" s="336">
        <v>151017.39602169982</v>
      </c>
      <c r="AW47" s="336">
        <v>150284.56187895211</v>
      </c>
      <c r="AX47" s="336">
        <v>150290.51055716403</v>
      </c>
      <c r="AY47" s="259">
        <v>150511.50463914184</v>
      </c>
      <c r="AZ47" s="259">
        <v>162712.32534396424</v>
      </c>
      <c r="BA47" s="259">
        <v>157149.46126258146</v>
      </c>
      <c r="BB47" s="259">
        <v>151185.40073733649</v>
      </c>
      <c r="BC47" s="259">
        <v>150820</v>
      </c>
      <c r="BD47" s="259">
        <v>150819.99999999997</v>
      </c>
      <c r="BE47" s="268">
        <v>153530.10516018589</v>
      </c>
      <c r="BF47" s="209"/>
      <c r="BG47" s="305">
        <v>126419.2218154118</v>
      </c>
      <c r="BH47" s="336">
        <v>126419.2218154118</v>
      </c>
      <c r="BI47" s="336">
        <v>126419.2218154118</v>
      </c>
      <c r="BJ47" s="336">
        <v>126419.22181541177</v>
      </c>
      <c r="BK47" s="336">
        <v>126419.22181541176</v>
      </c>
      <c r="BL47" s="336">
        <v>126419.22181541177</v>
      </c>
      <c r="BM47" s="336">
        <v>126419.22181541177</v>
      </c>
      <c r="BN47" s="336">
        <v>126419.22181541177</v>
      </c>
      <c r="BO47" s="336">
        <v>126419.22181541176</v>
      </c>
      <c r="BP47" s="336">
        <v>126419.22181541177</v>
      </c>
      <c r="BQ47" s="336">
        <v>126419.22181541177</v>
      </c>
      <c r="BR47" s="268">
        <v>126419.22181541177</v>
      </c>
      <c r="BS47" s="209"/>
      <c r="BT47" s="389">
        <v>0</v>
      </c>
      <c r="BU47" s="307">
        <v>151040.52415262433</v>
      </c>
      <c r="BV47" s="307">
        <v>150731.84149624509</v>
      </c>
      <c r="BW47" s="307">
        <v>150058.42287520645</v>
      </c>
      <c r="BX47" s="307">
        <v>150223.29169165093</v>
      </c>
      <c r="BY47" s="307">
        <v>150257.18726592674</v>
      </c>
      <c r="BZ47" s="307">
        <v>151503.18895545765</v>
      </c>
      <c r="CA47" s="307">
        <v>152428.72400854994</v>
      </c>
      <c r="CB47" s="307">
        <v>150549.64533274967</v>
      </c>
      <c r="CC47" s="307">
        <v>150669.18850483015</v>
      </c>
      <c r="CD47" s="307">
        <v>143243.18887696293</v>
      </c>
      <c r="CE47" s="308">
        <v>150998.22628917225</v>
      </c>
      <c r="CF47" s="212"/>
      <c r="CG47" s="312">
        <v>0.444691314</v>
      </c>
      <c r="CH47" s="329">
        <v>0.42048813600000001</v>
      </c>
      <c r="CI47" s="274">
        <v>0.75161358</v>
      </c>
      <c r="CJ47" s="274">
        <v>0.59891403600000004</v>
      </c>
      <c r="CK47" s="274">
        <v>1.0641319599999999</v>
      </c>
      <c r="CL47" s="309">
        <v>1.3918400880000001</v>
      </c>
      <c r="CM47" s="276">
        <v>0.66936596399999992</v>
      </c>
      <c r="CN47" s="276">
        <v>1.222512804</v>
      </c>
      <c r="CO47" s="276">
        <v>0.59872442399999992</v>
      </c>
      <c r="CP47" s="276">
        <v>0.542409048</v>
      </c>
      <c r="CQ47" s="276">
        <v>0.13302323999999999</v>
      </c>
      <c r="CR47" s="313">
        <v>0.56500614000000005</v>
      </c>
      <c r="CS47" s="390"/>
      <c r="CT47" s="273">
        <v>0.54360265380627071</v>
      </c>
      <c r="CU47" s="278">
        <v>0.54360265380627071</v>
      </c>
      <c r="CV47" s="278">
        <v>0.54360265380627071</v>
      </c>
      <c r="CW47" s="278">
        <v>0.53096073162472945</v>
      </c>
      <c r="CX47" s="278">
        <v>0.72058956434784704</v>
      </c>
      <c r="CY47" s="278">
        <v>0.68266379780322362</v>
      </c>
      <c r="CZ47" s="278">
        <v>0.59417034253243539</v>
      </c>
      <c r="DA47" s="278">
        <v>0.59417034253243539</v>
      </c>
      <c r="DB47" s="278">
        <v>0.31604805453852941</v>
      </c>
      <c r="DC47" s="278">
        <v>0.59417034253243539</v>
      </c>
      <c r="DD47" s="278">
        <v>0.22755459926774119</v>
      </c>
      <c r="DE47" s="278">
        <v>0.37925766544623535</v>
      </c>
      <c r="DF47" s="390">
        <f t="shared" si="4"/>
        <v>1.200982607246412</v>
      </c>
      <c r="DG47" s="391">
        <v>0</v>
      </c>
      <c r="DH47" s="281">
        <v>0.42291346762734816</v>
      </c>
      <c r="DI47" s="278">
        <v>0.77250068766825608</v>
      </c>
      <c r="DJ47" s="278">
        <v>0.4772157964277316</v>
      </c>
      <c r="DK47" s="278">
        <v>1.1344862988553477</v>
      </c>
      <c r="DL47" s="278">
        <v>1.31249653076787</v>
      </c>
      <c r="DM47" s="278">
        <v>0.71964014753842376</v>
      </c>
      <c r="DN47" s="278">
        <v>1.2074717586699288</v>
      </c>
      <c r="DO47" s="278">
        <v>0.71023300682177981</v>
      </c>
      <c r="DP47" s="278">
        <v>0.55467355056168166</v>
      </c>
      <c r="DQ47" s="278">
        <v>6.5748623694525986E-3</v>
      </c>
      <c r="DR47" s="282">
        <v>0.62115083360992762</v>
      </c>
      <c r="DS47" s="226"/>
      <c r="DT47" s="273">
        <v>7.0932884702735038E-2</v>
      </c>
      <c r="DU47" s="278">
        <v>6.8574948232438232E-2</v>
      </c>
      <c r="DV47" s="278">
        <v>0.12242511302469547</v>
      </c>
      <c r="DW47" s="278">
        <v>9.5108153221220959E-2</v>
      </c>
      <c r="DX47" s="275">
        <v>0.16902065993597698</v>
      </c>
      <c r="DY47" s="281">
        <v>0.22279097618416144</v>
      </c>
      <c r="DZ47" s="281">
        <v>0.14930256929575914</v>
      </c>
      <c r="EA47" s="281">
        <v>0.23905975173136712</v>
      </c>
      <c r="EB47" s="281">
        <v>9.8079021766606309E-2</v>
      </c>
      <c r="EC47" s="281">
        <v>8.7754958663053106E-2</v>
      </c>
      <c r="ED47" s="281">
        <v>2.1521486358806789E-2</v>
      </c>
      <c r="EE47" s="281">
        <v>9.977076179710323E-2</v>
      </c>
      <c r="EF47" s="212"/>
      <c r="EG47" s="273">
        <v>-0.16984422450900574</v>
      </c>
      <c r="EH47" s="278">
        <v>-0.19168946603870898</v>
      </c>
      <c r="EI47" s="278">
        <v>8.5585813169033742E-2</v>
      </c>
      <c r="EJ47" s="278">
        <v>-2.7154848845950399E-2</v>
      </c>
      <c r="EK47" s="275">
        <v>0.17452173571617602</v>
      </c>
      <c r="EL47" s="281">
        <v>0.48638531401261509</v>
      </c>
      <c r="EM47" s="275">
        <v>-7.4106947828194505E-2</v>
      </c>
      <c r="EN47" s="275">
        <v>0.38928270973619739</v>
      </c>
      <c r="EO47" s="275">
        <v>0.18459734769486422</v>
      </c>
      <c r="EP47" s="284">
        <v>-0.13951625319548847</v>
      </c>
      <c r="EQ47" s="284">
        <v>-0.116052845626548</v>
      </c>
      <c r="ER47" s="285">
        <v>8.5977712756661481E-2</v>
      </c>
      <c r="ES47" s="283"/>
      <c r="ET47" s="273">
        <v>0.44469131400000006</v>
      </c>
      <c r="EU47" s="278">
        <v>3.6628916339714444E-5</v>
      </c>
      <c r="EV47" s="278">
        <v>1.4212048731882029E-3</v>
      </c>
      <c r="EW47" s="278">
        <v>9.0120915772719853E-4</v>
      </c>
      <c r="EX47" s="275">
        <v>4.7594317726552647E-4</v>
      </c>
      <c r="EY47" s="281">
        <v>2.3517744770693567E-3</v>
      </c>
      <c r="EZ47" s="281">
        <v>4.6112145275038423E-2</v>
      </c>
      <c r="FA47" s="281">
        <v>3.6724031320287454E-2</v>
      </c>
      <c r="FB47" s="281">
        <v>2.5177185532447104E-3</v>
      </c>
      <c r="FC47" s="281">
        <v>5.4237846122885452E-4</v>
      </c>
      <c r="FD47" s="281">
        <v>6.6827474105186704E-3</v>
      </c>
      <c r="FE47" s="281">
        <v>9.3175674332173081E-3</v>
      </c>
      <c r="FF47" s="212"/>
      <c r="FG47" s="273">
        <v>0</v>
      </c>
      <c r="FH47" s="278">
        <v>-2.4619605436878339E-3</v>
      </c>
      <c r="FI47" s="278">
        <v>-2.2308312541444334E-2</v>
      </c>
      <c r="FJ47" s="278">
        <v>0.12079703041454125</v>
      </c>
      <c r="FK47" s="275">
        <v>-7.083028203261324E-2</v>
      </c>
      <c r="FL47" s="281">
        <v>7.6991782755060786E-2</v>
      </c>
      <c r="FM47" s="275">
        <v>-9.6386328813462291E-2</v>
      </c>
      <c r="FN47" s="275">
        <v>-2.1682985990216438E-2</v>
      </c>
      <c r="FO47" s="275">
        <v>-0.11402630137502467</v>
      </c>
      <c r="FP47" s="284">
        <v>-1.2806881022910584E-2</v>
      </c>
      <c r="FQ47" s="284">
        <v>0.11976563022002872</v>
      </c>
      <c r="FR47" s="285">
        <v>-6.5462261043144898E-2</v>
      </c>
      <c r="FS47" s="283"/>
      <c r="FT47" s="286">
        <v>550.42100000000005</v>
      </c>
      <c r="FU47" s="260">
        <v>496</v>
      </c>
      <c r="FV47" s="260">
        <v>526.22280000000001</v>
      </c>
      <c r="FW47" s="260">
        <v>54.421000000000049</v>
      </c>
      <c r="FX47" s="287">
        <v>0.10971975806451623</v>
      </c>
      <c r="FY47" s="314">
        <v>8.4027207340000007</v>
      </c>
      <c r="FZ47" s="275">
        <v>6.2703934020444239</v>
      </c>
      <c r="GA47" s="275">
        <v>7.9393569409177491</v>
      </c>
      <c r="GB47" s="275">
        <v>2.1323273319555769</v>
      </c>
      <c r="GC47" s="275">
        <v>0.68798604704165189</v>
      </c>
      <c r="GD47" s="275">
        <v>1.4443412849139237</v>
      </c>
      <c r="GE47" s="275">
        <v>-8.8410869972873549E-2</v>
      </c>
      <c r="GF47" s="277">
        <v>0.55177466305512535</v>
      </c>
      <c r="GG47" s="214">
        <v>0</v>
      </c>
      <c r="GH47" s="286">
        <v>36.800999999999995</v>
      </c>
      <c r="GI47" s="260">
        <v>30</v>
      </c>
      <c r="GJ47" s="260">
        <v>41.136299999999999</v>
      </c>
      <c r="GK47" s="260">
        <v>6.8009999999999948</v>
      </c>
      <c r="GL47" s="291">
        <v>0.22669999999999982</v>
      </c>
      <c r="GM47" s="275">
        <v>0.56500614000000005</v>
      </c>
      <c r="GN47" s="275">
        <v>0.37925766544623535</v>
      </c>
      <c r="GO47" s="275">
        <v>0.62115083360992762</v>
      </c>
      <c r="GP47" s="275">
        <v>0.1857484745537647</v>
      </c>
      <c r="GQ47" s="275">
        <v>8.5977712756661481E-2</v>
      </c>
      <c r="GR47" s="277">
        <v>9.977076179710323E-2</v>
      </c>
      <c r="GS47" s="275">
        <v>-6.5462261043144898E-2</v>
      </c>
      <c r="GT47" s="284">
        <v>9.3175674332173081E-3</v>
      </c>
      <c r="GU47" s="292">
        <v>-8.1733434467760893E-2</v>
      </c>
      <c r="GV47" s="214">
        <v>0</v>
      </c>
      <c r="GW47" s="293">
        <v>0.63607413356328935</v>
      </c>
      <c r="GX47" s="294"/>
      <c r="GY47" s="293">
        <v>0.46336379308225162</v>
      </c>
      <c r="GZ47" s="293">
        <v>0</v>
      </c>
      <c r="HA47" s="293">
        <v>-5.6144693609927576E-2</v>
      </c>
      <c r="HB47" s="293">
        <v>9.3175674332173219E-3</v>
      </c>
      <c r="HC47" s="295">
        <v>0.64673957446776087</v>
      </c>
    </row>
    <row r="48" spans="1:211" s="381" customFormat="1" ht="12.75" customHeight="1">
      <c r="A48" s="392"/>
      <c r="B48" s="328" t="s">
        <v>206</v>
      </c>
      <c r="C48" s="297" t="s">
        <v>159</v>
      </c>
      <c r="D48" s="299" t="s">
        <v>53</v>
      </c>
      <c r="E48" s="328" t="s">
        <v>207</v>
      </c>
      <c r="F48" s="382">
        <v>100</v>
      </c>
      <c r="G48" s="301"/>
      <c r="H48" s="301"/>
      <c r="I48" s="258"/>
      <c r="J48" s="258"/>
      <c r="K48" s="302">
        <v>0</v>
      </c>
      <c r="L48" s="261">
        <v>0</v>
      </c>
      <c r="M48" s="261">
        <v>0</v>
      </c>
      <c r="N48" s="260">
        <v>0</v>
      </c>
      <c r="O48" s="261">
        <v>0</v>
      </c>
      <c r="P48" s="261">
        <v>6.3109999999999999</v>
      </c>
      <c r="Q48" s="261">
        <v>22.746000000000002</v>
      </c>
      <c r="R48" s="303">
        <v>17.437000000000005</v>
      </c>
      <c r="S48" s="261">
        <f t="shared" si="3"/>
        <v>46.494000000000007</v>
      </c>
      <c r="T48" s="388">
        <v>0</v>
      </c>
      <c r="U48" s="267">
        <v>0</v>
      </c>
      <c r="V48" s="267">
        <v>0</v>
      </c>
      <c r="W48" s="267">
        <v>0</v>
      </c>
      <c r="X48" s="267">
        <v>0</v>
      </c>
      <c r="Y48" s="267">
        <v>0</v>
      </c>
      <c r="Z48" s="267">
        <v>0</v>
      </c>
      <c r="AA48" s="267">
        <v>0</v>
      </c>
      <c r="AB48" s="267">
        <v>0</v>
      </c>
      <c r="AC48" s="267">
        <v>0</v>
      </c>
      <c r="AD48" s="267">
        <v>0</v>
      </c>
      <c r="AE48" s="395">
        <v>0</v>
      </c>
      <c r="AF48" s="209"/>
      <c r="AG48" s="388">
        <v>0</v>
      </c>
      <c r="AH48" s="267">
        <v>0</v>
      </c>
      <c r="AI48" s="259">
        <v>0</v>
      </c>
      <c r="AJ48" s="259">
        <v>0</v>
      </c>
      <c r="AK48" s="259">
        <v>0</v>
      </c>
      <c r="AL48" s="259">
        <v>0</v>
      </c>
      <c r="AM48" s="259">
        <v>0</v>
      </c>
      <c r="AN48" s="259">
        <v>0</v>
      </c>
      <c r="AO48" s="259">
        <v>0</v>
      </c>
      <c r="AP48" s="259">
        <v>2.5</v>
      </c>
      <c r="AQ48" s="259">
        <v>20</v>
      </c>
      <c r="AR48" s="268">
        <v>17.53</v>
      </c>
      <c r="AS48" s="269">
        <v>4.4218746937574301E-3</v>
      </c>
      <c r="AT48" s="305">
        <v>0</v>
      </c>
      <c r="AU48" s="336">
        <v>0</v>
      </c>
      <c r="AV48" s="336">
        <v>0</v>
      </c>
      <c r="AW48" s="336">
        <v>0</v>
      </c>
      <c r="AX48" s="336">
        <v>0</v>
      </c>
      <c r="AY48" s="259">
        <v>0</v>
      </c>
      <c r="AZ48" s="259">
        <v>0</v>
      </c>
      <c r="BA48" s="259">
        <v>0</v>
      </c>
      <c r="BB48" s="259">
        <v>0</v>
      </c>
      <c r="BC48" s="259">
        <v>138477.70559340832</v>
      </c>
      <c r="BD48" s="259">
        <v>140913.9541018201</v>
      </c>
      <c r="BE48" s="268">
        <v>142163.02345586967</v>
      </c>
      <c r="BF48" s="209"/>
      <c r="BG48" s="305">
        <v>0</v>
      </c>
      <c r="BH48" s="336">
        <v>0</v>
      </c>
      <c r="BI48" s="336">
        <v>0</v>
      </c>
      <c r="BJ48" s="336">
        <v>0</v>
      </c>
      <c r="BK48" s="336">
        <v>0</v>
      </c>
      <c r="BL48" s="336">
        <v>0</v>
      </c>
      <c r="BM48" s="336">
        <v>0</v>
      </c>
      <c r="BN48" s="336">
        <v>0</v>
      </c>
      <c r="BO48" s="336">
        <v>0</v>
      </c>
      <c r="BP48" s="336">
        <v>138477.70559340832</v>
      </c>
      <c r="BQ48" s="336">
        <v>140913.9541018201</v>
      </c>
      <c r="BR48" s="268">
        <v>142163.02345586967</v>
      </c>
      <c r="BS48" s="209"/>
      <c r="BT48" s="389">
        <v>0</v>
      </c>
      <c r="BU48" s="307">
        <v>0</v>
      </c>
      <c r="BV48" s="307">
        <v>0</v>
      </c>
      <c r="BW48" s="307">
        <v>0</v>
      </c>
      <c r="BX48" s="307">
        <v>0</v>
      </c>
      <c r="BY48" s="307">
        <v>0</v>
      </c>
      <c r="BZ48" s="307">
        <v>0</v>
      </c>
      <c r="CA48" s="307">
        <v>0</v>
      </c>
      <c r="CB48" s="307">
        <v>0</v>
      </c>
      <c r="CC48" s="307">
        <v>143797.78892577553</v>
      </c>
      <c r="CD48" s="307">
        <v>113385.89446288777</v>
      </c>
      <c r="CE48" s="308">
        <v>146315.47036925491</v>
      </c>
      <c r="CF48" s="212"/>
      <c r="CG48" s="312"/>
      <c r="CH48" s="329"/>
      <c r="CI48" s="274"/>
      <c r="CJ48" s="274"/>
      <c r="CK48" s="274">
        <v>0</v>
      </c>
      <c r="CL48" s="309">
        <v>0</v>
      </c>
      <c r="CM48" s="276">
        <v>0</v>
      </c>
      <c r="CN48" s="276">
        <v>0</v>
      </c>
      <c r="CO48" s="276">
        <v>0</v>
      </c>
      <c r="CP48" s="276">
        <v>8.739327999999999E-2</v>
      </c>
      <c r="CQ48" s="276">
        <v>0.32052288000000001</v>
      </c>
      <c r="CR48" s="313">
        <v>0.24788966400000001</v>
      </c>
      <c r="CS48" s="390"/>
      <c r="CT48" s="273">
        <v>0</v>
      </c>
      <c r="CU48" s="278">
        <v>0</v>
      </c>
      <c r="CV48" s="278">
        <v>0</v>
      </c>
      <c r="CW48" s="278">
        <v>0</v>
      </c>
      <c r="CX48" s="278">
        <v>0</v>
      </c>
      <c r="CY48" s="278">
        <v>0</v>
      </c>
      <c r="CZ48" s="278">
        <v>0</v>
      </c>
      <c r="DA48" s="278">
        <v>0</v>
      </c>
      <c r="DB48" s="278">
        <v>0</v>
      </c>
      <c r="DC48" s="278">
        <v>0</v>
      </c>
      <c r="DD48" s="278">
        <v>0</v>
      </c>
      <c r="DE48" s="278">
        <v>0</v>
      </c>
      <c r="DF48" s="390">
        <f t="shared" si="4"/>
        <v>0</v>
      </c>
      <c r="DG48" s="391">
        <v>0</v>
      </c>
      <c r="DH48" s="281">
        <v>0</v>
      </c>
      <c r="DI48" s="278">
        <v>0</v>
      </c>
      <c r="DJ48" s="278">
        <v>0</v>
      </c>
      <c r="DK48" s="278">
        <v>0</v>
      </c>
      <c r="DL48" s="278">
        <v>0</v>
      </c>
      <c r="DM48" s="278">
        <v>0</v>
      </c>
      <c r="DN48" s="278">
        <v>0</v>
      </c>
      <c r="DO48" s="278">
        <v>0</v>
      </c>
      <c r="DP48" s="278">
        <v>3.594944723144388E-2</v>
      </c>
      <c r="DQ48" s="278">
        <v>0.22677178892577554</v>
      </c>
      <c r="DR48" s="282">
        <v>0.25649101955730386</v>
      </c>
      <c r="DS48" s="226"/>
      <c r="DT48" s="273">
        <v>0</v>
      </c>
      <c r="DU48" s="278">
        <v>0</v>
      </c>
      <c r="DV48" s="278">
        <v>0</v>
      </c>
      <c r="DW48" s="278">
        <v>0</v>
      </c>
      <c r="DX48" s="275">
        <v>0</v>
      </c>
      <c r="DY48" s="281">
        <v>0</v>
      </c>
      <c r="DZ48" s="281">
        <v>0</v>
      </c>
      <c r="EA48" s="281">
        <v>0</v>
      </c>
      <c r="EB48" s="281">
        <v>0</v>
      </c>
      <c r="EC48" s="281">
        <v>0</v>
      </c>
      <c r="ED48" s="281">
        <v>0</v>
      </c>
      <c r="EE48" s="281">
        <v>0</v>
      </c>
      <c r="EF48" s="212"/>
      <c r="EG48" s="273">
        <v>0</v>
      </c>
      <c r="EH48" s="278">
        <v>0</v>
      </c>
      <c r="EI48" s="278">
        <v>0</v>
      </c>
      <c r="EJ48" s="278">
        <v>0</v>
      </c>
      <c r="EK48" s="275">
        <v>0</v>
      </c>
      <c r="EL48" s="281">
        <v>0</v>
      </c>
      <c r="EM48" s="275">
        <v>0</v>
      </c>
      <c r="EN48" s="275">
        <v>0</v>
      </c>
      <c r="EO48" s="275">
        <v>0</v>
      </c>
      <c r="EP48" s="284">
        <v>8.739327999999999E-2</v>
      </c>
      <c r="EQ48" s="284">
        <v>0.32052288000000001</v>
      </c>
      <c r="ER48" s="285">
        <v>0.24788966400000001</v>
      </c>
      <c r="ES48" s="283"/>
      <c r="ET48" s="273">
        <v>0</v>
      </c>
      <c r="EU48" s="278">
        <v>0</v>
      </c>
      <c r="EV48" s="278">
        <v>0</v>
      </c>
      <c r="EW48" s="278">
        <v>0</v>
      </c>
      <c r="EX48" s="275">
        <v>0</v>
      </c>
      <c r="EY48" s="281">
        <v>0</v>
      </c>
      <c r="EZ48" s="281">
        <v>0</v>
      </c>
      <c r="FA48" s="281">
        <v>0</v>
      </c>
      <c r="FB48" s="281">
        <v>0</v>
      </c>
      <c r="FC48" s="281">
        <v>-3.3575045910569476E-3</v>
      </c>
      <c r="FD48" s="281">
        <v>6.2615324454715487E-2</v>
      </c>
      <c r="FE48" s="281">
        <v>-7.2406216828698449E-3</v>
      </c>
      <c r="FF48" s="212"/>
      <c r="FG48" s="273">
        <v>0</v>
      </c>
      <c r="FH48" s="278">
        <v>0</v>
      </c>
      <c r="FI48" s="278">
        <v>0</v>
      </c>
      <c r="FJ48" s="278">
        <v>0</v>
      </c>
      <c r="FK48" s="275">
        <v>0</v>
      </c>
      <c r="FL48" s="281">
        <v>0</v>
      </c>
      <c r="FM48" s="275">
        <v>0</v>
      </c>
      <c r="FN48" s="275">
        <v>0</v>
      </c>
      <c r="FO48" s="275">
        <v>0</v>
      </c>
      <c r="FP48" s="284">
        <v>5.4801337359613053E-2</v>
      </c>
      <c r="FQ48" s="284">
        <v>3.1135766619509005E-2</v>
      </c>
      <c r="FR48" s="285">
        <v>-1.3607338744340183E-3</v>
      </c>
      <c r="FS48" s="283"/>
      <c r="FT48" s="286">
        <v>46.494000000000007</v>
      </c>
      <c r="FU48" s="260">
        <v>0</v>
      </c>
      <c r="FV48" s="260">
        <v>40.03</v>
      </c>
      <c r="FW48" s="260">
        <v>46.494000000000007</v>
      </c>
      <c r="FX48" s="287">
        <v>0</v>
      </c>
      <c r="FY48" s="327">
        <v>0.65580582399999998</v>
      </c>
      <c r="FZ48" s="275">
        <v>0</v>
      </c>
      <c r="GA48" s="275">
        <v>0.51921225571452334</v>
      </c>
      <c r="GB48" s="275">
        <v>0.65580582399999998</v>
      </c>
      <c r="GC48" s="275">
        <v>0.65580582399999998</v>
      </c>
      <c r="GD48" s="275">
        <v>0</v>
      </c>
      <c r="GE48" s="275">
        <v>8.4576370104688048E-2</v>
      </c>
      <c r="GF48" s="277">
        <v>5.201719818078869E-2</v>
      </c>
      <c r="GG48" s="214">
        <v>0</v>
      </c>
      <c r="GH48" s="286">
        <v>17.437000000000005</v>
      </c>
      <c r="GI48" s="260">
        <v>0</v>
      </c>
      <c r="GJ48" s="260">
        <v>17.53</v>
      </c>
      <c r="GK48" s="260">
        <v>17.437000000000005</v>
      </c>
      <c r="GL48" s="291">
        <v>0</v>
      </c>
      <c r="GM48" s="275">
        <v>0.24788966400000001</v>
      </c>
      <c r="GN48" s="275">
        <v>0</v>
      </c>
      <c r="GO48" s="275">
        <v>0.25649101955730386</v>
      </c>
      <c r="GP48" s="275">
        <v>0.24788966400000001</v>
      </c>
      <c r="GQ48" s="275">
        <v>0.24788966400000001</v>
      </c>
      <c r="GR48" s="277">
        <v>0</v>
      </c>
      <c r="GS48" s="275">
        <v>-1.3607338744340183E-3</v>
      </c>
      <c r="GT48" s="284">
        <v>-7.2406216828698449E-3</v>
      </c>
      <c r="GU48" s="292">
        <v>-7.3094897887184575E-3</v>
      </c>
      <c r="GV48" s="214">
        <v>0</v>
      </c>
      <c r="GW48" s="293">
        <v>0.26265327872703231</v>
      </c>
      <c r="GX48" s="294"/>
      <c r="GY48" s="293">
        <v>0.13659356828547664</v>
      </c>
      <c r="GZ48" s="293">
        <v>0</v>
      </c>
      <c r="HA48" s="293">
        <v>-8.6013555573038469E-3</v>
      </c>
      <c r="HB48" s="293">
        <v>-7.2406216828698284E-3</v>
      </c>
      <c r="HC48" s="295">
        <v>0.25519915378871849</v>
      </c>
    </row>
    <row r="49" spans="1:211" s="381" customFormat="1" ht="12.75" customHeight="1">
      <c r="A49" s="392"/>
      <c r="B49" s="328" t="s">
        <v>208</v>
      </c>
      <c r="C49" s="297" t="s">
        <v>159</v>
      </c>
      <c r="D49" s="299" t="s">
        <v>53</v>
      </c>
      <c r="E49" s="328" t="s">
        <v>207</v>
      </c>
      <c r="F49" s="382">
        <v>400</v>
      </c>
      <c r="G49" s="301"/>
      <c r="H49" s="301"/>
      <c r="I49" s="258"/>
      <c r="J49" s="258"/>
      <c r="K49" s="302"/>
      <c r="L49" s="261"/>
      <c r="M49" s="261"/>
      <c r="N49" s="260"/>
      <c r="O49" s="261"/>
      <c r="P49" s="261">
        <v>9.331999999999999</v>
      </c>
      <c r="Q49" s="261">
        <v>73.105000000000004</v>
      </c>
      <c r="R49" s="303">
        <v>65.196999999999989</v>
      </c>
      <c r="S49" s="261">
        <f t="shared" si="3"/>
        <v>147.63399999999999</v>
      </c>
      <c r="T49" s="388">
        <v>0</v>
      </c>
      <c r="U49" s="267">
        <v>0</v>
      </c>
      <c r="V49" s="267">
        <v>0</v>
      </c>
      <c r="W49" s="267">
        <v>0</v>
      </c>
      <c r="X49" s="267">
        <v>25</v>
      </c>
      <c r="Y49" s="267">
        <v>0</v>
      </c>
      <c r="Z49" s="267">
        <v>25</v>
      </c>
      <c r="AA49" s="267">
        <v>0</v>
      </c>
      <c r="AB49" s="267">
        <v>25</v>
      </c>
      <c r="AC49" s="267">
        <v>25</v>
      </c>
      <c r="AD49" s="267">
        <v>25</v>
      </c>
      <c r="AE49" s="395">
        <v>25</v>
      </c>
      <c r="AF49" s="209"/>
      <c r="AG49" s="388">
        <v>0</v>
      </c>
      <c r="AH49" s="267">
        <v>0</v>
      </c>
      <c r="AI49" s="259">
        <v>0</v>
      </c>
      <c r="AJ49" s="259">
        <v>0</v>
      </c>
      <c r="AK49" s="259">
        <v>0</v>
      </c>
      <c r="AL49" s="259">
        <v>0</v>
      </c>
      <c r="AM49" s="259">
        <v>0</v>
      </c>
      <c r="AN49" s="259">
        <v>0</v>
      </c>
      <c r="AO49" s="259">
        <v>0</v>
      </c>
      <c r="AP49" s="259">
        <v>4</v>
      </c>
      <c r="AQ49" s="259">
        <v>50</v>
      </c>
      <c r="AR49" s="268">
        <v>39.123999999999995</v>
      </c>
      <c r="AS49" s="269">
        <v>9.8688776679158961E-3</v>
      </c>
      <c r="AT49" s="305">
        <v>0</v>
      </c>
      <c r="AU49" s="336">
        <v>0</v>
      </c>
      <c r="AV49" s="336">
        <v>0</v>
      </c>
      <c r="AW49" s="336">
        <v>0</v>
      </c>
      <c r="AX49" s="336">
        <v>0</v>
      </c>
      <c r="AY49" s="259">
        <v>0</v>
      </c>
      <c r="AZ49" s="259">
        <v>0</v>
      </c>
      <c r="BA49" s="259">
        <v>0</v>
      </c>
      <c r="BB49" s="259">
        <v>0</v>
      </c>
      <c r="BC49" s="259">
        <v>77668.341191598825</v>
      </c>
      <c r="BD49" s="259">
        <v>97483.01812461525</v>
      </c>
      <c r="BE49" s="268">
        <v>93618.400233139546</v>
      </c>
      <c r="BF49" s="209"/>
      <c r="BG49" s="305">
        <v>0</v>
      </c>
      <c r="BH49" s="336">
        <v>0</v>
      </c>
      <c r="BI49" s="336">
        <v>0</v>
      </c>
      <c r="BJ49" s="336">
        <v>0</v>
      </c>
      <c r="BK49" s="336">
        <v>72724.506317775405</v>
      </c>
      <c r="BL49" s="336">
        <v>0</v>
      </c>
      <c r="BM49" s="336">
        <v>72724.506317775405</v>
      </c>
      <c r="BN49" s="336">
        <v>0</v>
      </c>
      <c r="BO49" s="336">
        <v>72724.506317775405</v>
      </c>
      <c r="BP49" s="336">
        <v>72724.506317775405</v>
      </c>
      <c r="BQ49" s="336">
        <v>72724.506317775405</v>
      </c>
      <c r="BR49" s="268">
        <v>72724.506317775405</v>
      </c>
      <c r="BS49" s="209"/>
      <c r="BT49" s="389">
        <v>0</v>
      </c>
      <c r="BU49" s="307">
        <v>0</v>
      </c>
      <c r="BV49" s="307">
        <v>0</v>
      </c>
      <c r="BW49" s="307">
        <v>0</v>
      </c>
      <c r="BX49" s="307">
        <v>0</v>
      </c>
      <c r="BY49" s="307">
        <v>0</v>
      </c>
      <c r="BZ49" s="307">
        <v>0</v>
      </c>
      <c r="CA49" s="307">
        <v>0</v>
      </c>
      <c r="CB49" s="307">
        <v>0</v>
      </c>
      <c r="CC49" s="307">
        <v>82973.926555693877</v>
      </c>
      <c r="CD49" s="307">
        <v>86928.848588985697</v>
      </c>
      <c r="CE49" s="308">
        <v>95069.025036265841</v>
      </c>
      <c r="CF49" s="212"/>
      <c r="CG49" s="312"/>
      <c r="CH49" s="329"/>
      <c r="CI49" s="274"/>
      <c r="CJ49" s="274"/>
      <c r="CK49" s="274"/>
      <c r="CL49" s="309"/>
      <c r="CM49" s="276"/>
      <c r="CN49" s="276"/>
      <c r="CO49" s="276"/>
      <c r="CP49" s="276">
        <v>7.2480096000000008E-2</v>
      </c>
      <c r="CQ49" s="276">
        <v>0.71264960399999977</v>
      </c>
      <c r="CR49" s="313">
        <v>0.61036388399999975</v>
      </c>
      <c r="CS49" s="390"/>
      <c r="CT49" s="273">
        <v>0</v>
      </c>
      <c r="CU49" s="278">
        <v>0</v>
      </c>
      <c r="CV49" s="278">
        <v>0</v>
      </c>
      <c r="CW49" s="278">
        <v>0</v>
      </c>
      <c r="CX49" s="278">
        <v>0.18181126579443851</v>
      </c>
      <c r="CY49" s="278">
        <v>0</v>
      </c>
      <c r="CZ49" s="278">
        <v>0.18181126579443851</v>
      </c>
      <c r="DA49" s="278">
        <v>0</v>
      </c>
      <c r="DB49" s="278">
        <v>0.18181126579443851</v>
      </c>
      <c r="DC49" s="278">
        <v>0.18181126579443851</v>
      </c>
      <c r="DD49" s="278">
        <v>0.18181126579443851</v>
      </c>
      <c r="DE49" s="278">
        <v>0.18181126579443851</v>
      </c>
      <c r="DF49" s="390">
        <f t="shared" si="4"/>
        <v>0.54543379738331554</v>
      </c>
      <c r="DG49" s="391">
        <v>0</v>
      </c>
      <c r="DH49" s="281">
        <v>0</v>
      </c>
      <c r="DI49" s="278">
        <v>0</v>
      </c>
      <c r="DJ49" s="278">
        <v>0</v>
      </c>
      <c r="DK49" s="278">
        <v>0</v>
      </c>
      <c r="DL49" s="278">
        <v>0</v>
      </c>
      <c r="DM49" s="278">
        <v>0</v>
      </c>
      <c r="DN49" s="278">
        <v>0</v>
      </c>
      <c r="DO49" s="278">
        <v>0</v>
      </c>
      <c r="DP49" s="278">
        <v>3.3189570622277551E-2</v>
      </c>
      <c r="DQ49" s="278">
        <v>0.43464424294492854</v>
      </c>
      <c r="DR49" s="282">
        <v>0.37194805355188643</v>
      </c>
      <c r="DS49" s="226"/>
      <c r="DT49" s="273">
        <v>0</v>
      </c>
      <c r="DU49" s="278">
        <v>0</v>
      </c>
      <c r="DV49" s="278">
        <v>0</v>
      </c>
      <c r="DW49" s="278">
        <v>0</v>
      </c>
      <c r="DX49" s="275">
        <v>0</v>
      </c>
      <c r="DY49" s="281">
        <v>0</v>
      </c>
      <c r="DZ49" s="281">
        <v>0</v>
      </c>
      <c r="EA49" s="281">
        <v>0</v>
      </c>
      <c r="EB49" s="281">
        <v>0</v>
      </c>
      <c r="EC49" s="281">
        <v>4.6135867042520146E-3</v>
      </c>
      <c r="ED49" s="281">
        <v>0.1809971005639027</v>
      </c>
      <c r="EE49" s="281">
        <v>0.13622192015999957</v>
      </c>
      <c r="EF49" s="212"/>
      <c r="EG49" s="273">
        <v>0</v>
      </c>
      <c r="EH49" s="278">
        <v>0</v>
      </c>
      <c r="EI49" s="278">
        <v>0</v>
      </c>
      <c r="EJ49" s="278">
        <v>0</v>
      </c>
      <c r="EK49" s="275">
        <v>-0.18181126579443851</v>
      </c>
      <c r="EL49" s="281">
        <v>0</v>
      </c>
      <c r="EM49" s="275">
        <v>-0.18181126579443851</v>
      </c>
      <c r="EN49" s="275">
        <v>0</v>
      </c>
      <c r="EO49" s="275">
        <v>-0.18181126579443851</v>
      </c>
      <c r="EP49" s="284">
        <v>-0.11394475649869051</v>
      </c>
      <c r="EQ49" s="284">
        <v>0.34984123764165864</v>
      </c>
      <c r="ER49" s="285">
        <v>0.29233069804556172</v>
      </c>
      <c r="ES49" s="283"/>
      <c r="ET49" s="273">
        <v>0</v>
      </c>
      <c r="EU49" s="278">
        <v>0</v>
      </c>
      <c r="EV49" s="278">
        <v>0</v>
      </c>
      <c r="EW49" s="278">
        <v>0</v>
      </c>
      <c r="EX49" s="275">
        <v>0</v>
      </c>
      <c r="EY49" s="281">
        <v>0</v>
      </c>
      <c r="EZ49" s="281">
        <v>0</v>
      </c>
      <c r="FA49" s="281">
        <v>0</v>
      </c>
      <c r="FB49" s="281">
        <v>0</v>
      </c>
      <c r="FC49" s="281">
        <v>-4.9511722617735015E-3</v>
      </c>
      <c r="FD49" s="281">
        <v>7.7156256390219863E-2</v>
      </c>
      <c r="FE49" s="281">
        <v>-9.4576385289425035E-3</v>
      </c>
      <c r="FF49" s="212"/>
      <c r="FG49" s="273">
        <v>0</v>
      </c>
      <c r="FH49" s="278">
        <v>0</v>
      </c>
      <c r="FI49" s="278">
        <v>0</v>
      </c>
      <c r="FJ49" s="278">
        <v>0</v>
      </c>
      <c r="FK49" s="275">
        <v>0</v>
      </c>
      <c r="FL49" s="281">
        <v>0</v>
      </c>
      <c r="FM49" s="275">
        <v>0</v>
      </c>
      <c r="FN49" s="275">
        <v>0</v>
      </c>
      <c r="FO49" s="275">
        <v>0</v>
      </c>
      <c r="FP49" s="284">
        <v>4.4241697639495967E-2</v>
      </c>
      <c r="FQ49" s="284">
        <v>0.20084910466485148</v>
      </c>
      <c r="FR49" s="285">
        <v>0.24787346897705589</v>
      </c>
      <c r="FS49" s="283"/>
      <c r="FT49" s="286">
        <v>147.63399999999999</v>
      </c>
      <c r="FU49" s="260">
        <v>150</v>
      </c>
      <c r="FV49" s="260">
        <v>93.123999999999995</v>
      </c>
      <c r="FW49" s="260">
        <v>-2.3660000000000139</v>
      </c>
      <c r="FX49" s="287">
        <v>-1.5773333333333427E-2</v>
      </c>
      <c r="FY49" s="327">
        <v>1.3954935839999996</v>
      </c>
      <c r="FZ49" s="275">
        <v>1.0908675947666311</v>
      </c>
      <c r="GA49" s="275">
        <v>0.83978186711909253</v>
      </c>
      <c r="GB49" s="275">
        <v>0.30462598923336848</v>
      </c>
      <c r="GC49" s="275">
        <v>-1.7206618194785694E-2</v>
      </c>
      <c r="GD49" s="275">
        <v>0.32183260742815428</v>
      </c>
      <c r="GE49" s="275">
        <v>0.4929642712814033</v>
      </c>
      <c r="GF49" s="277">
        <v>6.2747445599503862E-2</v>
      </c>
      <c r="GG49" s="214">
        <v>0</v>
      </c>
      <c r="GH49" s="286">
        <v>65.196999999999989</v>
      </c>
      <c r="GI49" s="260">
        <v>25</v>
      </c>
      <c r="GJ49" s="260">
        <v>39.123999999999995</v>
      </c>
      <c r="GK49" s="260">
        <v>40.196999999999989</v>
      </c>
      <c r="GL49" s="291">
        <v>1.6078799999999995</v>
      </c>
      <c r="GM49" s="275">
        <v>0.61036388399999975</v>
      </c>
      <c r="GN49" s="275">
        <v>0.18181126579443851</v>
      </c>
      <c r="GO49" s="275">
        <v>0.37194805355188643</v>
      </c>
      <c r="GP49" s="275">
        <v>0.42855261820556123</v>
      </c>
      <c r="GQ49" s="275">
        <v>0.29233069804556172</v>
      </c>
      <c r="GR49" s="277">
        <v>0.13622192015999957</v>
      </c>
      <c r="GS49" s="275">
        <v>0.24787346897705589</v>
      </c>
      <c r="GT49" s="284">
        <v>-9.4576385289425035E-3</v>
      </c>
      <c r="GU49" s="292">
        <v>0.23529146587086022</v>
      </c>
      <c r="GV49" s="214">
        <v>0</v>
      </c>
      <c r="GW49" s="293">
        <v>0.38088419606330348</v>
      </c>
      <c r="GX49" s="294"/>
      <c r="GY49" s="293"/>
      <c r="GZ49" s="293"/>
      <c r="HA49" s="293"/>
      <c r="HB49" s="293"/>
      <c r="HC49" s="295"/>
    </row>
    <row r="50" spans="1:211" s="381" customFormat="1">
      <c r="A50" s="392"/>
      <c r="B50" s="328" t="s">
        <v>209</v>
      </c>
      <c r="C50" s="297" t="s">
        <v>135</v>
      </c>
      <c r="D50" s="299" t="s">
        <v>210</v>
      </c>
      <c r="E50" s="299" t="s">
        <v>211</v>
      </c>
      <c r="F50" s="382" t="s">
        <v>212</v>
      </c>
      <c r="G50" s="301">
        <v>0</v>
      </c>
      <c r="H50" s="301">
        <v>0</v>
      </c>
      <c r="I50" s="258">
        <v>0</v>
      </c>
      <c r="J50" s="258">
        <v>0</v>
      </c>
      <c r="K50" s="302">
        <v>0</v>
      </c>
      <c r="L50" s="261">
        <v>0</v>
      </c>
      <c r="M50" s="261">
        <v>0</v>
      </c>
      <c r="N50" s="260">
        <v>0</v>
      </c>
      <c r="O50" s="261">
        <v>0</v>
      </c>
      <c r="P50" s="261">
        <v>0</v>
      </c>
      <c r="Q50" s="261">
        <v>0</v>
      </c>
      <c r="R50" s="303">
        <v>0</v>
      </c>
      <c r="S50" s="261">
        <f t="shared" si="3"/>
        <v>0</v>
      </c>
      <c r="T50" s="388">
        <v>0</v>
      </c>
      <c r="U50" s="267">
        <v>0</v>
      </c>
      <c r="V50" s="267">
        <v>0</v>
      </c>
      <c r="W50" s="267">
        <v>0</v>
      </c>
      <c r="X50" s="267">
        <v>0</v>
      </c>
      <c r="Y50" s="267">
        <v>0</v>
      </c>
      <c r="Z50" s="267">
        <v>0</v>
      </c>
      <c r="AA50" s="267">
        <v>0</v>
      </c>
      <c r="AB50" s="267">
        <v>0</v>
      </c>
      <c r="AC50" s="267">
        <v>0</v>
      </c>
      <c r="AD50" s="267">
        <v>0</v>
      </c>
      <c r="AE50" s="395">
        <v>0</v>
      </c>
      <c r="AF50" s="209"/>
      <c r="AG50" s="388">
        <v>0</v>
      </c>
      <c r="AH50" s="267">
        <v>0</v>
      </c>
      <c r="AI50" s="259">
        <v>0</v>
      </c>
      <c r="AJ50" s="259">
        <v>0</v>
      </c>
      <c r="AK50" s="259">
        <v>0</v>
      </c>
      <c r="AL50" s="259">
        <v>0</v>
      </c>
      <c r="AM50" s="259">
        <v>0</v>
      </c>
      <c r="AN50" s="259">
        <v>0</v>
      </c>
      <c r="AO50" s="259">
        <v>0</v>
      </c>
      <c r="AP50" s="259">
        <v>0</v>
      </c>
      <c r="AQ50" s="259">
        <v>0</v>
      </c>
      <c r="AR50" s="268">
        <v>0</v>
      </c>
      <c r="AS50" s="269">
        <v>0</v>
      </c>
      <c r="AT50" s="305">
        <v>0</v>
      </c>
      <c r="AU50" s="336">
        <v>0</v>
      </c>
      <c r="AV50" s="336">
        <v>0</v>
      </c>
      <c r="AW50" s="336">
        <v>0</v>
      </c>
      <c r="AX50" s="336">
        <v>0</v>
      </c>
      <c r="AY50" s="336">
        <v>0</v>
      </c>
      <c r="AZ50" s="259">
        <v>0</v>
      </c>
      <c r="BA50" s="259">
        <v>0</v>
      </c>
      <c r="BB50" s="259">
        <v>0</v>
      </c>
      <c r="BC50" s="259">
        <v>0</v>
      </c>
      <c r="BD50" s="259">
        <v>0</v>
      </c>
      <c r="BE50" s="268">
        <v>0</v>
      </c>
      <c r="BF50" s="209"/>
      <c r="BG50" s="305">
        <v>0</v>
      </c>
      <c r="BH50" s="336">
        <v>0</v>
      </c>
      <c r="BI50" s="336">
        <v>0</v>
      </c>
      <c r="BJ50" s="336">
        <v>0</v>
      </c>
      <c r="BK50" s="336">
        <v>0</v>
      </c>
      <c r="BL50" s="336">
        <v>0</v>
      </c>
      <c r="BM50" s="259">
        <v>0</v>
      </c>
      <c r="BN50" s="259">
        <v>0</v>
      </c>
      <c r="BO50" s="259">
        <v>0</v>
      </c>
      <c r="BP50" s="259">
        <v>0</v>
      </c>
      <c r="BQ50" s="259">
        <v>0</v>
      </c>
      <c r="BR50" s="268">
        <v>0</v>
      </c>
      <c r="BS50" s="209"/>
      <c r="BT50" s="389">
        <v>0</v>
      </c>
      <c r="BU50" s="307">
        <v>0</v>
      </c>
      <c r="BV50" s="307">
        <v>0</v>
      </c>
      <c r="BW50" s="307">
        <v>0</v>
      </c>
      <c r="BX50" s="307">
        <v>0</v>
      </c>
      <c r="BY50" s="307">
        <v>0</v>
      </c>
      <c r="BZ50" s="307">
        <v>0</v>
      </c>
      <c r="CA50" s="307">
        <v>0</v>
      </c>
      <c r="CB50" s="307">
        <v>0</v>
      </c>
      <c r="CC50" s="307">
        <v>0</v>
      </c>
      <c r="CD50" s="307">
        <v>0</v>
      </c>
      <c r="CE50" s="308">
        <v>0</v>
      </c>
      <c r="CF50" s="212"/>
      <c r="CG50" s="312">
        <v>0</v>
      </c>
      <c r="CH50" s="274">
        <v>0</v>
      </c>
      <c r="CI50" s="274">
        <v>0</v>
      </c>
      <c r="CJ50" s="274">
        <v>0</v>
      </c>
      <c r="CK50" s="274">
        <v>0</v>
      </c>
      <c r="CL50" s="309">
        <v>0</v>
      </c>
      <c r="CM50" s="276">
        <v>0</v>
      </c>
      <c r="CN50" s="276">
        <v>0</v>
      </c>
      <c r="CO50" s="276">
        <v>0</v>
      </c>
      <c r="CP50" s="276">
        <v>0</v>
      </c>
      <c r="CQ50" s="276">
        <v>0</v>
      </c>
      <c r="CR50" s="313">
        <v>0</v>
      </c>
      <c r="CS50" s="390"/>
      <c r="CT50" s="273">
        <v>0</v>
      </c>
      <c r="CU50" s="278">
        <v>0</v>
      </c>
      <c r="CV50" s="278">
        <v>0</v>
      </c>
      <c r="CW50" s="278">
        <v>0</v>
      </c>
      <c r="CX50" s="278">
        <v>0</v>
      </c>
      <c r="CY50" s="278">
        <v>0</v>
      </c>
      <c r="CZ50" s="278">
        <v>0</v>
      </c>
      <c r="DA50" s="278">
        <v>0</v>
      </c>
      <c r="DB50" s="278">
        <v>0</v>
      </c>
      <c r="DC50" s="278">
        <v>0</v>
      </c>
      <c r="DD50" s="278">
        <v>0</v>
      </c>
      <c r="DE50" s="278">
        <v>0</v>
      </c>
      <c r="DF50" s="390">
        <f t="shared" si="4"/>
        <v>0</v>
      </c>
      <c r="DG50" s="391">
        <v>0</v>
      </c>
      <c r="DH50" s="281">
        <v>0</v>
      </c>
      <c r="DI50" s="278">
        <v>0</v>
      </c>
      <c r="DJ50" s="278">
        <v>0</v>
      </c>
      <c r="DK50" s="278">
        <v>0</v>
      </c>
      <c r="DL50" s="278">
        <v>0</v>
      </c>
      <c r="DM50" s="278">
        <v>0</v>
      </c>
      <c r="DN50" s="278">
        <v>0</v>
      </c>
      <c r="DO50" s="278">
        <v>0</v>
      </c>
      <c r="DP50" s="278">
        <v>0</v>
      </c>
      <c r="DQ50" s="278">
        <v>0</v>
      </c>
      <c r="DR50" s="282">
        <v>0</v>
      </c>
      <c r="DS50" s="226"/>
      <c r="DT50" s="273">
        <v>0</v>
      </c>
      <c r="DU50" s="278">
        <v>0</v>
      </c>
      <c r="DV50" s="278">
        <v>0</v>
      </c>
      <c r="DW50" s="278">
        <v>0</v>
      </c>
      <c r="DX50" s="275">
        <v>0</v>
      </c>
      <c r="DY50" s="281">
        <v>0</v>
      </c>
      <c r="DZ50" s="281">
        <v>0</v>
      </c>
      <c r="EA50" s="281">
        <v>0</v>
      </c>
      <c r="EB50" s="275">
        <v>0</v>
      </c>
      <c r="EC50" s="275">
        <v>0</v>
      </c>
      <c r="ED50" s="275">
        <v>0</v>
      </c>
      <c r="EE50" s="277">
        <v>0</v>
      </c>
      <c r="EF50" s="212"/>
      <c r="EG50" s="273">
        <v>0</v>
      </c>
      <c r="EH50" s="278">
        <v>0</v>
      </c>
      <c r="EI50" s="278">
        <v>0</v>
      </c>
      <c r="EJ50" s="278">
        <v>0</v>
      </c>
      <c r="EK50" s="275">
        <v>0</v>
      </c>
      <c r="EL50" s="281">
        <v>0</v>
      </c>
      <c r="EM50" s="281">
        <v>0</v>
      </c>
      <c r="EN50" s="281">
        <v>0</v>
      </c>
      <c r="EO50" s="275">
        <v>0</v>
      </c>
      <c r="EP50" s="275">
        <v>0</v>
      </c>
      <c r="EQ50" s="275">
        <v>0</v>
      </c>
      <c r="ER50" s="277">
        <v>0</v>
      </c>
      <c r="ES50" s="283"/>
      <c r="ET50" s="273">
        <v>0</v>
      </c>
      <c r="EU50" s="278">
        <v>0</v>
      </c>
      <c r="EV50" s="278">
        <v>0</v>
      </c>
      <c r="EW50" s="278">
        <v>0</v>
      </c>
      <c r="EX50" s="275">
        <v>0</v>
      </c>
      <c r="EY50" s="281">
        <v>0</v>
      </c>
      <c r="EZ50" s="281">
        <v>0</v>
      </c>
      <c r="FA50" s="281">
        <v>0</v>
      </c>
      <c r="FB50" s="275">
        <v>0</v>
      </c>
      <c r="FC50" s="275">
        <v>0</v>
      </c>
      <c r="FD50" s="275">
        <v>0</v>
      </c>
      <c r="FE50" s="277">
        <v>0</v>
      </c>
      <c r="FF50" s="212"/>
      <c r="FG50" s="273">
        <v>0</v>
      </c>
      <c r="FH50" s="278">
        <v>0</v>
      </c>
      <c r="FI50" s="278">
        <v>0</v>
      </c>
      <c r="FJ50" s="278">
        <v>0</v>
      </c>
      <c r="FK50" s="275">
        <v>0</v>
      </c>
      <c r="FL50" s="281">
        <v>0</v>
      </c>
      <c r="FM50" s="281">
        <v>0</v>
      </c>
      <c r="FN50" s="281">
        <v>0</v>
      </c>
      <c r="FO50" s="275">
        <v>0</v>
      </c>
      <c r="FP50" s="275">
        <v>0</v>
      </c>
      <c r="FQ50" s="275">
        <v>0</v>
      </c>
      <c r="FR50" s="277">
        <v>0</v>
      </c>
      <c r="FS50" s="283"/>
      <c r="FT50" s="286">
        <v>0</v>
      </c>
      <c r="FU50" s="260">
        <v>0</v>
      </c>
      <c r="FV50" s="260">
        <v>0</v>
      </c>
      <c r="FW50" s="260">
        <v>0</v>
      </c>
      <c r="FX50" s="287">
        <v>0</v>
      </c>
      <c r="FY50" s="327">
        <v>0</v>
      </c>
      <c r="FZ50" s="275">
        <v>0</v>
      </c>
      <c r="GA50" s="275">
        <v>0</v>
      </c>
      <c r="GB50" s="275">
        <v>0</v>
      </c>
      <c r="GC50" s="275">
        <v>0</v>
      </c>
      <c r="GD50" s="275">
        <v>0</v>
      </c>
      <c r="GE50" s="275">
        <v>0</v>
      </c>
      <c r="GF50" s="277">
        <v>0</v>
      </c>
      <c r="GG50" s="214">
        <v>0</v>
      </c>
      <c r="GH50" s="286">
        <v>0</v>
      </c>
      <c r="GI50" s="260">
        <v>0</v>
      </c>
      <c r="GJ50" s="260">
        <v>0</v>
      </c>
      <c r="GK50" s="260">
        <v>0</v>
      </c>
      <c r="GL50" s="291">
        <v>0</v>
      </c>
      <c r="GM50" s="275">
        <v>0</v>
      </c>
      <c r="GN50" s="275">
        <v>0</v>
      </c>
      <c r="GO50" s="275">
        <v>0</v>
      </c>
      <c r="GP50" s="275">
        <v>0</v>
      </c>
      <c r="GQ50" s="275">
        <v>0</v>
      </c>
      <c r="GR50" s="277">
        <v>0</v>
      </c>
      <c r="GS50" s="275">
        <v>0</v>
      </c>
      <c r="GT50" s="284">
        <v>0</v>
      </c>
      <c r="GU50" s="292">
        <v>0</v>
      </c>
      <c r="GV50" s="214">
        <v>0</v>
      </c>
      <c r="GW50" s="293">
        <v>0</v>
      </c>
      <c r="GX50" s="294"/>
      <c r="GY50" s="293">
        <v>0</v>
      </c>
      <c r="GZ50" s="293">
        <v>0</v>
      </c>
      <c r="HA50" s="293">
        <v>0</v>
      </c>
      <c r="HB50" s="293">
        <v>0</v>
      </c>
      <c r="HC50" s="295">
        <v>0</v>
      </c>
    </row>
    <row r="51" spans="1:211" s="381" customFormat="1" ht="12.75" customHeight="1">
      <c r="A51" s="392"/>
      <c r="B51" s="328" t="s">
        <v>213</v>
      </c>
      <c r="C51" s="297" t="s">
        <v>135</v>
      </c>
      <c r="D51" s="299" t="s">
        <v>210</v>
      </c>
      <c r="E51" s="299" t="s">
        <v>211</v>
      </c>
      <c r="F51" s="382" t="s">
        <v>142</v>
      </c>
      <c r="G51" s="301">
        <v>0</v>
      </c>
      <c r="H51" s="301">
        <v>0</v>
      </c>
      <c r="I51" s="258">
        <v>5.27</v>
      </c>
      <c r="J51" s="258">
        <v>0</v>
      </c>
      <c r="K51" s="302">
        <v>12.96</v>
      </c>
      <c r="L51" s="261">
        <v>6.48</v>
      </c>
      <c r="M51" s="261">
        <v>0</v>
      </c>
      <c r="N51" s="260">
        <v>0</v>
      </c>
      <c r="O51" s="261">
        <v>0</v>
      </c>
      <c r="P51" s="261">
        <v>0</v>
      </c>
      <c r="Q51" s="261">
        <v>5.8320000000000007</v>
      </c>
      <c r="R51" s="303">
        <v>0</v>
      </c>
      <c r="S51" s="261">
        <f t="shared" si="3"/>
        <v>5.8320000000000007</v>
      </c>
      <c r="T51" s="388">
        <v>5.4</v>
      </c>
      <c r="U51" s="267">
        <v>0</v>
      </c>
      <c r="V51" s="267">
        <v>0</v>
      </c>
      <c r="W51" s="267">
        <v>5.4</v>
      </c>
      <c r="X51" s="267">
        <v>0</v>
      </c>
      <c r="Y51" s="267">
        <v>0</v>
      </c>
      <c r="Z51" s="267">
        <v>5.4</v>
      </c>
      <c r="AA51" s="267">
        <v>0</v>
      </c>
      <c r="AB51" s="267">
        <v>0</v>
      </c>
      <c r="AC51" s="267">
        <v>5.4</v>
      </c>
      <c r="AD51" s="267">
        <v>0</v>
      </c>
      <c r="AE51" s="395">
        <v>0</v>
      </c>
      <c r="AF51" s="209"/>
      <c r="AG51" s="388">
        <v>0</v>
      </c>
      <c r="AH51" s="267">
        <v>0</v>
      </c>
      <c r="AI51" s="259">
        <v>0</v>
      </c>
      <c r="AJ51" s="259">
        <v>0</v>
      </c>
      <c r="AK51" s="259">
        <v>13</v>
      </c>
      <c r="AL51" s="259">
        <v>6.5609999999999999</v>
      </c>
      <c r="AM51" s="259">
        <v>0</v>
      </c>
      <c r="AN51" s="259">
        <v>0</v>
      </c>
      <c r="AO51" s="259">
        <v>0</v>
      </c>
      <c r="AP51" s="259">
        <v>0</v>
      </c>
      <c r="AQ51" s="259">
        <v>15</v>
      </c>
      <c r="AR51" s="268">
        <v>9.2303999999999995</v>
      </c>
      <c r="AS51" s="269">
        <v>2.328332696706137E-3</v>
      </c>
      <c r="AT51" s="305">
        <v>0</v>
      </c>
      <c r="AU51" s="336">
        <v>0</v>
      </c>
      <c r="AV51" s="336">
        <v>162145.63946869073</v>
      </c>
      <c r="AW51" s="336">
        <v>0</v>
      </c>
      <c r="AX51" s="336">
        <v>146266.66666666666</v>
      </c>
      <c r="AY51" s="259">
        <v>146266.66666666666</v>
      </c>
      <c r="AZ51" s="259">
        <v>0</v>
      </c>
      <c r="BA51" s="259">
        <v>0</v>
      </c>
      <c r="BB51" s="259">
        <v>0</v>
      </c>
      <c r="BC51" s="259">
        <v>0</v>
      </c>
      <c r="BD51" s="259">
        <v>143066.66666666666</v>
      </c>
      <c r="BE51" s="268">
        <v>0</v>
      </c>
      <c r="BF51" s="209"/>
      <c r="BG51" s="305">
        <v>145549.73783349464</v>
      </c>
      <c r="BH51" s="336">
        <v>0</v>
      </c>
      <c r="BI51" s="336">
        <v>162145.63946869073</v>
      </c>
      <c r="BJ51" s="336">
        <v>145549.73783349464</v>
      </c>
      <c r="BK51" s="336">
        <v>146266.66666666666</v>
      </c>
      <c r="BL51" s="336">
        <v>146266.66666666666</v>
      </c>
      <c r="BM51" s="336">
        <v>145549.73783349464</v>
      </c>
      <c r="BN51" s="336">
        <v>0</v>
      </c>
      <c r="BO51" s="336">
        <v>0</v>
      </c>
      <c r="BP51" s="336">
        <v>145549.73783349464</v>
      </c>
      <c r="BQ51" s="336">
        <v>143066.66666666666</v>
      </c>
      <c r="BR51" s="268">
        <v>0</v>
      </c>
      <c r="BS51" s="209"/>
      <c r="BT51" s="389">
        <v>0</v>
      </c>
      <c r="BU51" s="307">
        <v>0</v>
      </c>
      <c r="BV51" s="307">
        <v>0</v>
      </c>
      <c r="BW51" s="307">
        <v>0</v>
      </c>
      <c r="BX51" s="307">
        <v>162193.38185375865</v>
      </c>
      <c r="BY51" s="307">
        <v>146245.0121823292</v>
      </c>
      <c r="BZ51" s="307">
        <v>0</v>
      </c>
      <c r="CA51" s="307">
        <v>0</v>
      </c>
      <c r="CB51" s="307">
        <v>0</v>
      </c>
      <c r="CC51" s="307">
        <v>0</v>
      </c>
      <c r="CD51" s="307">
        <v>146245.0121823292</v>
      </c>
      <c r="CE51" s="308">
        <v>146245.0121823292</v>
      </c>
      <c r="CF51" s="212"/>
      <c r="CG51" s="273">
        <v>0</v>
      </c>
      <c r="CH51" s="274">
        <v>0</v>
      </c>
      <c r="CI51" s="274">
        <v>8.5450752000000005E-2</v>
      </c>
      <c r="CJ51" s="274">
        <v>0</v>
      </c>
      <c r="CK51" s="274">
        <v>0.1895616</v>
      </c>
      <c r="CL51" s="309">
        <v>9.4780799999999998E-2</v>
      </c>
      <c r="CM51" s="276">
        <v>0</v>
      </c>
      <c r="CN51" s="276">
        <v>0</v>
      </c>
      <c r="CO51" s="276">
        <v>0</v>
      </c>
      <c r="CP51" s="276">
        <v>0</v>
      </c>
      <c r="CQ51" s="276">
        <v>8.3436480000000007E-2</v>
      </c>
      <c r="CR51" s="313">
        <v>0</v>
      </c>
      <c r="CS51" s="390"/>
      <c r="CT51" s="273">
        <v>7.859685843008711E-2</v>
      </c>
      <c r="CU51" s="278">
        <v>0</v>
      </c>
      <c r="CV51" s="278">
        <v>0</v>
      </c>
      <c r="CW51" s="278">
        <v>7.859685843008711E-2</v>
      </c>
      <c r="CX51" s="278">
        <v>0</v>
      </c>
      <c r="CY51" s="278">
        <v>0</v>
      </c>
      <c r="CZ51" s="278">
        <v>7.859685843008711E-2</v>
      </c>
      <c r="DA51" s="278">
        <v>0</v>
      </c>
      <c r="DB51" s="278">
        <v>0</v>
      </c>
      <c r="DC51" s="278">
        <v>7.859685843008711E-2</v>
      </c>
      <c r="DD51" s="278">
        <v>0</v>
      </c>
      <c r="DE51" s="278">
        <v>0</v>
      </c>
      <c r="DF51" s="390">
        <f t="shared" si="4"/>
        <v>7.859685843008711E-2</v>
      </c>
      <c r="DG51" s="391">
        <v>0</v>
      </c>
      <c r="DH51" s="281">
        <v>0</v>
      </c>
      <c r="DI51" s="278">
        <v>0</v>
      </c>
      <c r="DJ51" s="278">
        <v>0</v>
      </c>
      <c r="DK51" s="278">
        <v>0.21085139640988623</v>
      </c>
      <c r="DL51" s="278">
        <v>9.5951352492826186E-2</v>
      </c>
      <c r="DM51" s="278">
        <v>0</v>
      </c>
      <c r="DN51" s="278">
        <v>0</v>
      </c>
      <c r="DO51" s="278">
        <v>0</v>
      </c>
      <c r="DP51" s="278">
        <v>0</v>
      </c>
      <c r="DQ51" s="278">
        <v>0.21936751827349379</v>
      </c>
      <c r="DR51" s="282">
        <v>0.13498999604477716</v>
      </c>
      <c r="DS51" s="226"/>
      <c r="DT51" s="273">
        <v>0</v>
      </c>
      <c r="DU51" s="278">
        <v>0</v>
      </c>
      <c r="DV51" s="278">
        <v>0</v>
      </c>
      <c r="DW51" s="278">
        <v>0</v>
      </c>
      <c r="DX51" s="275">
        <v>0</v>
      </c>
      <c r="DY51" s="281">
        <v>0</v>
      </c>
      <c r="DZ51" s="281">
        <v>0</v>
      </c>
      <c r="EA51" s="281">
        <v>0</v>
      </c>
      <c r="EB51" s="275">
        <v>0</v>
      </c>
      <c r="EC51" s="275">
        <v>0</v>
      </c>
      <c r="ED51" s="275">
        <v>0</v>
      </c>
      <c r="EE51" s="277">
        <v>0</v>
      </c>
      <c r="EF51" s="212"/>
      <c r="EG51" s="273">
        <v>-7.859685843008711E-2</v>
      </c>
      <c r="EH51" s="278">
        <v>0</v>
      </c>
      <c r="EI51" s="278">
        <v>8.5450752000000005E-2</v>
      </c>
      <c r="EJ51" s="278">
        <v>-7.859685843008711E-2</v>
      </c>
      <c r="EK51" s="275">
        <v>0.1895616</v>
      </c>
      <c r="EL51" s="281">
        <v>9.4780799999999998E-2</v>
      </c>
      <c r="EM51" s="275">
        <v>-7.859685843008711E-2</v>
      </c>
      <c r="EN51" s="275">
        <v>0</v>
      </c>
      <c r="EO51" s="275">
        <v>0</v>
      </c>
      <c r="EP51" s="284">
        <v>-7.859685843008711E-2</v>
      </c>
      <c r="EQ51" s="284">
        <v>8.3436480000000007E-2</v>
      </c>
      <c r="ER51" s="285">
        <v>0</v>
      </c>
      <c r="ES51" s="283"/>
      <c r="ET51" s="273">
        <v>0</v>
      </c>
      <c r="EU51" s="278">
        <v>0</v>
      </c>
      <c r="EV51" s="278">
        <v>8.5450752000000005E-2</v>
      </c>
      <c r="EW51" s="278">
        <v>0</v>
      </c>
      <c r="EX51" s="275">
        <v>-2.0641022882471223E-2</v>
      </c>
      <c r="EY51" s="281">
        <v>1.4032105850672581E-5</v>
      </c>
      <c r="EZ51" s="281">
        <v>0</v>
      </c>
      <c r="FA51" s="281">
        <v>0</v>
      </c>
      <c r="FB51" s="275">
        <v>0</v>
      </c>
      <c r="FC51" s="275">
        <v>0</v>
      </c>
      <c r="FD51" s="275">
        <v>-1.8536111047343948E-3</v>
      </c>
      <c r="FE51" s="277">
        <v>0</v>
      </c>
      <c r="FF51" s="212"/>
      <c r="FG51" s="273">
        <v>0</v>
      </c>
      <c r="FH51" s="278">
        <v>0</v>
      </c>
      <c r="FI51" s="278">
        <v>0</v>
      </c>
      <c r="FJ51" s="278">
        <v>0</v>
      </c>
      <c r="FK51" s="275">
        <v>-6.4877352741502068E-4</v>
      </c>
      <c r="FL51" s="281">
        <v>-1.1845845986768594E-3</v>
      </c>
      <c r="FM51" s="275">
        <v>0</v>
      </c>
      <c r="FN51" s="275">
        <v>0</v>
      </c>
      <c r="FO51" s="275">
        <v>0</v>
      </c>
      <c r="FP51" s="284">
        <v>0</v>
      </c>
      <c r="FQ51" s="284">
        <v>-0.13407742716875939</v>
      </c>
      <c r="FR51" s="285">
        <v>-0.13498999604477716</v>
      </c>
      <c r="FS51" s="283"/>
      <c r="FT51" s="286">
        <v>30.542000000000002</v>
      </c>
      <c r="FU51" s="260">
        <v>21.6</v>
      </c>
      <c r="FV51" s="260">
        <v>43.791399999999996</v>
      </c>
      <c r="FW51" s="260">
        <v>8.9420000000000002</v>
      </c>
      <c r="FX51" s="287">
        <v>0.41398148148148145</v>
      </c>
      <c r="FY51" s="314">
        <v>0.45322963199999999</v>
      </c>
      <c r="FZ51" s="275">
        <v>0.31438743372034844</v>
      </c>
      <c r="GA51" s="275">
        <v>0.66116026322098331</v>
      </c>
      <c r="GB51" s="275">
        <v>0.13884219827965155</v>
      </c>
      <c r="GC51" s="275">
        <v>0.13884219827965155</v>
      </c>
      <c r="GD51" s="275">
        <v>0</v>
      </c>
      <c r="GE51" s="275">
        <v>-0.27090078133962847</v>
      </c>
      <c r="GF51" s="277">
        <v>6.2970150118645055E-2</v>
      </c>
      <c r="GG51" s="214">
        <v>0</v>
      </c>
      <c r="GH51" s="286">
        <v>0</v>
      </c>
      <c r="GI51" s="260">
        <v>0</v>
      </c>
      <c r="GJ51" s="260">
        <v>9.2303999999999995</v>
      </c>
      <c r="GK51" s="260">
        <v>0</v>
      </c>
      <c r="GL51" s="291">
        <v>0</v>
      </c>
      <c r="GM51" s="275">
        <v>0</v>
      </c>
      <c r="GN51" s="275">
        <v>0</v>
      </c>
      <c r="GO51" s="275">
        <v>0.13498999604477716</v>
      </c>
      <c r="GP51" s="275">
        <v>0</v>
      </c>
      <c r="GQ51" s="275">
        <v>0</v>
      </c>
      <c r="GR51" s="277">
        <v>0</v>
      </c>
      <c r="GS51" s="275">
        <v>-0.13498999604477716</v>
      </c>
      <c r="GT51" s="284">
        <v>0</v>
      </c>
      <c r="GU51" s="292">
        <v>0</v>
      </c>
      <c r="GV51" s="214">
        <v>0</v>
      </c>
      <c r="GW51" s="293">
        <v>0.13823316355366017</v>
      </c>
      <c r="GX51" s="294"/>
      <c r="GY51" s="293">
        <v>-0.20793063122098332</v>
      </c>
      <c r="GZ51" s="293">
        <v>0</v>
      </c>
      <c r="HA51" s="293">
        <v>-0.13498999604477716</v>
      </c>
      <c r="HB51" s="293">
        <v>0</v>
      </c>
      <c r="HC51" s="295">
        <v>0</v>
      </c>
    </row>
    <row r="52" spans="1:211" s="381" customFormat="1" ht="11.25" customHeight="1">
      <c r="A52" s="392"/>
      <c r="B52" s="328" t="s">
        <v>214</v>
      </c>
      <c r="C52" s="297" t="s">
        <v>135</v>
      </c>
      <c r="D52" s="299" t="s">
        <v>210</v>
      </c>
      <c r="E52" s="328" t="s">
        <v>211</v>
      </c>
      <c r="F52" s="382" t="s">
        <v>144</v>
      </c>
      <c r="G52" s="301">
        <v>62.766999999999996</v>
      </c>
      <c r="H52" s="301">
        <v>29.857000000000003</v>
      </c>
      <c r="I52" s="258">
        <v>203.76900000000001</v>
      </c>
      <c r="J52" s="258">
        <v>116.04499999999999</v>
      </c>
      <c r="K52" s="302">
        <v>32.702999999999996</v>
      </c>
      <c r="L52" s="261">
        <v>113.893</v>
      </c>
      <c r="M52" s="261">
        <v>95.847999999999999</v>
      </c>
      <c r="N52" s="260">
        <v>12.902000000000001</v>
      </c>
      <c r="O52" s="261">
        <v>63.226000000000013</v>
      </c>
      <c r="P52" s="261">
        <v>163.25400000000002</v>
      </c>
      <c r="Q52" s="261">
        <v>9.6</v>
      </c>
      <c r="R52" s="303">
        <v>145.07300000000001</v>
      </c>
      <c r="S52" s="261">
        <f t="shared" si="3"/>
        <v>317.92700000000002</v>
      </c>
      <c r="T52" s="388">
        <v>64.935000000000002</v>
      </c>
      <c r="U52" s="267">
        <v>25.747</v>
      </c>
      <c r="V52" s="267">
        <v>148.41799999999998</v>
      </c>
      <c r="W52" s="267">
        <v>63.991999999999997</v>
      </c>
      <c r="X52" s="267">
        <v>0</v>
      </c>
      <c r="Y52" s="267">
        <v>90.778000000000006</v>
      </c>
      <c r="Z52" s="267">
        <v>143.27199999999996</v>
      </c>
      <c r="AA52" s="267">
        <v>0</v>
      </c>
      <c r="AB52" s="267">
        <v>181.82499999999999</v>
      </c>
      <c r="AC52" s="267">
        <v>234.14000000000004</v>
      </c>
      <c r="AD52" s="267">
        <v>66.7</v>
      </c>
      <c r="AE52" s="395">
        <v>60.150999999999989</v>
      </c>
      <c r="AF52" s="209"/>
      <c r="AG52" s="388">
        <v>0</v>
      </c>
      <c r="AH52" s="267">
        <v>57</v>
      </c>
      <c r="AI52" s="259">
        <v>192.77936</v>
      </c>
      <c r="AJ52" s="259">
        <v>118.09819999999999</v>
      </c>
      <c r="AK52" s="259">
        <v>32.380000000000003</v>
      </c>
      <c r="AL52" s="259">
        <v>180</v>
      </c>
      <c r="AM52" s="259">
        <v>94</v>
      </c>
      <c r="AN52" s="259">
        <v>0</v>
      </c>
      <c r="AO52" s="259">
        <v>50</v>
      </c>
      <c r="AP52" s="259">
        <v>176.54</v>
      </c>
      <c r="AQ52" s="259">
        <v>30</v>
      </c>
      <c r="AR52" s="268">
        <v>120</v>
      </c>
      <c r="AS52" s="269">
        <v>3.0269535838613325E-2</v>
      </c>
      <c r="AT52" s="305">
        <v>160094.38845253081</v>
      </c>
      <c r="AU52" s="336">
        <v>160094.63777338646</v>
      </c>
      <c r="AV52" s="336">
        <v>160100.47141616241</v>
      </c>
      <c r="AW52" s="336">
        <v>160199.72390021116</v>
      </c>
      <c r="AX52" s="336">
        <v>160193.14191358589</v>
      </c>
      <c r="AY52" s="259">
        <v>161797.49782690767</v>
      </c>
      <c r="AZ52" s="259">
        <v>161797.29905684001</v>
      </c>
      <c r="BA52" s="259">
        <v>161805.01627654626</v>
      </c>
      <c r="BB52" s="259">
        <v>161798.97637048044</v>
      </c>
      <c r="BC52" s="259">
        <v>161803.56793707967</v>
      </c>
      <c r="BD52" s="259">
        <v>138500</v>
      </c>
      <c r="BE52" s="268">
        <v>161802.45366126022</v>
      </c>
      <c r="BF52" s="209"/>
      <c r="BG52" s="305">
        <v>144778.48689330235</v>
      </c>
      <c r="BH52" s="336">
        <v>144778.48689330232</v>
      </c>
      <c r="BI52" s="336">
        <v>144778.48689330235</v>
      </c>
      <c r="BJ52" s="336">
        <v>144778.48689330235</v>
      </c>
      <c r="BK52" s="336">
        <v>160193.14191358589</v>
      </c>
      <c r="BL52" s="336">
        <v>144778.48689330235</v>
      </c>
      <c r="BM52" s="336">
        <v>144778.48689330235</v>
      </c>
      <c r="BN52" s="336">
        <v>161805.01627654626</v>
      </c>
      <c r="BO52" s="336">
        <v>144778.48689330232</v>
      </c>
      <c r="BP52" s="336">
        <v>144778.48689330235</v>
      </c>
      <c r="BQ52" s="336">
        <v>144778.48689330235</v>
      </c>
      <c r="BR52" s="268">
        <v>144778.48689330235</v>
      </c>
      <c r="BS52" s="209"/>
      <c r="BT52" s="389">
        <v>0</v>
      </c>
      <c r="BU52" s="307">
        <v>160059.77910953845</v>
      </c>
      <c r="BV52" s="307">
        <v>160059.77910953845</v>
      </c>
      <c r="BW52" s="307">
        <v>160059.77910953845</v>
      </c>
      <c r="BX52" s="307">
        <v>160059.77910953845</v>
      </c>
      <c r="BY52" s="307">
        <v>161769.63629248846</v>
      </c>
      <c r="BZ52" s="307">
        <v>161769.63629248846</v>
      </c>
      <c r="CA52" s="307">
        <v>0</v>
      </c>
      <c r="CB52" s="307">
        <v>161769.63629248846</v>
      </c>
      <c r="CC52" s="307">
        <v>161769.63629248846</v>
      </c>
      <c r="CD52" s="307">
        <v>161769.63629248846</v>
      </c>
      <c r="CE52" s="308">
        <v>161769.63629248846</v>
      </c>
      <c r="CF52" s="212"/>
      <c r="CG52" s="273">
        <v>1.004864448</v>
      </c>
      <c r="CH52" s="274">
        <v>0.47799456000000001</v>
      </c>
      <c r="CI52" s="274">
        <v>3.2623512960000003</v>
      </c>
      <c r="CJ52" s="274">
        <v>1.8590376960000001</v>
      </c>
      <c r="CK52" s="274">
        <v>0.52387963199999987</v>
      </c>
      <c r="CL52" s="309">
        <v>1.8427602419999993</v>
      </c>
      <c r="CM52" s="276">
        <v>1.5507947520000001</v>
      </c>
      <c r="CN52" s="276">
        <v>0.20876083200000001</v>
      </c>
      <c r="CO52" s="276">
        <v>1.022990208</v>
      </c>
      <c r="CP52" s="276">
        <v>2.6415079680000009</v>
      </c>
      <c r="CQ52" s="276">
        <v>0.13295999999999999</v>
      </c>
      <c r="CR52" s="313">
        <v>2.3473167360000002</v>
      </c>
      <c r="CS52" s="390"/>
      <c r="CT52" s="273">
        <v>0.94011910464165882</v>
      </c>
      <c r="CU52" s="278">
        <v>0.37276117020418553</v>
      </c>
      <c r="CV52" s="278">
        <v>2.1487733467730146</v>
      </c>
      <c r="CW52" s="278">
        <v>0.92646649332762043</v>
      </c>
      <c r="CX52" s="278">
        <v>0</v>
      </c>
      <c r="CY52" s="278">
        <v>1.3142701483200201</v>
      </c>
      <c r="CZ52" s="278">
        <v>2.0742703374177212</v>
      </c>
      <c r="DA52" s="278">
        <v>0</v>
      </c>
      <c r="DB52" s="278">
        <v>2.6324348379374696</v>
      </c>
      <c r="DC52" s="278">
        <v>3.3898434921197818</v>
      </c>
      <c r="DD52" s="278">
        <v>0.96567250757832679</v>
      </c>
      <c r="DE52" s="278">
        <v>0.87085707651190292</v>
      </c>
      <c r="DF52" s="390">
        <f t="shared" si="4"/>
        <v>5.2263730762100113</v>
      </c>
      <c r="DG52" s="391">
        <v>0</v>
      </c>
      <c r="DH52" s="281">
        <v>0.91234074092436912</v>
      </c>
      <c r="DI52" s="278">
        <v>3.085622177847819</v>
      </c>
      <c r="DJ52" s="278">
        <v>1.8902771805234093</v>
      </c>
      <c r="DK52" s="278">
        <v>0.51827356475668551</v>
      </c>
      <c r="DL52" s="278">
        <v>2.9118534532647922</v>
      </c>
      <c r="DM52" s="278">
        <v>1.5206345811493915</v>
      </c>
      <c r="DN52" s="278">
        <v>0</v>
      </c>
      <c r="DO52" s="278">
        <v>0.80884818146244231</v>
      </c>
      <c r="DP52" s="278">
        <v>2.8558811591075912</v>
      </c>
      <c r="DQ52" s="278">
        <v>0.48530890887746542</v>
      </c>
      <c r="DR52" s="282">
        <v>1.9412356355098617</v>
      </c>
      <c r="DS52" s="226"/>
      <c r="DT52" s="273">
        <v>9.613331931680924E-2</v>
      </c>
      <c r="DU52" s="278">
        <v>4.5729431682667222E-2</v>
      </c>
      <c r="DV52" s="278">
        <v>0.31221454642386715</v>
      </c>
      <c r="DW52" s="278">
        <v>0.1789557448466732</v>
      </c>
      <c r="DX52" s="275">
        <v>0</v>
      </c>
      <c r="DY52" s="281">
        <v>0.193834621226111</v>
      </c>
      <c r="DZ52" s="281">
        <v>0.16312191082507574</v>
      </c>
      <c r="EA52" s="281">
        <v>0</v>
      </c>
      <c r="EB52" s="275">
        <v>0.10761374676840633</v>
      </c>
      <c r="EC52" s="275">
        <v>0.27794125807208225</v>
      </c>
      <c r="ED52" s="275">
        <v>-6.0273474175702594E-3</v>
      </c>
      <c r="EE52" s="277">
        <v>0.24697179309279524</v>
      </c>
      <c r="EF52" s="212"/>
      <c r="EG52" s="273">
        <v>-3.1387975958468047E-2</v>
      </c>
      <c r="EH52" s="278">
        <v>5.9503958113147293E-2</v>
      </c>
      <c r="EI52" s="278">
        <v>0.80136340280311824</v>
      </c>
      <c r="EJ52" s="278">
        <v>0.7536154578257066</v>
      </c>
      <c r="EK52" s="275">
        <v>0.52387963199999987</v>
      </c>
      <c r="EL52" s="281">
        <v>0.33465547245386829</v>
      </c>
      <c r="EM52" s="275">
        <v>-0.68659749624279653</v>
      </c>
      <c r="EN52" s="275">
        <v>0.20876083200000001</v>
      </c>
      <c r="EO52" s="275">
        <v>-1.717058376705876</v>
      </c>
      <c r="EP52" s="284">
        <v>-1.0262767821918635</v>
      </c>
      <c r="EQ52" s="284">
        <v>-0.82668516016075644</v>
      </c>
      <c r="ER52" s="285">
        <v>1.2294878663953026</v>
      </c>
      <c r="ES52" s="283"/>
      <c r="ET52" s="273">
        <v>1.004864448</v>
      </c>
      <c r="EU52" s="278">
        <v>1.0407751265103095E-4</v>
      </c>
      <c r="EV52" s="278">
        <v>8.2918306284594909E-4</v>
      </c>
      <c r="EW52" s="278">
        <v>1.6239893233615163E-3</v>
      </c>
      <c r="EX52" s="275">
        <v>4.3613637807635348E-4</v>
      </c>
      <c r="EY52" s="281">
        <v>3.1732337396068116E-4</v>
      </c>
      <c r="EZ52" s="281">
        <v>2.6514206375676566E-4</v>
      </c>
      <c r="FA52" s="281">
        <v>0.20876083200000001</v>
      </c>
      <c r="FB52" s="275">
        <v>1.8550557711206564E-4</v>
      </c>
      <c r="FC52" s="275">
        <v>5.5394767060936931E-4</v>
      </c>
      <c r="FD52" s="275">
        <v>-2.2338850840788918E-2</v>
      </c>
      <c r="FE52" s="277">
        <v>4.7609141398261847E-4</v>
      </c>
      <c r="FF52" s="212"/>
      <c r="FG52" s="273">
        <v>0</v>
      </c>
      <c r="FH52" s="278">
        <v>-0.43445025843702012</v>
      </c>
      <c r="FI52" s="278">
        <v>0.17589993508933494</v>
      </c>
      <c r="FJ52" s="278">
        <v>-3.2863473846770498E-2</v>
      </c>
      <c r="FK52" s="275">
        <v>5.1699308652379842E-3</v>
      </c>
      <c r="FL52" s="281">
        <v>-1.0694105346387535</v>
      </c>
      <c r="FM52" s="275">
        <v>2.9895028786851848E-2</v>
      </c>
      <c r="FN52" s="275">
        <v>0</v>
      </c>
      <c r="FO52" s="275">
        <v>0.21395652096044546</v>
      </c>
      <c r="FP52" s="284">
        <v>-0.21492713877819972</v>
      </c>
      <c r="FQ52" s="284">
        <v>-0.33001005803667643</v>
      </c>
      <c r="FR52" s="285">
        <v>0.40560500907615643</v>
      </c>
      <c r="FS52" s="283"/>
      <c r="FT52" s="286">
        <v>1048.9370000000001</v>
      </c>
      <c r="FU52" s="260">
        <v>1079.9580000000001</v>
      </c>
      <c r="FV52" s="260">
        <v>1050.79756</v>
      </c>
      <c r="FW52" s="260">
        <v>-31.020999999999958</v>
      </c>
      <c r="FX52" s="287">
        <v>-2.8724265202905996E-2</v>
      </c>
      <c r="FY52" s="314">
        <v>16.875218369999999</v>
      </c>
      <c r="FZ52" s="275">
        <v>15.635468514831704</v>
      </c>
      <c r="GA52" s="275">
        <v>16.930275583423828</v>
      </c>
      <c r="GB52" s="275">
        <v>1.2397498551682951</v>
      </c>
      <c r="GC52" s="275">
        <v>-0.37673916966861731</v>
      </c>
      <c r="GD52" s="275">
        <v>1.616489024836917</v>
      </c>
      <c r="GE52" s="275">
        <v>-1.2511350389593936</v>
      </c>
      <c r="GF52" s="277">
        <v>1.1960778255355673</v>
      </c>
      <c r="GG52" s="214">
        <v>4.6629367034256575E-15</v>
      </c>
      <c r="GH52" s="286">
        <v>145.07300000000001</v>
      </c>
      <c r="GI52" s="260">
        <v>60.150999999999989</v>
      </c>
      <c r="GJ52" s="260">
        <v>120</v>
      </c>
      <c r="GK52" s="260">
        <v>84.922000000000025</v>
      </c>
      <c r="GL52" s="291">
        <v>1.4118136024338754</v>
      </c>
      <c r="GM52" s="275">
        <v>2.3473167360000002</v>
      </c>
      <c r="GN52" s="275">
        <v>0.87085707651190292</v>
      </c>
      <c r="GO52" s="275">
        <v>1.9412356355098617</v>
      </c>
      <c r="GP52" s="275">
        <v>1.4764596594880972</v>
      </c>
      <c r="GQ52" s="275">
        <v>1.2294878663953026</v>
      </c>
      <c r="GR52" s="277">
        <v>0.24697179309279524</v>
      </c>
      <c r="GS52" s="275">
        <v>0.40560500907615643</v>
      </c>
      <c r="GT52" s="284">
        <v>4.7609141398261847E-4</v>
      </c>
      <c r="GU52" s="292">
        <v>0.35903917211995828</v>
      </c>
      <c r="GV52" s="214">
        <v>0</v>
      </c>
      <c r="GW52" s="293">
        <v>1.9878742941115188</v>
      </c>
      <c r="GX52" s="294"/>
      <c r="GY52" s="293">
        <v>-5.505721342382941E-2</v>
      </c>
      <c r="GZ52" s="293">
        <v>3.1086244689504383E-15</v>
      </c>
      <c r="HA52" s="293">
        <v>0.40608110049013857</v>
      </c>
      <c r="HB52" s="293">
        <v>4.7609141398213817E-4</v>
      </c>
      <c r="HC52" s="295">
        <v>1.9882775638800423</v>
      </c>
    </row>
    <row r="53" spans="1:211" s="381" customFormat="1" ht="12.75" customHeight="1">
      <c r="A53" s="392"/>
      <c r="B53" s="328" t="s">
        <v>215</v>
      </c>
      <c r="C53" s="297" t="s">
        <v>135</v>
      </c>
      <c r="D53" s="299" t="s">
        <v>216</v>
      </c>
      <c r="E53" s="297" t="s">
        <v>217</v>
      </c>
      <c r="F53" s="382" t="s">
        <v>218</v>
      </c>
      <c r="G53" s="301">
        <v>0</v>
      </c>
      <c r="H53" s="301">
        <v>0</v>
      </c>
      <c r="I53" s="258">
        <v>0</v>
      </c>
      <c r="J53" s="258">
        <v>0</v>
      </c>
      <c r="K53" s="302">
        <v>0</v>
      </c>
      <c r="L53" s="261">
        <v>0</v>
      </c>
      <c r="M53" s="261">
        <v>0</v>
      </c>
      <c r="N53" s="260">
        <v>0</v>
      </c>
      <c r="O53" s="261">
        <v>0</v>
      </c>
      <c r="P53" s="261">
        <v>0</v>
      </c>
      <c r="Q53" s="261">
        <v>0</v>
      </c>
      <c r="R53" s="303">
        <v>0</v>
      </c>
      <c r="S53" s="261">
        <f t="shared" si="3"/>
        <v>0</v>
      </c>
      <c r="T53" s="388">
        <v>0</v>
      </c>
      <c r="U53" s="267">
        <v>0</v>
      </c>
      <c r="V53" s="259">
        <v>0</v>
      </c>
      <c r="W53" s="259">
        <v>0</v>
      </c>
      <c r="X53" s="259">
        <v>0</v>
      </c>
      <c r="Y53" s="259">
        <v>0</v>
      </c>
      <c r="Z53" s="259">
        <v>0</v>
      </c>
      <c r="AA53" s="259">
        <v>0</v>
      </c>
      <c r="AB53" s="259">
        <v>0</v>
      </c>
      <c r="AC53" s="259">
        <v>0</v>
      </c>
      <c r="AD53" s="259">
        <v>0</v>
      </c>
      <c r="AE53" s="395">
        <v>0</v>
      </c>
      <c r="AF53" s="209"/>
      <c r="AG53" s="388">
        <v>0</v>
      </c>
      <c r="AH53" s="267">
        <v>0</v>
      </c>
      <c r="AI53" s="259">
        <v>0</v>
      </c>
      <c r="AJ53" s="259">
        <v>0.27810000000000001</v>
      </c>
      <c r="AK53" s="259">
        <v>0</v>
      </c>
      <c r="AL53" s="259">
        <v>0</v>
      </c>
      <c r="AM53" s="259">
        <v>0</v>
      </c>
      <c r="AN53" s="259">
        <v>0</v>
      </c>
      <c r="AO53" s="259">
        <v>0</v>
      </c>
      <c r="AP53" s="259">
        <v>0</v>
      </c>
      <c r="AQ53" s="259">
        <v>0</v>
      </c>
      <c r="AR53" s="268">
        <v>0</v>
      </c>
      <c r="AS53" s="269">
        <v>0</v>
      </c>
      <c r="AT53" s="305">
        <v>0</v>
      </c>
      <c r="AU53" s="336">
        <v>0</v>
      </c>
      <c r="AV53" s="336">
        <v>0</v>
      </c>
      <c r="AW53" s="336">
        <v>0</v>
      </c>
      <c r="AX53" s="336">
        <v>0</v>
      </c>
      <c r="AY53" s="336">
        <v>0</v>
      </c>
      <c r="AZ53" s="259">
        <v>0</v>
      </c>
      <c r="BA53" s="259">
        <v>0</v>
      </c>
      <c r="BB53" s="259">
        <v>0</v>
      </c>
      <c r="BC53" s="259">
        <v>0</v>
      </c>
      <c r="BD53" s="259">
        <v>0</v>
      </c>
      <c r="BE53" s="268">
        <v>0</v>
      </c>
      <c r="BF53" s="209"/>
      <c r="BG53" s="305">
        <v>0</v>
      </c>
      <c r="BH53" s="336">
        <v>0</v>
      </c>
      <c r="BI53" s="336">
        <v>0</v>
      </c>
      <c r="BJ53" s="336">
        <v>0</v>
      </c>
      <c r="BK53" s="336">
        <v>0</v>
      </c>
      <c r="BL53" s="336">
        <v>0</v>
      </c>
      <c r="BM53" s="259">
        <v>0</v>
      </c>
      <c r="BN53" s="259">
        <v>0</v>
      </c>
      <c r="BO53" s="259">
        <v>0</v>
      </c>
      <c r="BP53" s="259">
        <v>0</v>
      </c>
      <c r="BQ53" s="259">
        <v>0</v>
      </c>
      <c r="BR53" s="268">
        <v>0</v>
      </c>
      <c r="BS53" s="209"/>
      <c r="BT53" s="389">
        <v>0</v>
      </c>
      <c r="BU53" s="307">
        <v>0</v>
      </c>
      <c r="BV53" s="307">
        <v>0</v>
      </c>
      <c r="BW53" s="307">
        <v>97649.57284475652</v>
      </c>
      <c r="BX53" s="307">
        <v>0</v>
      </c>
      <c r="BY53" s="307">
        <v>0</v>
      </c>
      <c r="BZ53" s="307">
        <v>0</v>
      </c>
      <c r="CA53" s="307">
        <v>0</v>
      </c>
      <c r="CB53" s="307">
        <v>0</v>
      </c>
      <c r="CC53" s="307">
        <v>0</v>
      </c>
      <c r="CD53" s="307">
        <v>0</v>
      </c>
      <c r="CE53" s="308">
        <v>0</v>
      </c>
      <c r="CF53" s="212"/>
      <c r="CG53" s="273">
        <v>0</v>
      </c>
      <c r="CH53" s="274">
        <v>0</v>
      </c>
      <c r="CI53" s="274">
        <v>0</v>
      </c>
      <c r="CJ53" s="274">
        <v>0</v>
      </c>
      <c r="CK53" s="274">
        <v>0</v>
      </c>
      <c r="CL53" s="309">
        <v>0</v>
      </c>
      <c r="CM53" s="276">
        <v>0</v>
      </c>
      <c r="CN53" s="276">
        <v>0</v>
      </c>
      <c r="CO53" s="276">
        <v>0</v>
      </c>
      <c r="CP53" s="276">
        <v>0</v>
      </c>
      <c r="CQ53" s="276">
        <v>0</v>
      </c>
      <c r="CR53" s="313">
        <v>0</v>
      </c>
      <c r="CS53" s="390"/>
      <c r="CT53" s="273">
        <v>0</v>
      </c>
      <c r="CU53" s="278">
        <v>0</v>
      </c>
      <c r="CV53" s="278">
        <v>0</v>
      </c>
      <c r="CW53" s="278">
        <v>0</v>
      </c>
      <c r="CX53" s="278">
        <v>0</v>
      </c>
      <c r="CY53" s="278">
        <v>0</v>
      </c>
      <c r="CZ53" s="278">
        <v>0</v>
      </c>
      <c r="DA53" s="278">
        <v>0</v>
      </c>
      <c r="DB53" s="278">
        <v>0</v>
      </c>
      <c r="DC53" s="278">
        <v>0</v>
      </c>
      <c r="DD53" s="278">
        <v>0</v>
      </c>
      <c r="DE53" s="278">
        <v>0</v>
      </c>
      <c r="DF53" s="390">
        <f t="shared" si="4"/>
        <v>0</v>
      </c>
      <c r="DG53" s="391">
        <v>0</v>
      </c>
      <c r="DH53" s="281">
        <v>0</v>
      </c>
      <c r="DI53" s="278">
        <v>0</v>
      </c>
      <c r="DJ53" s="278">
        <v>2.7156346208126792E-3</v>
      </c>
      <c r="DK53" s="278">
        <v>0</v>
      </c>
      <c r="DL53" s="278">
        <v>0</v>
      </c>
      <c r="DM53" s="278">
        <v>0</v>
      </c>
      <c r="DN53" s="278">
        <v>0</v>
      </c>
      <c r="DO53" s="278">
        <v>0</v>
      </c>
      <c r="DP53" s="278">
        <v>0</v>
      </c>
      <c r="DQ53" s="278">
        <v>0</v>
      </c>
      <c r="DR53" s="282">
        <v>0</v>
      </c>
      <c r="DS53" s="226"/>
      <c r="DT53" s="273">
        <v>0</v>
      </c>
      <c r="DU53" s="278">
        <v>0</v>
      </c>
      <c r="DV53" s="278">
        <v>0</v>
      </c>
      <c r="DW53" s="278">
        <v>0</v>
      </c>
      <c r="DX53" s="275">
        <v>0</v>
      </c>
      <c r="DY53" s="281">
        <v>0</v>
      </c>
      <c r="DZ53" s="281">
        <v>0</v>
      </c>
      <c r="EA53" s="281">
        <v>0</v>
      </c>
      <c r="EB53" s="275">
        <v>0</v>
      </c>
      <c r="EC53" s="275">
        <v>0</v>
      </c>
      <c r="ED53" s="275">
        <v>0</v>
      </c>
      <c r="EE53" s="277">
        <v>0</v>
      </c>
      <c r="EF53" s="212"/>
      <c r="EG53" s="273">
        <v>0</v>
      </c>
      <c r="EH53" s="278">
        <v>0</v>
      </c>
      <c r="EI53" s="278">
        <v>0</v>
      </c>
      <c r="EJ53" s="278">
        <v>0</v>
      </c>
      <c r="EK53" s="275">
        <v>0</v>
      </c>
      <c r="EL53" s="281">
        <v>0</v>
      </c>
      <c r="EM53" s="281">
        <v>0</v>
      </c>
      <c r="EN53" s="281">
        <v>0</v>
      </c>
      <c r="EO53" s="275">
        <v>0</v>
      </c>
      <c r="EP53" s="275">
        <v>0</v>
      </c>
      <c r="EQ53" s="275">
        <v>0</v>
      </c>
      <c r="ER53" s="277">
        <v>0</v>
      </c>
      <c r="ES53" s="283"/>
      <c r="ET53" s="273">
        <v>0</v>
      </c>
      <c r="EU53" s="278">
        <v>0</v>
      </c>
      <c r="EV53" s="278">
        <v>0</v>
      </c>
      <c r="EW53" s="278">
        <v>0</v>
      </c>
      <c r="EX53" s="275">
        <v>0</v>
      </c>
      <c r="EY53" s="281">
        <v>0</v>
      </c>
      <c r="EZ53" s="281">
        <v>0</v>
      </c>
      <c r="FA53" s="281">
        <v>0</v>
      </c>
      <c r="FB53" s="275">
        <v>0</v>
      </c>
      <c r="FC53" s="275">
        <v>0</v>
      </c>
      <c r="FD53" s="275">
        <v>0</v>
      </c>
      <c r="FE53" s="277">
        <v>0</v>
      </c>
      <c r="FF53" s="212"/>
      <c r="FG53" s="273">
        <v>0</v>
      </c>
      <c r="FH53" s="278">
        <v>0</v>
      </c>
      <c r="FI53" s="278">
        <v>0</v>
      </c>
      <c r="FJ53" s="278">
        <v>-2.7156346208126788E-3</v>
      </c>
      <c r="FK53" s="275">
        <v>0</v>
      </c>
      <c r="FL53" s="281">
        <v>0</v>
      </c>
      <c r="FM53" s="281">
        <v>0</v>
      </c>
      <c r="FN53" s="281">
        <v>0</v>
      </c>
      <c r="FO53" s="275">
        <v>0</v>
      </c>
      <c r="FP53" s="275">
        <v>0</v>
      </c>
      <c r="FQ53" s="275">
        <v>0</v>
      </c>
      <c r="FR53" s="277">
        <v>0</v>
      </c>
      <c r="FS53" s="283"/>
      <c r="FT53" s="286">
        <v>0</v>
      </c>
      <c r="FU53" s="260">
        <v>0</v>
      </c>
      <c r="FV53" s="260">
        <v>0.27810000000000001</v>
      </c>
      <c r="FW53" s="260">
        <v>0</v>
      </c>
      <c r="FX53" s="287">
        <v>0</v>
      </c>
      <c r="FY53" s="327">
        <v>0</v>
      </c>
      <c r="FZ53" s="275">
        <v>0</v>
      </c>
      <c r="GA53" s="275">
        <v>2.7156346208126792E-3</v>
      </c>
      <c r="GB53" s="275">
        <v>0</v>
      </c>
      <c r="GC53" s="275">
        <v>0</v>
      </c>
      <c r="GD53" s="275">
        <v>0</v>
      </c>
      <c r="GE53" s="275">
        <v>-2.7156346208126788E-3</v>
      </c>
      <c r="GF53" s="277">
        <v>0</v>
      </c>
      <c r="GG53" s="214">
        <v>0</v>
      </c>
      <c r="GH53" s="286">
        <v>0</v>
      </c>
      <c r="GI53" s="260">
        <v>0</v>
      </c>
      <c r="GJ53" s="260">
        <v>0</v>
      </c>
      <c r="GK53" s="260">
        <v>0</v>
      </c>
      <c r="GL53" s="291">
        <v>0</v>
      </c>
      <c r="GM53" s="275">
        <v>0</v>
      </c>
      <c r="GN53" s="275">
        <v>0</v>
      </c>
      <c r="GO53" s="275">
        <v>0</v>
      </c>
      <c r="GP53" s="275">
        <v>0</v>
      </c>
      <c r="GQ53" s="275">
        <v>0</v>
      </c>
      <c r="GR53" s="277">
        <v>0</v>
      </c>
      <c r="GS53" s="275">
        <v>0</v>
      </c>
      <c r="GT53" s="284">
        <v>0</v>
      </c>
      <c r="GU53" s="292">
        <v>0</v>
      </c>
      <c r="GV53" s="214">
        <v>0</v>
      </c>
      <c r="GW53" s="293">
        <v>0</v>
      </c>
      <c r="GX53" s="294"/>
      <c r="GY53" s="293">
        <v>-2.7156346208126792E-3</v>
      </c>
      <c r="GZ53" s="293">
        <v>0</v>
      </c>
      <c r="HA53" s="293">
        <v>0</v>
      </c>
      <c r="HB53" s="293">
        <v>0</v>
      </c>
      <c r="HC53" s="295">
        <v>0</v>
      </c>
    </row>
    <row r="54" spans="1:211" s="381" customFormat="1" ht="12.75" customHeight="1">
      <c r="A54" s="392"/>
      <c r="B54" s="328" t="s">
        <v>219</v>
      </c>
      <c r="C54" s="297" t="s">
        <v>135</v>
      </c>
      <c r="D54" s="299" t="s">
        <v>216</v>
      </c>
      <c r="E54" s="297" t="s">
        <v>217</v>
      </c>
      <c r="F54" s="382" t="s">
        <v>220</v>
      </c>
      <c r="G54" s="301">
        <v>0</v>
      </c>
      <c r="H54" s="301">
        <v>0</v>
      </c>
      <c r="I54" s="258">
        <v>0</v>
      </c>
      <c r="J54" s="258">
        <v>0</v>
      </c>
      <c r="K54" s="302">
        <v>0</v>
      </c>
      <c r="L54" s="261">
        <v>0</v>
      </c>
      <c r="M54" s="261">
        <v>0</v>
      </c>
      <c r="N54" s="260">
        <v>0</v>
      </c>
      <c r="O54" s="261">
        <v>0</v>
      </c>
      <c r="P54" s="261">
        <v>0</v>
      </c>
      <c r="Q54" s="261">
        <v>0</v>
      </c>
      <c r="R54" s="303">
        <v>0</v>
      </c>
      <c r="S54" s="261">
        <f t="shared" si="3"/>
        <v>0</v>
      </c>
      <c r="T54" s="388">
        <v>0</v>
      </c>
      <c r="U54" s="267">
        <v>0</v>
      </c>
      <c r="V54" s="267">
        <v>0</v>
      </c>
      <c r="W54" s="259">
        <v>0</v>
      </c>
      <c r="X54" s="259">
        <v>0</v>
      </c>
      <c r="Y54" s="259">
        <v>0</v>
      </c>
      <c r="Z54" s="259">
        <v>0</v>
      </c>
      <c r="AA54" s="259">
        <v>0</v>
      </c>
      <c r="AB54" s="259">
        <v>0</v>
      </c>
      <c r="AC54" s="259">
        <v>0</v>
      </c>
      <c r="AD54" s="259">
        <v>0</v>
      </c>
      <c r="AE54" s="395">
        <v>0</v>
      </c>
      <c r="AF54" s="209"/>
      <c r="AG54" s="388">
        <v>0</v>
      </c>
      <c r="AH54" s="267">
        <v>0</v>
      </c>
      <c r="AI54" s="259">
        <v>0</v>
      </c>
      <c r="AJ54" s="259">
        <v>0</v>
      </c>
      <c r="AK54" s="259">
        <v>0</v>
      </c>
      <c r="AL54" s="259">
        <v>0</v>
      </c>
      <c r="AM54" s="259">
        <v>0</v>
      </c>
      <c r="AN54" s="259">
        <v>0</v>
      </c>
      <c r="AO54" s="259">
        <v>0</v>
      </c>
      <c r="AP54" s="259">
        <v>0</v>
      </c>
      <c r="AQ54" s="259">
        <v>0</v>
      </c>
      <c r="AR54" s="268">
        <v>0</v>
      </c>
      <c r="AS54" s="269">
        <v>0</v>
      </c>
      <c r="AT54" s="305">
        <v>0</v>
      </c>
      <c r="AU54" s="336">
        <v>0</v>
      </c>
      <c r="AV54" s="336">
        <v>0</v>
      </c>
      <c r="AW54" s="336">
        <v>0</v>
      </c>
      <c r="AX54" s="336">
        <v>0</v>
      </c>
      <c r="AY54" s="259">
        <v>0</v>
      </c>
      <c r="AZ54" s="259">
        <v>0</v>
      </c>
      <c r="BA54" s="259">
        <v>0</v>
      </c>
      <c r="BB54" s="259">
        <v>0</v>
      </c>
      <c r="BC54" s="259">
        <v>0</v>
      </c>
      <c r="BD54" s="259">
        <v>0</v>
      </c>
      <c r="BE54" s="268">
        <v>0</v>
      </c>
      <c r="BF54" s="209"/>
      <c r="BG54" s="305">
        <v>0</v>
      </c>
      <c r="BH54" s="336">
        <v>0</v>
      </c>
      <c r="BI54" s="336">
        <v>0</v>
      </c>
      <c r="BJ54" s="336">
        <v>0</v>
      </c>
      <c r="BK54" s="336">
        <v>0</v>
      </c>
      <c r="BL54" s="336">
        <v>0</v>
      </c>
      <c r="BM54" s="336">
        <v>0</v>
      </c>
      <c r="BN54" s="336">
        <v>0</v>
      </c>
      <c r="BO54" s="336">
        <v>0</v>
      </c>
      <c r="BP54" s="336">
        <v>0</v>
      </c>
      <c r="BQ54" s="336">
        <v>0</v>
      </c>
      <c r="BR54" s="268">
        <v>0</v>
      </c>
      <c r="BS54" s="209"/>
      <c r="BT54" s="389">
        <v>0</v>
      </c>
      <c r="BU54" s="307">
        <v>0</v>
      </c>
      <c r="BV54" s="307">
        <v>0</v>
      </c>
      <c r="BW54" s="307">
        <v>0</v>
      </c>
      <c r="BX54" s="307">
        <v>0</v>
      </c>
      <c r="BY54" s="307">
        <v>0</v>
      </c>
      <c r="BZ54" s="307">
        <v>0</v>
      </c>
      <c r="CA54" s="307">
        <v>0</v>
      </c>
      <c r="CB54" s="307">
        <v>0</v>
      </c>
      <c r="CC54" s="307">
        <v>0</v>
      </c>
      <c r="CD54" s="307">
        <v>0</v>
      </c>
      <c r="CE54" s="308">
        <v>0</v>
      </c>
      <c r="CF54" s="212"/>
      <c r="CG54" s="273">
        <v>0</v>
      </c>
      <c r="CH54" s="274">
        <v>0</v>
      </c>
      <c r="CI54" s="274">
        <v>0</v>
      </c>
      <c r="CJ54" s="274">
        <v>0</v>
      </c>
      <c r="CK54" s="274">
        <v>0</v>
      </c>
      <c r="CL54" s="309">
        <v>0</v>
      </c>
      <c r="CM54" s="276">
        <v>0</v>
      </c>
      <c r="CN54" s="276">
        <v>0</v>
      </c>
      <c r="CO54" s="276">
        <v>0</v>
      </c>
      <c r="CP54" s="276">
        <v>0</v>
      </c>
      <c r="CQ54" s="276">
        <v>0</v>
      </c>
      <c r="CR54" s="313">
        <v>0</v>
      </c>
      <c r="CS54" s="390"/>
      <c r="CT54" s="273">
        <v>0</v>
      </c>
      <c r="CU54" s="278">
        <v>0</v>
      </c>
      <c r="CV54" s="278">
        <v>0</v>
      </c>
      <c r="CW54" s="278">
        <v>0</v>
      </c>
      <c r="CX54" s="278">
        <v>0</v>
      </c>
      <c r="CY54" s="278">
        <v>0</v>
      </c>
      <c r="CZ54" s="278">
        <v>0</v>
      </c>
      <c r="DA54" s="278">
        <v>0</v>
      </c>
      <c r="DB54" s="278">
        <v>0</v>
      </c>
      <c r="DC54" s="278">
        <v>0</v>
      </c>
      <c r="DD54" s="278">
        <v>0</v>
      </c>
      <c r="DE54" s="278">
        <v>0</v>
      </c>
      <c r="DF54" s="390">
        <f t="shared" si="4"/>
        <v>0</v>
      </c>
      <c r="DG54" s="391">
        <v>0</v>
      </c>
      <c r="DH54" s="281">
        <v>0</v>
      </c>
      <c r="DI54" s="278">
        <v>0</v>
      </c>
      <c r="DJ54" s="278">
        <v>0</v>
      </c>
      <c r="DK54" s="278">
        <v>0</v>
      </c>
      <c r="DL54" s="278">
        <v>0</v>
      </c>
      <c r="DM54" s="278">
        <v>0</v>
      </c>
      <c r="DN54" s="278">
        <v>0</v>
      </c>
      <c r="DO54" s="278">
        <v>0</v>
      </c>
      <c r="DP54" s="278">
        <v>0</v>
      </c>
      <c r="DQ54" s="278">
        <v>0</v>
      </c>
      <c r="DR54" s="282">
        <v>0</v>
      </c>
      <c r="DS54" s="226"/>
      <c r="DT54" s="273">
        <v>0</v>
      </c>
      <c r="DU54" s="278">
        <v>0</v>
      </c>
      <c r="DV54" s="278">
        <v>0</v>
      </c>
      <c r="DW54" s="278">
        <v>0</v>
      </c>
      <c r="DX54" s="275">
        <v>0</v>
      </c>
      <c r="DY54" s="281">
        <v>0</v>
      </c>
      <c r="DZ54" s="281">
        <v>0</v>
      </c>
      <c r="EA54" s="281">
        <v>0</v>
      </c>
      <c r="EB54" s="275">
        <v>0</v>
      </c>
      <c r="EC54" s="275">
        <v>0</v>
      </c>
      <c r="ED54" s="275">
        <v>0</v>
      </c>
      <c r="EE54" s="277">
        <v>0</v>
      </c>
      <c r="EF54" s="212"/>
      <c r="EG54" s="273">
        <v>0</v>
      </c>
      <c r="EH54" s="278">
        <v>0</v>
      </c>
      <c r="EI54" s="278">
        <v>0</v>
      </c>
      <c r="EJ54" s="278">
        <v>0</v>
      </c>
      <c r="EK54" s="275">
        <v>0</v>
      </c>
      <c r="EL54" s="281">
        <v>0</v>
      </c>
      <c r="EM54" s="281">
        <v>0</v>
      </c>
      <c r="EN54" s="281">
        <v>0</v>
      </c>
      <c r="EO54" s="275">
        <v>0</v>
      </c>
      <c r="EP54" s="275">
        <v>0</v>
      </c>
      <c r="EQ54" s="275">
        <v>0</v>
      </c>
      <c r="ER54" s="277">
        <v>0</v>
      </c>
      <c r="ES54" s="283"/>
      <c r="ET54" s="273">
        <v>0</v>
      </c>
      <c r="EU54" s="278">
        <v>0</v>
      </c>
      <c r="EV54" s="278">
        <v>0</v>
      </c>
      <c r="EW54" s="278">
        <v>0</v>
      </c>
      <c r="EX54" s="275">
        <v>0</v>
      </c>
      <c r="EY54" s="281">
        <v>0</v>
      </c>
      <c r="EZ54" s="281">
        <v>0</v>
      </c>
      <c r="FA54" s="281">
        <v>0</v>
      </c>
      <c r="FB54" s="275">
        <v>0</v>
      </c>
      <c r="FC54" s="275">
        <v>0</v>
      </c>
      <c r="FD54" s="275">
        <v>0</v>
      </c>
      <c r="FE54" s="277">
        <v>0</v>
      </c>
      <c r="FF54" s="212"/>
      <c r="FG54" s="273">
        <v>0</v>
      </c>
      <c r="FH54" s="278">
        <v>0</v>
      </c>
      <c r="FI54" s="278">
        <v>0</v>
      </c>
      <c r="FJ54" s="278">
        <v>0</v>
      </c>
      <c r="FK54" s="275">
        <v>0</v>
      </c>
      <c r="FL54" s="281">
        <v>0</v>
      </c>
      <c r="FM54" s="281">
        <v>0</v>
      </c>
      <c r="FN54" s="281">
        <v>0</v>
      </c>
      <c r="FO54" s="275">
        <v>0</v>
      </c>
      <c r="FP54" s="275">
        <v>0</v>
      </c>
      <c r="FQ54" s="275">
        <v>0</v>
      </c>
      <c r="FR54" s="277">
        <v>0</v>
      </c>
      <c r="FS54" s="283"/>
      <c r="FT54" s="286">
        <v>0</v>
      </c>
      <c r="FU54" s="260">
        <v>0</v>
      </c>
      <c r="FV54" s="260">
        <v>0</v>
      </c>
      <c r="FW54" s="260">
        <v>0</v>
      </c>
      <c r="FX54" s="287">
        <v>0</v>
      </c>
      <c r="FY54" s="327">
        <v>0</v>
      </c>
      <c r="FZ54" s="275">
        <v>0</v>
      </c>
      <c r="GA54" s="275">
        <v>0</v>
      </c>
      <c r="GB54" s="275">
        <v>0</v>
      </c>
      <c r="GC54" s="275">
        <v>0</v>
      </c>
      <c r="GD54" s="275">
        <v>0</v>
      </c>
      <c r="GE54" s="275">
        <v>0</v>
      </c>
      <c r="GF54" s="277">
        <v>0</v>
      </c>
      <c r="GG54" s="214">
        <v>0</v>
      </c>
      <c r="GH54" s="286">
        <v>0</v>
      </c>
      <c r="GI54" s="260">
        <v>0</v>
      </c>
      <c r="GJ54" s="260">
        <v>0</v>
      </c>
      <c r="GK54" s="260">
        <v>0</v>
      </c>
      <c r="GL54" s="291">
        <v>0</v>
      </c>
      <c r="GM54" s="275">
        <v>0</v>
      </c>
      <c r="GN54" s="275">
        <v>0</v>
      </c>
      <c r="GO54" s="275">
        <v>0</v>
      </c>
      <c r="GP54" s="275">
        <v>0</v>
      </c>
      <c r="GQ54" s="275">
        <v>0</v>
      </c>
      <c r="GR54" s="277">
        <v>0</v>
      </c>
      <c r="GS54" s="275">
        <v>0</v>
      </c>
      <c r="GT54" s="284">
        <v>0</v>
      </c>
      <c r="GU54" s="292">
        <v>0</v>
      </c>
      <c r="GV54" s="214">
        <v>0</v>
      </c>
      <c r="GW54" s="293">
        <v>0</v>
      </c>
      <c r="GX54" s="294"/>
      <c r="GY54" s="293">
        <v>0</v>
      </c>
      <c r="GZ54" s="293">
        <v>0</v>
      </c>
      <c r="HA54" s="293">
        <v>0</v>
      </c>
      <c r="HB54" s="293">
        <v>0</v>
      </c>
      <c r="HC54" s="295">
        <v>0</v>
      </c>
    </row>
    <row r="55" spans="1:211" s="381" customFormat="1" ht="12.75" customHeight="1">
      <c r="A55" s="392"/>
      <c r="B55" s="328" t="s">
        <v>221</v>
      </c>
      <c r="C55" s="297" t="s">
        <v>135</v>
      </c>
      <c r="D55" s="299" t="s">
        <v>216</v>
      </c>
      <c r="E55" s="297" t="s">
        <v>217</v>
      </c>
      <c r="F55" s="382" t="s">
        <v>222</v>
      </c>
      <c r="G55" s="301">
        <v>0</v>
      </c>
      <c r="H55" s="301">
        <v>0</v>
      </c>
      <c r="I55" s="258">
        <v>0</v>
      </c>
      <c r="J55" s="258">
        <v>0</v>
      </c>
      <c r="K55" s="302">
        <v>0</v>
      </c>
      <c r="L55" s="261">
        <v>0</v>
      </c>
      <c r="M55" s="261">
        <v>0</v>
      </c>
      <c r="N55" s="260">
        <v>0</v>
      </c>
      <c r="O55" s="261">
        <v>0</v>
      </c>
      <c r="P55" s="261">
        <v>0</v>
      </c>
      <c r="Q55" s="261">
        <v>0</v>
      </c>
      <c r="R55" s="303">
        <v>0</v>
      </c>
      <c r="S55" s="261">
        <f t="shared" si="3"/>
        <v>0</v>
      </c>
      <c r="T55" s="388">
        <v>0</v>
      </c>
      <c r="U55" s="267">
        <v>0</v>
      </c>
      <c r="V55" s="259">
        <v>0</v>
      </c>
      <c r="W55" s="259">
        <v>0</v>
      </c>
      <c r="X55" s="259">
        <v>0</v>
      </c>
      <c r="Y55" s="259">
        <v>0</v>
      </c>
      <c r="Z55" s="259">
        <v>0</v>
      </c>
      <c r="AA55" s="259">
        <v>0</v>
      </c>
      <c r="AB55" s="259">
        <v>0</v>
      </c>
      <c r="AC55" s="259">
        <v>0</v>
      </c>
      <c r="AD55" s="259">
        <v>0</v>
      </c>
      <c r="AE55" s="395">
        <v>0</v>
      </c>
      <c r="AF55" s="209"/>
      <c r="AG55" s="388">
        <v>0</v>
      </c>
      <c r="AH55" s="267">
        <v>0</v>
      </c>
      <c r="AI55" s="259">
        <v>0</v>
      </c>
      <c r="AJ55" s="259">
        <v>0</v>
      </c>
      <c r="AK55" s="259">
        <v>0</v>
      </c>
      <c r="AL55" s="259">
        <v>0</v>
      </c>
      <c r="AM55" s="259">
        <v>0</v>
      </c>
      <c r="AN55" s="259">
        <v>0</v>
      </c>
      <c r="AO55" s="259">
        <v>0</v>
      </c>
      <c r="AP55" s="259">
        <v>0</v>
      </c>
      <c r="AQ55" s="259">
        <v>0</v>
      </c>
      <c r="AR55" s="268">
        <v>0</v>
      </c>
      <c r="AS55" s="269">
        <v>0</v>
      </c>
      <c r="AT55" s="305">
        <v>0</v>
      </c>
      <c r="AU55" s="336">
        <v>0</v>
      </c>
      <c r="AV55" s="336">
        <v>0</v>
      </c>
      <c r="AW55" s="336">
        <v>0</v>
      </c>
      <c r="AX55" s="336">
        <v>0</v>
      </c>
      <c r="AY55" s="336">
        <v>0</v>
      </c>
      <c r="AZ55" s="259">
        <v>0</v>
      </c>
      <c r="BA55" s="259">
        <v>0</v>
      </c>
      <c r="BB55" s="259">
        <v>0</v>
      </c>
      <c r="BC55" s="259">
        <v>0</v>
      </c>
      <c r="BD55" s="259">
        <v>0</v>
      </c>
      <c r="BE55" s="268">
        <v>0</v>
      </c>
      <c r="BF55" s="209"/>
      <c r="BG55" s="305">
        <v>0</v>
      </c>
      <c r="BH55" s="336">
        <v>0</v>
      </c>
      <c r="BI55" s="336">
        <v>0</v>
      </c>
      <c r="BJ55" s="336">
        <v>0</v>
      </c>
      <c r="BK55" s="336">
        <v>0</v>
      </c>
      <c r="BL55" s="336">
        <v>0</v>
      </c>
      <c r="BM55" s="259">
        <v>0</v>
      </c>
      <c r="BN55" s="259">
        <v>0</v>
      </c>
      <c r="BO55" s="259">
        <v>0</v>
      </c>
      <c r="BP55" s="259">
        <v>0</v>
      </c>
      <c r="BQ55" s="259">
        <v>0</v>
      </c>
      <c r="BR55" s="268">
        <v>0</v>
      </c>
      <c r="BS55" s="209"/>
      <c r="BT55" s="389">
        <v>0</v>
      </c>
      <c r="BU55" s="307">
        <v>0</v>
      </c>
      <c r="BV55" s="307">
        <v>0</v>
      </c>
      <c r="BW55" s="307">
        <v>0</v>
      </c>
      <c r="BX55" s="307">
        <v>0</v>
      </c>
      <c r="BY55" s="307">
        <v>0</v>
      </c>
      <c r="BZ55" s="307">
        <v>0</v>
      </c>
      <c r="CA55" s="307">
        <v>0</v>
      </c>
      <c r="CB55" s="307">
        <v>0</v>
      </c>
      <c r="CC55" s="307">
        <v>0</v>
      </c>
      <c r="CD55" s="307">
        <v>0</v>
      </c>
      <c r="CE55" s="308">
        <v>0</v>
      </c>
      <c r="CF55" s="212"/>
      <c r="CG55" s="273">
        <v>0</v>
      </c>
      <c r="CH55" s="274">
        <v>0</v>
      </c>
      <c r="CI55" s="274">
        <v>0</v>
      </c>
      <c r="CJ55" s="274">
        <v>0</v>
      </c>
      <c r="CK55" s="274">
        <v>0</v>
      </c>
      <c r="CL55" s="309">
        <v>0</v>
      </c>
      <c r="CM55" s="276">
        <v>0</v>
      </c>
      <c r="CN55" s="276">
        <v>0</v>
      </c>
      <c r="CO55" s="276">
        <v>0</v>
      </c>
      <c r="CP55" s="276">
        <v>0</v>
      </c>
      <c r="CQ55" s="276">
        <v>0</v>
      </c>
      <c r="CR55" s="313">
        <v>0</v>
      </c>
      <c r="CS55" s="390"/>
      <c r="CT55" s="273">
        <v>0</v>
      </c>
      <c r="CU55" s="278">
        <v>0</v>
      </c>
      <c r="CV55" s="278">
        <v>0</v>
      </c>
      <c r="CW55" s="278">
        <v>0</v>
      </c>
      <c r="CX55" s="278">
        <v>0</v>
      </c>
      <c r="CY55" s="278">
        <v>0</v>
      </c>
      <c r="CZ55" s="278">
        <v>0</v>
      </c>
      <c r="DA55" s="278">
        <v>0</v>
      </c>
      <c r="DB55" s="278">
        <v>0</v>
      </c>
      <c r="DC55" s="278">
        <v>0</v>
      </c>
      <c r="DD55" s="278">
        <v>0</v>
      </c>
      <c r="DE55" s="278">
        <v>0</v>
      </c>
      <c r="DF55" s="390">
        <f t="shared" si="4"/>
        <v>0</v>
      </c>
      <c r="DG55" s="391">
        <v>0</v>
      </c>
      <c r="DH55" s="281">
        <v>0</v>
      </c>
      <c r="DI55" s="278">
        <v>0</v>
      </c>
      <c r="DJ55" s="278">
        <v>0</v>
      </c>
      <c r="DK55" s="278">
        <v>0</v>
      </c>
      <c r="DL55" s="278">
        <v>0</v>
      </c>
      <c r="DM55" s="278">
        <v>0</v>
      </c>
      <c r="DN55" s="278">
        <v>0</v>
      </c>
      <c r="DO55" s="278">
        <v>0</v>
      </c>
      <c r="DP55" s="278">
        <v>0</v>
      </c>
      <c r="DQ55" s="278">
        <v>0</v>
      </c>
      <c r="DR55" s="282">
        <v>0</v>
      </c>
      <c r="DS55" s="226"/>
      <c r="DT55" s="273">
        <v>0</v>
      </c>
      <c r="DU55" s="278">
        <v>0</v>
      </c>
      <c r="DV55" s="278">
        <v>0</v>
      </c>
      <c r="DW55" s="278">
        <v>0</v>
      </c>
      <c r="DX55" s="275">
        <v>0</v>
      </c>
      <c r="DY55" s="281">
        <v>0</v>
      </c>
      <c r="DZ55" s="281">
        <v>0</v>
      </c>
      <c r="EA55" s="281">
        <v>0</v>
      </c>
      <c r="EB55" s="275">
        <v>0</v>
      </c>
      <c r="EC55" s="275">
        <v>0</v>
      </c>
      <c r="ED55" s="275">
        <v>0</v>
      </c>
      <c r="EE55" s="277">
        <v>0</v>
      </c>
      <c r="EF55" s="212"/>
      <c r="EG55" s="273">
        <v>0</v>
      </c>
      <c r="EH55" s="278">
        <v>0</v>
      </c>
      <c r="EI55" s="278">
        <v>0</v>
      </c>
      <c r="EJ55" s="278">
        <v>0</v>
      </c>
      <c r="EK55" s="275">
        <v>0</v>
      </c>
      <c r="EL55" s="281">
        <v>0</v>
      </c>
      <c r="EM55" s="275">
        <v>0</v>
      </c>
      <c r="EN55" s="275">
        <v>0</v>
      </c>
      <c r="EO55" s="275">
        <v>0</v>
      </c>
      <c r="EP55" s="284">
        <v>0</v>
      </c>
      <c r="EQ55" s="284">
        <v>0</v>
      </c>
      <c r="ER55" s="285">
        <v>0</v>
      </c>
      <c r="ES55" s="283"/>
      <c r="ET55" s="273">
        <v>0</v>
      </c>
      <c r="EU55" s="278">
        <v>0</v>
      </c>
      <c r="EV55" s="278">
        <v>0</v>
      </c>
      <c r="EW55" s="278">
        <v>0</v>
      </c>
      <c r="EX55" s="275">
        <v>0</v>
      </c>
      <c r="EY55" s="281">
        <v>0</v>
      </c>
      <c r="EZ55" s="281">
        <v>0</v>
      </c>
      <c r="FA55" s="281">
        <v>0</v>
      </c>
      <c r="FB55" s="275">
        <v>0</v>
      </c>
      <c r="FC55" s="275">
        <v>0</v>
      </c>
      <c r="FD55" s="275">
        <v>0</v>
      </c>
      <c r="FE55" s="277">
        <v>0</v>
      </c>
      <c r="FF55" s="212"/>
      <c r="FG55" s="273">
        <v>0</v>
      </c>
      <c r="FH55" s="278">
        <v>0</v>
      </c>
      <c r="FI55" s="278">
        <v>0</v>
      </c>
      <c r="FJ55" s="278">
        <v>0</v>
      </c>
      <c r="FK55" s="275">
        <v>0</v>
      </c>
      <c r="FL55" s="281">
        <v>0</v>
      </c>
      <c r="FM55" s="275">
        <v>0</v>
      </c>
      <c r="FN55" s="275">
        <v>0</v>
      </c>
      <c r="FO55" s="275">
        <v>0</v>
      </c>
      <c r="FP55" s="284">
        <v>0</v>
      </c>
      <c r="FQ55" s="284">
        <v>0</v>
      </c>
      <c r="FR55" s="285">
        <v>0</v>
      </c>
      <c r="FS55" s="283"/>
      <c r="FT55" s="286">
        <v>0</v>
      </c>
      <c r="FU55" s="260">
        <v>0</v>
      </c>
      <c r="FV55" s="260">
        <v>0</v>
      </c>
      <c r="FW55" s="260">
        <v>0</v>
      </c>
      <c r="FX55" s="287">
        <v>0</v>
      </c>
      <c r="FY55" s="327">
        <v>0</v>
      </c>
      <c r="FZ55" s="275">
        <v>0</v>
      </c>
      <c r="GA55" s="275">
        <v>0</v>
      </c>
      <c r="GB55" s="275">
        <v>0</v>
      </c>
      <c r="GC55" s="275">
        <v>0</v>
      </c>
      <c r="GD55" s="275">
        <v>0</v>
      </c>
      <c r="GE55" s="275">
        <v>0</v>
      </c>
      <c r="GF55" s="277">
        <v>0</v>
      </c>
      <c r="GG55" s="214">
        <v>0</v>
      </c>
      <c r="GH55" s="286">
        <v>0</v>
      </c>
      <c r="GI55" s="260">
        <v>0</v>
      </c>
      <c r="GJ55" s="260">
        <v>0</v>
      </c>
      <c r="GK55" s="260">
        <v>0</v>
      </c>
      <c r="GL55" s="291">
        <v>0</v>
      </c>
      <c r="GM55" s="275">
        <v>0</v>
      </c>
      <c r="GN55" s="275">
        <v>0</v>
      </c>
      <c r="GO55" s="275">
        <v>0</v>
      </c>
      <c r="GP55" s="275">
        <v>0</v>
      </c>
      <c r="GQ55" s="275">
        <v>0</v>
      </c>
      <c r="GR55" s="277">
        <v>0</v>
      </c>
      <c r="GS55" s="275">
        <v>0</v>
      </c>
      <c r="GT55" s="284">
        <v>0</v>
      </c>
      <c r="GU55" s="292">
        <v>0</v>
      </c>
      <c r="GV55" s="214">
        <v>0</v>
      </c>
      <c r="GW55" s="293">
        <v>0</v>
      </c>
      <c r="GX55" s="294"/>
      <c r="GY55" s="293">
        <v>0</v>
      </c>
      <c r="GZ55" s="293">
        <v>0</v>
      </c>
      <c r="HA55" s="293">
        <v>0</v>
      </c>
      <c r="HB55" s="293">
        <v>0</v>
      </c>
      <c r="HC55" s="295">
        <v>0</v>
      </c>
    </row>
    <row r="56" spans="1:211" s="381" customFormat="1">
      <c r="A56" s="392"/>
      <c r="B56" s="328" t="s">
        <v>223</v>
      </c>
      <c r="C56" s="297" t="s">
        <v>135</v>
      </c>
      <c r="D56" s="299" t="s">
        <v>216</v>
      </c>
      <c r="E56" s="297" t="s">
        <v>217</v>
      </c>
      <c r="F56" s="382" t="s">
        <v>144</v>
      </c>
      <c r="G56" s="301">
        <v>0</v>
      </c>
      <c r="H56" s="301">
        <v>0</v>
      </c>
      <c r="I56" s="258">
        <v>140.64999999999998</v>
      </c>
      <c r="J56" s="258">
        <v>0</v>
      </c>
      <c r="K56" s="302">
        <v>0</v>
      </c>
      <c r="L56" s="261">
        <v>0</v>
      </c>
      <c r="M56" s="261">
        <v>0</v>
      </c>
      <c r="N56" s="260">
        <v>0</v>
      </c>
      <c r="O56" s="261">
        <v>0</v>
      </c>
      <c r="P56" s="261">
        <v>0</v>
      </c>
      <c r="Q56" s="261">
        <v>0</v>
      </c>
      <c r="R56" s="303">
        <v>0</v>
      </c>
      <c r="S56" s="261">
        <f t="shared" si="3"/>
        <v>0</v>
      </c>
      <c r="T56" s="388">
        <v>0</v>
      </c>
      <c r="U56" s="267">
        <v>0</v>
      </c>
      <c r="V56" s="267">
        <v>0</v>
      </c>
      <c r="W56" s="267">
        <v>0</v>
      </c>
      <c r="X56" s="267">
        <v>0</v>
      </c>
      <c r="Y56" s="267">
        <v>0</v>
      </c>
      <c r="Z56" s="267">
        <v>0</v>
      </c>
      <c r="AA56" s="267">
        <v>0</v>
      </c>
      <c r="AB56" s="267">
        <v>0</v>
      </c>
      <c r="AC56" s="267">
        <v>0</v>
      </c>
      <c r="AD56" s="267">
        <v>0</v>
      </c>
      <c r="AE56" s="395">
        <v>0</v>
      </c>
      <c r="AF56" s="209"/>
      <c r="AG56" s="388">
        <v>0</v>
      </c>
      <c r="AH56" s="267">
        <v>0</v>
      </c>
      <c r="AI56" s="259">
        <v>140</v>
      </c>
      <c r="AJ56" s="259">
        <v>0</v>
      </c>
      <c r="AK56" s="259">
        <v>0</v>
      </c>
      <c r="AL56" s="259">
        <v>0</v>
      </c>
      <c r="AM56" s="259">
        <v>0</v>
      </c>
      <c r="AN56" s="259">
        <v>0</v>
      </c>
      <c r="AO56" s="259">
        <v>0</v>
      </c>
      <c r="AP56" s="259">
        <v>0</v>
      </c>
      <c r="AQ56" s="259">
        <v>0</v>
      </c>
      <c r="AR56" s="268">
        <v>0</v>
      </c>
      <c r="AS56" s="269">
        <v>0</v>
      </c>
      <c r="AT56" s="305">
        <v>0</v>
      </c>
      <c r="AU56" s="336">
        <v>0</v>
      </c>
      <c r="AV56" s="336">
        <v>87374.751510842529</v>
      </c>
      <c r="AW56" s="336">
        <v>0</v>
      </c>
      <c r="AX56" s="336">
        <v>0</v>
      </c>
      <c r="AY56" s="335">
        <v>0</v>
      </c>
      <c r="AZ56" s="259">
        <v>0</v>
      </c>
      <c r="BA56" s="259">
        <v>0</v>
      </c>
      <c r="BB56" s="259">
        <v>0</v>
      </c>
      <c r="BC56" s="259">
        <v>0</v>
      </c>
      <c r="BD56" s="259">
        <v>0</v>
      </c>
      <c r="BE56" s="268">
        <v>0</v>
      </c>
      <c r="BF56" s="209"/>
      <c r="BG56" s="305">
        <v>0</v>
      </c>
      <c r="BH56" s="336">
        <v>0</v>
      </c>
      <c r="BI56" s="336">
        <v>87374.751510842529</v>
      </c>
      <c r="BJ56" s="336">
        <v>0</v>
      </c>
      <c r="BK56" s="336">
        <v>0</v>
      </c>
      <c r="BL56" s="336">
        <v>0</v>
      </c>
      <c r="BM56" s="335">
        <v>0</v>
      </c>
      <c r="BN56" s="335">
        <v>0</v>
      </c>
      <c r="BO56" s="335">
        <v>0</v>
      </c>
      <c r="BP56" s="335">
        <v>0</v>
      </c>
      <c r="BQ56" s="335">
        <v>0</v>
      </c>
      <c r="BR56" s="268">
        <v>0</v>
      </c>
      <c r="BS56" s="209"/>
      <c r="BT56" s="389">
        <v>0</v>
      </c>
      <c r="BU56" s="307">
        <v>0</v>
      </c>
      <c r="BV56" s="307">
        <v>87375.295612639922</v>
      </c>
      <c r="BW56" s="307">
        <v>0</v>
      </c>
      <c r="BX56" s="307">
        <v>0</v>
      </c>
      <c r="BY56" s="307">
        <v>0</v>
      </c>
      <c r="BZ56" s="307">
        <v>0</v>
      </c>
      <c r="CA56" s="307">
        <v>0</v>
      </c>
      <c r="CB56" s="307">
        <v>0</v>
      </c>
      <c r="CC56" s="307">
        <v>0</v>
      </c>
      <c r="CD56" s="307">
        <v>0</v>
      </c>
      <c r="CE56" s="308">
        <v>0</v>
      </c>
      <c r="CF56" s="212"/>
      <c r="CG56" s="312">
        <v>0</v>
      </c>
      <c r="CH56" s="274">
        <v>0</v>
      </c>
      <c r="CI56" s="274">
        <v>1.22892588</v>
      </c>
      <c r="CJ56" s="274">
        <v>0</v>
      </c>
      <c r="CK56" s="274">
        <v>0</v>
      </c>
      <c r="CL56" s="309">
        <v>0</v>
      </c>
      <c r="CM56" s="276">
        <v>0</v>
      </c>
      <c r="CN56" s="276">
        <v>0</v>
      </c>
      <c r="CO56" s="276">
        <v>0</v>
      </c>
      <c r="CP56" s="276">
        <v>0</v>
      </c>
      <c r="CQ56" s="276">
        <v>0</v>
      </c>
      <c r="CR56" s="313">
        <v>0</v>
      </c>
      <c r="CS56" s="390"/>
      <c r="CT56" s="273">
        <v>0</v>
      </c>
      <c r="CU56" s="278">
        <v>0</v>
      </c>
      <c r="CV56" s="278">
        <v>0</v>
      </c>
      <c r="CW56" s="278">
        <v>0</v>
      </c>
      <c r="CX56" s="278">
        <v>0</v>
      </c>
      <c r="CY56" s="278">
        <v>0</v>
      </c>
      <c r="CZ56" s="278">
        <v>0</v>
      </c>
      <c r="DA56" s="278">
        <v>0</v>
      </c>
      <c r="DB56" s="278">
        <v>0</v>
      </c>
      <c r="DC56" s="278">
        <v>0</v>
      </c>
      <c r="DD56" s="278">
        <v>0</v>
      </c>
      <c r="DE56" s="278">
        <v>0</v>
      </c>
      <c r="DF56" s="390">
        <f t="shared" si="4"/>
        <v>0</v>
      </c>
      <c r="DG56" s="391">
        <v>0</v>
      </c>
      <c r="DH56" s="281">
        <v>0</v>
      </c>
      <c r="DI56" s="281">
        <v>1.2232541385769591</v>
      </c>
      <c r="DJ56" s="281">
        <v>0</v>
      </c>
      <c r="DK56" s="281">
        <v>0</v>
      </c>
      <c r="DL56" s="281">
        <v>0</v>
      </c>
      <c r="DM56" s="278">
        <v>0</v>
      </c>
      <c r="DN56" s="278">
        <v>0</v>
      </c>
      <c r="DO56" s="278">
        <v>0</v>
      </c>
      <c r="DP56" s="278">
        <v>0</v>
      </c>
      <c r="DQ56" s="278">
        <v>0</v>
      </c>
      <c r="DR56" s="282">
        <v>0</v>
      </c>
      <c r="DS56" s="226"/>
      <c r="DT56" s="273">
        <v>0</v>
      </c>
      <c r="DU56" s="278">
        <v>0</v>
      </c>
      <c r="DV56" s="278">
        <v>0</v>
      </c>
      <c r="DW56" s="278">
        <v>0</v>
      </c>
      <c r="DX56" s="275">
        <v>0</v>
      </c>
      <c r="DY56" s="281">
        <v>0</v>
      </c>
      <c r="DZ56" s="281">
        <v>0</v>
      </c>
      <c r="EA56" s="281">
        <v>0</v>
      </c>
      <c r="EB56" s="275">
        <v>0</v>
      </c>
      <c r="EC56" s="275">
        <v>0</v>
      </c>
      <c r="ED56" s="275">
        <v>0</v>
      </c>
      <c r="EE56" s="277">
        <v>0</v>
      </c>
      <c r="EF56" s="212"/>
      <c r="EG56" s="273">
        <v>0</v>
      </c>
      <c r="EH56" s="278">
        <v>0</v>
      </c>
      <c r="EI56" s="278">
        <v>1.2289258799999998</v>
      </c>
      <c r="EJ56" s="278">
        <v>0</v>
      </c>
      <c r="EK56" s="275">
        <v>0</v>
      </c>
      <c r="EL56" s="281">
        <v>0</v>
      </c>
      <c r="EM56" s="275">
        <v>0</v>
      </c>
      <c r="EN56" s="275">
        <v>0</v>
      </c>
      <c r="EO56" s="275">
        <v>0</v>
      </c>
      <c r="EP56" s="284">
        <v>0</v>
      </c>
      <c r="EQ56" s="284">
        <v>0</v>
      </c>
      <c r="ER56" s="285">
        <v>0</v>
      </c>
      <c r="ES56" s="283"/>
      <c r="ET56" s="273">
        <v>0</v>
      </c>
      <c r="EU56" s="278">
        <v>0</v>
      </c>
      <c r="EV56" s="278">
        <v>-7.6527917803399017E-6</v>
      </c>
      <c r="EW56" s="278">
        <v>0</v>
      </c>
      <c r="EX56" s="275">
        <v>0</v>
      </c>
      <c r="EY56" s="281">
        <v>0</v>
      </c>
      <c r="EZ56" s="281">
        <v>0</v>
      </c>
      <c r="FA56" s="281">
        <v>0</v>
      </c>
      <c r="FB56" s="275">
        <v>0</v>
      </c>
      <c r="FC56" s="275">
        <v>0</v>
      </c>
      <c r="FD56" s="275">
        <v>0</v>
      </c>
      <c r="FE56" s="277">
        <v>0</v>
      </c>
      <c r="FF56" s="212"/>
      <c r="FG56" s="273">
        <v>0</v>
      </c>
      <c r="FH56" s="278">
        <v>0</v>
      </c>
      <c r="FI56" s="278">
        <v>5.6793942148213967E-3</v>
      </c>
      <c r="FJ56" s="278">
        <v>0</v>
      </c>
      <c r="FK56" s="275">
        <v>0</v>
      </c>
      <c r="FL56" s="281">
        <v>0</v>
      </c>
      <c r="FM56" s="275">
        <v>0</v>
      </c>
      <c r="FN56" s="275">
        <v>0</v>
      </c>
      <c r="FO56" s="275">
        <v>0</v>
      </c>
      <c r="FP56" s="284">
        <v>0</v>
      </c>
      <c r="FQ56" s="284">
        <v>0</v>
      </c>
      <c r="FR56" s="285">
        <v>0</v>
      </c>
      <c r="FS56" s="283"/>
      <c r="FT56" s="286">
        <v>140.64999999999998</v>
      </c>
      <c r="FU56" s="260">
        <v>0</v>
      </c>
      <c r="FV56" s="260">
        <v>140</v>
      </c>
      <c r="FW56" s="260">
        <v>140.64999999999998</v>
      </c>
      <c r="FX56" s="287">
        <v>0</v>
      </c>
      <c r="FY56" s="327">
        <v>1.22892588</v>
      </c>
      <c r="FZ56" s="275">
        <v>0</v>
      </c>
      <c r="GA56" s="275">
        <v>1.2232541385769591</v>
      </c>
      <c r="GB56" s="275">
        <v>1.22892588</v>
      </c>
      <c r="GC56" s="275">
        <v>1.2289258799999998</v>
      </c>
      <c r="GD56" s="275">
        <v>0</v>
      </c>
      <c r="GE56" s="275">
        <v>5.6793942148213967E-3</v>
      </c>
      <c r="GF56" s="277">
        <v>-7.6527917803399017E-6</v>
      </c>
      <c r="GG56" s="214">
        <v>0</v>
      </c>
      <c r="GH56" s="286">
        <v>0</v>
      </c>
      <c r="GI56" s="260">
        <v>0</v>
      </c>
      <c r="GJ56" s="260">
        <v>0</v>
      </c>
      <c r="GK56" s="260">
        <v>0</v>
      </c>
      <c r="GL56" s="291">
        <v>0</v>
      </c>
      <c r="GM56" s="275">
        <v>0</v>
      </c>
      <c r="GN56" s="275">
        <v>0</v>
      </c>
      <c r="GO56" s="275">
        <v>0</v>
      </c>
      <c r="GP56" s="275">
        <v>0</v>
      </c>
      <c r="GQ56" s="275">
        <v>0</v>
      </c>
      <c r="GR56" s="277">
        <v>0</v>
      </c>
      <c r="GS56" s="275">
        <v>0</v>
      </c>
      <c r="GT56" s="284">
        <v>0</v>
      </c>
      <c r="GU56" s="292">
        <v>0</v>
      </c>
      <c r="GV56" s="214">
        <v>0</v>
      </c>
      <c r="GW56" s="293">
        <v>0</v>
      </c>
      <c r="GX56" s="294"/>
      <c r="GY56" s="293">
        <v>5.6717414230409435E-3</v>
      </c>
      <c r="GZ56" s="293">
        <v>1.1362438767648086E-16</v>
      </c>
      <c r="HA56" s="293">
        <v>0</v>
      </c>
      <c r="HB56" s="293">
        <v>0</v>
      </c>
      <c r="HC56" s="295">
        <v>0</v>
      </c>
    </row>
    <row r="57" spans="1:211" s="381" customFormat="1" ht="12.75" customHeight="1">
      <c r="A57" s="392"/>
      <c r="B57" s="328" t="s">
        <v>224</v>
      </c>
      <c r="C57" s="297" t="s">
        <v>225</v>
      </c>
      <c r="D57" s="299" t="s">
        <v>216</v>
      </c>
      <c r="E57" s="297" t="s">
        <v>226</v>
      </c>
      <c r="F57" s="382" t="s">
        <v>144</v>
      </c>
      <c r="G57" s="301">
        <v>0</v>
      </c>
      <c r="H57" s="301">
        <v>0</v>
      </c>
      <c r="I57" s="258">
        <v>0</v>
      </c>
      <c r="J57" s="258">
        <v>0</v>
      </c>
      <c r="K57" s="302">
        <v>0</v>
      </c>
      <c r="L57" s="261">
        <v>2.5209999999999999</v>
      </c>
      <c r="M57" s="261">
        <v>5.0709999999999997</v>
      </c>
      <c r="N57" s="260">
        <v>0</v>
      </c>
      <c r="O57" s="261">
        <v>0</v>
      </c>
      <c r="P57" s="261">
        <v>0</v>
      </c>
      <c r="Q57" s="261">
        <v>0</v>
      </c>
      <c r="R57" s="303">
        <v>0</v>
      </c>
      <c r="S57" s="261">
        <f t="shared" si="3"/>
        <v>0</v>
      </c>
      <c r="T57" s="388">
        <v>0</v>
      </c>
      <c r="U57" s="267">
        <v>0</v>
      </c>
      <c r="V57" s="259">
        <v>0</v>
      </c>
      <c r="W57" s="259">
        <v>0</v>
      </c>
      <c r="X57" s="259">
        <v>0</v>
      </c>
      <c r="Y57" s="259">
        <v>0</v>
      </c>
      <c r="Z57" s="259">
        <v>0</v>
      </c>
      <c r="AA57" s="259">
        <v>0</v>
      </c>
      <c r="AB57" s="259">
        <v>0</v>
      </c>
      <c r="AC57" s="259">
        <v>0</v>
      </c>
      <c r="AD57" s="259">
        <v>0</v>
      </c>
      <c r="AE57" s="395">
        <v>0</v>
      </c>
      <c r="AF57" s="209"/>
      <c r="AG57" s="388">
        <v>0</v>
      </c>
      <c r="AH57" s="267">
        <v>0</v>
      </c>
      <c r="AI57" s="259">
        <v>0</v>
      </c>
      <c r="AJ57" s="259">
        <v>0</v>
      </c>
      <c r="AK57" s="259">
        <v>0</v>
      </c>
      <c r="AL57" s="259">
        <v>0</v>
      </c>
      <c r="AM57" s="259">
        <v>0</v>
      </c>
      <c r="AN57" s="259">
        <v>0</v>
      </c>
      <c r="AO57" s="259">
        <v>0</v>
      </c>
      <c r="AP57" s="259">
        <v>0</v>
      </c>
      <c r="AQ57" s="259">
        <v>0</v>
      </c>
      <c r="AR57" s="268">
        <v>0</v>
      </c>
      <c r="AS57" s="269">
        <v>0</v>
      </c>
      <c r="AT57" s="305">
        <v>0</v>
      </c>
      <c r="AU57" s="336">
        <v>0</v>
      </c>
      <c r="AV57" s="336">
        <v>0</v>
      </c>
      <c r="AW57" s="336">
        <v>0</v>
      </c>
      <c r="AX57" s="336">
        <v>0</v>
      </c>
      <c r="AY57" s="336">
        <v>124808.14756049187</v>
      </c>
      <c r="AZ57" s="259">
        <v>124803.28140406231</v>
      </c>
      <c r="BA57" s="259">
        <v>0</v>
      </c>
      <c r="BB57" s="259">
        <v>0</v>
      </c>
      <c r="BC57" s="259">
        <v>0</v>
      </c>
      <c r="BD57" s="259">
        <v>0</v>
      </c>
      <c r="BE57" s="268">
        <v>0</v>
      </c>
      <c r="BF57" s="209"/>
      <c r="BG57" s="305">
        <v>0</v>
      </c>
      <c r="BH57" s="336">
        <v>0</v>
      </c>
      <c r="BI57" s="336">
        <v>0</v>
      </c>
      <c r="BJ57" s="336">
        <v>0</v>
      </c>
      <c r="BK57" s="336">
        <v>0</v>
      </c>
      <c r="BL57" s="336">
        <v>124808.14756049187</v>
      </c>
      <c r="BM57" s="259">
        <v>124803.28140406231</v>
      </c>
      <c r="BN57" s="259">
        <v>0</v>
      </c>
      <c r="BO57" s="259">
        <v>0</v>
      </c>
      <c r="BP57" s="259">
        <v>0</v>
      </c>
      <c r="BQ57" s="259">
        <v>0</v>
      </c>
      <c r="BR57" s="268">
        <v>0</v>
      </c>
      <c r="BS57" s="209"/>
      <c r="BT57" s="389">
        <v>0</v>
      </c>
      <c r="BU57" s="307">
        <v>0</v>
      </c>
      <c r="BV57" s="307">
        <v>0</v>
      </c>
      <c r="BW57" s="307">
        <v>0</v>
      </c>
      <c r="BX57" s="307">
        <v>0</v>
      </c>
      <c r="BY57" s="307">
        <v>0</v>
      </c>
      <c r="BZ57" s="307">
        <v>0</v>
      </c>
      <c r="CA57" s="307">
        <v>0</v>
      </c>
      <c r="CB57" s="307">
        <v>0</v>
      </c>
      <c r="CC57" s="307">
        <v>0</v>
      </c>
      <c r="CD57" s="307">
        <v>0</v>
      </c>
      <c r="CE57" s="308">
        <v>0</v>
      </c>
      <c r="CF57" s="212"/>
      <c r="CG57" s="312">
        <v>0</v>
      </c>
      <c r="CH57" s="274">
        <v>0</v>
      </c>
      <c r="CI57" s="274">
        <v>0</v>
      </c>
      <c r="CJ57" s="274">
        <v>0</v>
      </c>
      <c r="CK57" s="274">
        <v>0</v>
      </c>
      <c r="CL57" s="309">
        <v>3.1464133999999998E-2</v>
      </c>
      <c r="CM57" s="276">
        <v>6.3287743999999993E-2</v>
      </c>
      <c r="CN57" s="276">
        <v>0</v>
      </c>
      <c r="CO57" s="276">
        <v>0</v>
      </c>
      <c r="CP57" s="276">
        <v>0</v>
      </c>
      <c r="CQ57" s="276">
        <v>0</v>
      </c>
      <c r="CR57" s="313">
        <v>0</v>
      </c>
      <c r="CS57" s="390"/>
      <c r="CT57" s="273">
        <v>0</v>
      </c>
      <c r="CU57" s="278">
        <v>0</v>
      </c>
      <c r="CV57" s="278">
        <v>0</v>
      </c>
      <c r="CW57" s="278">
        <v>0</v>
      </c>
      <c r="CX57" s="278">
        <v>0</v>
      </c>
      <c r="CY57" s="278">
        <v>0</v>
      </c>
      <c r="CZ57" s="278">
        <v>0</v>
      </c>
      <c r="DA57" s="278">
        <v>0</v>
      </c>
      <c r="DB57" s="278">
        <v>0</v>
      </c>
      <c r="DC57" s="278">
        <v>0</v>
      </c>
      <c r="DD57" s="278">
        <v>0</v>
      </c>
      <c r="DE57" s="278">
        <v>0</v>
      </c>
      <c r="DF57" s="390">
        <f t="shared" si="4"/>
        <v>0</v>
      </c>
      <c r="DG57" s="391">
        <v>0</v>
      </c>
      <c r="DH57" s="281">
        <v>0</v>
      </c>
      <c r="DI57" s="278">
        <v>0</v>
      </c>
      <c r="DJ57" s="278">
        <v>0</v>
      </c>
      <c r="DK57" s="278">
        <v>0</v>
      </c>
      <c r="DL57" s="278">
        <v>0</v>
      </c>
      <c r="DM57" s="278">
        <v>0</v>
      </c>
      <c r="DN57" s="278">
        <v>0</v>
      </c>
      <c r="DO57" s="278">
        <v>0</v>
      </c>
      <c r="DP57" s="278">
        <v>0</v>
      </c>
      <c r="DQ57" s="278">
        <v>0</v>
      </c>
      <c r="DR57" s="282">
        <v>0</v>
      </c>
      <c r="DS57" s="226"/>
      <c r="DT57" s="273">
        <v>0</v>
      </c>
      <c r="DU57" s="278">
        <v>0</v>
      </c>
      <c r="DV57" s="278">
        <v>0</v>
      </c>
      <c r="DW57" s="278">
        <v>0</v>
      </c>
      <c r="DX57" s="275">
        <v>0</v>
      </c>
      <c r="DY57" s="281">
        <v>0</v>
      </c>
      <c r="DZ57" s="281">
        <v>0</v>
      </c>
      <c r="EA57" s="281">
        <v>0</v>
      </c>
      <c r="EB57" s="275">
        <v>0</v>
      </c>
      <c r="EC57" s="275">
        <v>0</v>
      </c>
      <c r="ED57" s="275">
        <v>0</v>
      </c>
      <c r="EE57" s="277">
        <v>0</v>
      </c>
      <c r="EF57" s="212"/>
      <c r="EG57" s="273">
        <v>0</v>
      </c>
      <c r="EH57" s="278">
        <v>0</v>
      </c>
      <c r="EI57" s="278">
        <v>0</v>
      </c>
      <c r="EJ57" s="278">
        <v>0</v>
      </c>
      <c r="EK57" s="275">
        <v>0</v>
      </c>
      <c r="EL57" s="281">
        <v>3.1464133999999998E-2</v>
      </c>
      <c r="EM57" s="281">
        <v>6.3287743999999993E-2</v>
      </c>
      <c r="EN57" s="281">
        <v>0</v>
      </c>
      <c r="EO57" s="275">
        <v>0</v>
      </c>
      <c r="EP57" s="275">
        <v>0</v>
      </c>
      <c r="EQ57" s="275">
        <v>0</v>
      </c>
      <c r="ER57" s="277">
        <v>0</v>
      </c>
      <c r="ES57" s="283"/>
      <c r="ET57" s="273">
        <v>0</v>
      </c>
      <c r="EU57" s="278">
        <v>0</v>
      </c>
      <c r="EV57" s="278">
        <v>0</v>
      </c>
      <c r="EW57" s="278">
        <v>0</v>
      </c>
      <c r="EX57" s="275">
        <v>0</v>
      </c>
      <c r="EY57" s="281">
        <v>3.1464133999999998E-2</v>
      </c>
      <c r="EZ57" s="281">
        <v>6.3287743999999993E-2</v>
      </c>
      <c r="FA57" s="281">
        <v>0</v>
      </c>
      <c r="FB57" s="275">
        <v>0</v>
      </c>
      <c r="FC57" s="275">
        <v>0</v>
      </c>
      <c r="FD57" s="275">
        <v>0</v>
      </c>
      <c r="FE57" s="277">
        <v>0</v>
      </c>
      <c r="FF57" s="212"/>
      <c r="FG57" s="273">
        <v>0</v>
      </c>
      <c r="FH57" s="278">
        <v>0</v>
      </c>
      <c r="FI57" s="278">
        <v>0</v>
      </c>
      <c r="FJ57" s="278">
        <v>0</v>
      </c>
      <c r="FK57" s="275">
        <v>0</v>
      </c>
      <c r="FL57" s="281">
        <v>0</v>
      </c>
      <c r="FM57" s="281">
        <v>0</v>
      </c>
      <c r="FN57" s="281">
        <v>0</v>
      </c>
      <c r="FO57" s="275">
        <v>0</v>
      </c>
      <c r="FP57" s="275">
        <v>0</v>
      </c>
      <c r="FQ57" s="275">
        <v>0</v>
      </c>
      <c r="FR57" s="277">
        <v>0</v>
      </c>
      <c r="FS57" s="283"/>
      <c r="FT57" s="286">
        <v>7.5919999999999996</v>
      </c>
      <c r="FU57" s="260">
        <v>0</v>
      </c>
      <c r="FV57" s="260">
        <v>0</v>
      </c>
      <c r="FW57" s="260">
        <v>7.5919999999999996</v>
      </c>
      <c r="FX57" s="287">
        <v>0</v>
      </c>
      <c r="FY57" s="327">
        <v>9.4751877999999984E-2</v>
      </c>
      <c r="FZ57" s="275">
        <v>0</v>
      </c>
      <c r="GA57" s="275">
        <v>0</v>
      </c>
      <c r="GB57" s="275">
        <v>9.4751877999999984E-2</v>
      </c>
      <c r="GC57" s="275">
        <v>9.4751877999999984E-2</v>
      </c>
      <c r="GD57" s="275">
        <v>0</v>
      </c>
      <c r="GE57" s="275">
        <v>0</v>
      </c>
      <c r="GF57" s="277">
        <v>9.4751877999999984E-2</v>
      </c>
      <c r="GG57" s="214">
        <v>0</v>
      </c>
      <c r="GH57" s="286">
        <v>0</v>
      </c>
      <c r="GI57" s="260">
        <v>0</v>
      </c>
      <c r="GJ57" s="260">
        <v>0</v>
      </c>
      <c r="GK57" s="260">
        <v>0</v>
      </c>
      <c r="GL57" s="291">
        <v>0</v>
      </c>
      <c r="GM57" s="275">
        <v>0</v>
      </c>
      <c r="GN57" s="275">
        <v>0</v>
      </c>
      <c r="GO57" s="275">
        <v>0</v>
      </c>
      <c r="GP57" s="275">
        <v>0</v>
      </c>
      <c r="GQ57" s="275">
        <v>0</v>
      </c>
      <c r="GR57" s="277">
        <v>0</v>
      </c>
      <c r="GS57" s="275">
        <v>0</v>
      </c>
      <c r="GT57" s="284">
        <v>0</v>
      </c>
      <c r="GU57" s="292">
        <v>0</v>
      </c>
      <c r="GV57" s="214">
        <v>0</v>
      </c>
      <c r="GW57" s="293">
        <v>0</v>
      </c>
      <c r="GX57" s="294"/>
      <c r="GY57" s="293">
        <v>9.4751877999999984E-2</v>
      </c>
      <c r="GZ57" s="293">
        <v>0</v>
      </c>
      <c r="HA57" s="293">
        <v>0</v>
      </c>
      <c r="HB57" s="293">
        <v>0</v>
      </c>
      <c r="HC57" s="295">
        <v>0</v>
      </c>
    </row>
    <row r="58" spans="1:211" s="381" customFormat="1" ht="15" customHeight="1">
      <c r="A58" s="392"/>
      <c r="B58" s="328" t="s">
        <v>227</v>
      </c>
      <c r="C58" s="297" t="s">
        <v>225</v>
      </c>
      <c r="D58" s="299" t="s">
        <v>216</v>
      </c>
      <c r="E58" s="297" t="s">
        <v>226</v>
      </c>
      <c r="F58" s="382" t="s">
        <v>182</v>
      </c>
      <c r="G58" s="301">
        <v>0</v>
      </c>
      <c r="H58" s="301">
        <v>0</v>
      </c>
      <c r="I58" s="258">
        <v>0</v>
      </c>
      <c r="J58" s="258">
        <v>0</v>
      </c>
      <c r="K58" s="302">
        <v>0</v>
      </c>
      <c r="L58" s="261">
        <v>6.75</v>
      </c>
      <c r="M58" s="261">
        <v>25.8</v>
      </c>
      <c r="N58" s="260">
        <v>0</v>
      </c>
      <c r="O58" s="261">
        <v>12.84</v>
      </c>
      <c r="P58" s="261">
        <v>4.1100000000000003</v>
      </c>
      <c r="Q58" s="261">
        <v>0</v>
      </c>
      <c r="R58" s="303">
        <v>0</v>
      </c>
      <c r="S58" s="261">
        <f t="shared" si="3"/>
        <v>4.1100000000000003</v>
      </c>
      <c r="T58" s="388">
        <v>0</v>
      </c>
      <c r="U58" s="267">
        <v>0</v>
      </c>
      <c r="V58" s="259">
        <v>25</v>
      </c>
      <c r="W58" s="259">
        <v>0</v>
      </c>
      <c r="X58" s="259">
        <v>25</v>
      </c>
      <c r="Y58" s="259">
        <v>0</v>
      </c>
      <c r="Z58" s="259">
        <v>25</v>
      </c>
      <c r="AA58" s="259">
        <v>0</v>
      </c>
      <c r="AB58" s="259">
        <v>0</v>
      </c>
      <c r="AC58" s="259">
        <v>0</v>
      </c>
      <c r="AD58" s="259">
        <v>0</v>
      </c>
      <c r="AE58" s="268">
        <v>0</v>
      </c>
      <c r="AF58" s="209"/>
      <c r="AG58" s="388">
        <v>0</v>
      </c>
      <c r="AH58" s="267">
        <v>0</v>
      </c>
      <c r="AI58" s="259">
        <v>0</v>
      </c>
      <c r="AJ58" s="259">
        <v>0</v>
      </c>
      <c r="AK58" s="259">
        <v>0</v>
      </c>
      <c r="AL58" s="259">
        <v>18</v>
      </c>
      <c r="AM58" s="259">
        <v>15</v>
      </c>
      <c r="AN58" s="259">
        <v>11.202999999999999</v>
      </c>
      <c r="AO58" s="259">
        <v>0</v>
      </c>
      <c r="AP58" s="259">
        <v>0</v>
      </c>
      <c r="AQ58" s="259">
        <v>0</v>
      </c>
      <c r="AR58" s="268">
        <v>0</v>
      </c>
      <c r="AS58" s="269">
        <v>0</v>
      </c>
      <c r="AT58" s="305">
        <v>0</v>
      </c>
      <c r="AU58" s="336">
        <v>0</v>
      </c>
      <c r="AV58" s="336">
        <v>0</v>
      </c>
      <c r="AW58" s="336">
        <v>0</v>
      </c>
      <c r="AX58" s="336">
        <v>0</v>
      </c>
      <c r="AY58" s="259">
        <v>117764</v>
      </c>
      <c r="AZ58" s="259">
        <v>118342.22868217053</v>
      </c>
      <c r="BA58" s="259">
        <v>0</v>
      </c>
      <c r="BB58" s="259">
        <v>119583.33333333333</v>
      </c>
      <c r="BC58" s="259">
        <v>119583.33333333331</v>
      </c>
      <c r="BD58" s="259">
        <v>0</v>
      </c>
      <c r="BE58" s="268">
        <v>0</v>
      </c>
      <c r="BF58" s="209"/>
      <c r="BG58" s="305">
        <v>0</v>
      </c>
      <c r="BH58" s="336">
        <v>0</v>
      </c>
      <c r="BI58" s="336">
        <v>128435.17770660638</v>
      </c>
      <c r="BJ58" s="336">
        <v>0</v>
      </c>
      <c r="BK58" s="336">
        <v>128435.17770660638</v>
      </c>
      <c r="BL58" s="336">
        <v>117764</v>
      </c>
      <c r="BM58" s="336">
        <v>128435.17770660638</v>
      </c>
      <c r="BN58" s="336">
        <v>0</v>
      </c>
      <c r="BO58" s="336">
        <v>119583.33333333333</v>
      </c>
      <c r="BP58" s="336">
        <v>119583.33333333331</v>
      </c>
      <c r="BQ58" s="336">
        <v>0</v>
      </c>
      <c r="BR58" s="268">
        <v>0</v>
      </c>
      <c r="BS58" s="209"/>
      <c r="BT58" s="389">
        <v>0</v>
      </c>
      <c r="BU58" s="307">
        <v>0</v>
      </c>
      <c r="BV58" s="307">
        <v>0</v>
      </c>
      <c r="BW58" s="307">
        <v>0</v>
      </c>
      <c r="BX58" s="307">
        <v>0</v>
      </c>
      <c r="BY58" s="307">
        <v>118306.1394357064</v>
      </c>
      <c r="BZ58" s="307">
        <v>118306.1394357064</v>
      </c>
      <c r="CA58" s="307">
        <v>118306.1394357064</v>
      </c>
      <c r="CB58" s="307">
        <v>0</v>
      </c>
      <c r="CC58" s="307">
        <v>0</v>
      </c>
      <c r="CD58" s="307">
        <v>0</v>
      </c>
      <c r="CE58" s="308">
        <v>0</v>
      </c>
      <c r="CF58" s="212"/>
      <c r="CG58" s="312">
        <v>0</v>
      </c>
      <c r="CH58" s="274">
        <v>0</v>
      </c>
      <c r="CI58" s="274">
        <v>0</v>
      </c>
      <c r="CJ58" s="274">
        <v>0</v>
      </c>
      <c r="CK58" s="274">
        <v>0</v>
      </c>
      <c r="CL58" s="309">
        <v>7.9490699999999997E-2</v>
      </c>
      <c r="CM58" s="276">
        <v>0.30532294999999998</v>
      </c>
      <c r="CN58" s="276">
        <v>0</v>
      </c>
      <c r="CO58" s="276">
        <v>0.15354499999999999</v>
      </c>
      <c r="CP58" s="276">
        <v>4.9148749999999998E-2</v>
      </c>
      <c r="CQ58" s="276">
        <v>0</v>
      </c>
      <c r="CR58" s="313">
        <v>0</v>
      </c>
      <c r="CS58" s="390"/>
      <c r="CT58" s="273">
        <v>0</v>
      </c>
      <c r="CU58" s="278">
        <v>0</v>
      </c>
      <c r="CV58" s="278">
        <v>0.32108794426651593</v>
      </c>
      <c r="CW58" s="278">
        <v>0</v>
      </c>
      <c r="CX58" s="278">
        <v>0.32108794426651593</v>
      </c>
      <c r="CY58" s="278">
        <v>0</v>
      </c>
      <c r="CZ58" s="278">
        <v>0.32108794426651593</v>
      </c>
      <c r="DA58" s="278">
        <v>0</v>
      </c>
      <c r="DB58" s="278">
        <v>0</v>
      </c>
      <c r="DC58" s="278">
        <v>0</v>
      </c>
      <c r="DD58" s="278">
        <v>0</v>
      </c>
      <c r="DE58" s="278">
        <v>0</v>
      </c>
      <c r="DF58" s="390">
        <f t="shared" si="4"/>
        <v>0</v>
      </c>
      <c r="DG58" s="391">
        <v>0</v>
      </c>
      <c r="DH58" s="281">
        <v>0</v>
      </c>
      <c r="DI58" s="278">
        <v>0</v>
      </c>
      <c r="DJ58" s="278">
        <v>0</v>
      </c>
      <c r="DK58" s="278">
        <v>0</v>
      </c>
      <c r="DL58" s="278">
        <v>0.21295105098427153</v>
      </c>
      <c r="DM58" s="278">
        <v>0.17745920915355962</v>
      </c>
      <c r="DN58" s="278">
        <v>0.13253836800982188</v>
      </c>
      <c r="DO58" s="278">
        <v>0</v>
      </c>
      <c r="DP58" s="278">
        <v>0</v>
      </c>
      <c r="DQ58" s="278">
        <v>0</v>
      </c>
      <c r="DR58" s="282">
        <v>0</v>
      </c>
      <c r="DS58" s="226"/>
      <c r="DT58" s="273">
        <v>0</v>
      </c>
      <c r="DU58" s="278">
        <v>0</v>
      </c>
      <c r="DV58" s="278">
        <v>0</v>
      </c>
      <c r="DW58" s="278">
        <v>0</v>
      </c>
      <c r="DX58" s="275">
        <v>0</v>
      </c>
      <c r="DY58" s="281">
        <v>0</v>
      </c>
      <c r="DZ58" s="281">
        <v>-2.6039808483044484E-2</v>
      </c>
      <c r="EA58" s="281">
        <v>0</v>
      </c>
      <c r="EB58" s="281">
        <v>0</v>
      </c>
      <c r="EC58" s="281">
        <v>0</v>
      </c>
      <c r="ED58" s="281">
        <v>0</v>
      </c>
      <c r="EE58" s="277">
        <v>0</v>
      </c>
      <c r="EF58" s="212"/>
      <c r="EG58" s="273">
        <v>0</v>
      </c>
      <c r="EH58" s="278">
        <v>0</v>
      </c>
      <c r="EI58" s="278">
        <v>-0.32108794426651599</v>
      </c>
      <c r="EJ58" s="278">
        <v>0</v>
      </c>
      <c r="EK58" s="275">
        <v>-0.32108794426651599</v>
      </c>
      <c r="EL58" s="281">
        <v>7.9490699999999997E-2</v>
      </c>
      <c r="EM58" s="275">
        <v>1.0274814216528519E-2</v>
      </c>
      <c r="EN58" s="275">
        <v>0</v>
      </c>
      <c r="EO58" s="275">
        <v>0.15354499999999999</v>
      </c>
      <c r="EP58" s="284">
        <v>4.9148749999999991E-2</v>
      </c>
      <c r="EQ58" s="284">
        <v>0</v>
      </c>
      <c r="ER58" s="285">
        <v>0</v>
      </c>
      <c r="ES58" s="283"/>
      <c r="ET58" s="273">
        <v>0</v>
      </c>
      <c r="EU58" s="278">
        <v>0</v>
      </c>
      <c r="EV58" s="278">
        <v>0</v>
      </c>
      <c r="EW58" s="278">
        <v>0</v>
      </c>
      <c r="EX58" s="275">
        <v>0</v>
      </c>
      <c r="EY58" s="281">
        <v>-3.6594411910181879E-4</v>
      </c>
      <c r="EZ58" s="281">
        <v>9.3110255877472227E-5</v>
      </c>
      <c r="FA58" s="281">
        <v>0</v>
      </c>
      <c r="FB58" s="281">
        <v>0.15354499999999999</v>
      </c>
      <c r="FC58" s="281">
        <v>4.9148749999999991E-2</v>
      </c>
      <c r="FD58" s="281">
        <v>0</v>
      </c>
      <c r="FE58" s="277">
        <v>0</v>
      </c>
      <c r="FF58" s="212"/>
      <c r="FG58" s="273">
        <v>0</v>
      </c>
      <c r="FH58" s="278">
        <v>0</v>
      </c>
      <c r="FI58" s="278">
        <v>0</v>
      </c>
      <c r="FJ58" s="278">
        <v>0</v>
      </c>
      <c r="FK58" s="275">
        <v>0</v>
      </c>
      <c r="FL58" s="281">
        <v>-0.13309440686516968</v>
      </c>
      <c r="FM58" s="275">
        <v>0.12777063059056293</v>
      </c>
      <c r="FN58" s="275">
        <v>-0.13253836800982186</v>
      </c>
      <c r="FO58" s="275">
        <v>0</v>
      </c>
      <c r="FP58" s="284">
        <v>0</v>
      </c>
      <c r="FQ58" s="284">
        <v>0</v>
      </c>
      <c r="FR58" s="285">
        <v>0</v>
      </c>
      <c r="FS58" s="283"/>
      <c r="FT58" s="286">
        <v>49.5</v>
      </c>
      <c r="FU58" s="260">
        <v>75</v>
      </c>
      <c r="FV58" s="260">
        <v>44.203000000000003</v>
      </c>
      <c r="FW58" s="260">
        <v>-25.5</v>
      </c>
      <c r="FX58" s="287">
        <v>-0.34</v>
      </c>
      <c r="FY58" s="327">
        <v>0.5875073999999999</v>
      </c>
      <c r="FZ58" s="275">
        <v>0.96326383279954775</v>
      </c>
      <c r="GA58" s="275">
        <v>0.52294862814765297</v>
      </c>
      <c r="GB58" s="275">
        <v>-0.37575643279954785</v>
      </c>
      <c r="GC58" s="275">
        <v>-0.34971662431650341</v>
      </c>
      <c r="GD58" s="275">
        <v>-2.6039808483044484E-2</v>
      </c>
      <c r="GE58" s="275">
        <v>-0.13786214428442861</v>
      </c>
      <c r="GF58" s="277">
        <v>0.20242091613677562</v>
      </c>
      <c r="GG58" s="214">
        <v>0</v>
      </c>
      <c r="GH58" s="286">
        <v>0</v>
      </c>
      <c r="GI58" s="260">
        <v>0</v>
      </c>
      <c r="GJ58" s="260">
        <v>0</v>
      </c>
      <c r="GK58" s="260">
        <v>0</v>
      </c>
      <c r="GL58" s="291">
        <v>0</v>
      </c>
      <c r="GM58" s="275">
        <v>0</v>
      </c>
      <c r="GN58" s="275">
        <v>0</v>
      </c>
      <c r="GO58" s="275">
        <v>0</v>
      </c>
      <c r="GP58" s="275">
        <v>0</v>
      </c>
      <c r="GQ58" s="275">
        <v>0</v>
      </c>
      <c r="GR58" s="277">
        <v>0</v>
      </c>
      <c r="GS58" s="275">
        <v>0</v>
      </c>
      <c r="GT58" s="284">
        <v>0</v>
      </c>
      <c r="GU58" s="292">
        <v>0</v>
      </c>
      <c r="GV58" s="214">
        <v>0</v>
      </c>
      <c r="GW58" s="293">
        <v>0</v>
      </c>
      <c r="GX58" s="294"/>
      <c r="GY58" s="293">
        <v>6.455877185234693E-2</v>
      </c>
      <c r="GZ58" s="293">
        <v>0</v>
      </c>
      <c r="HA58" s="293">
        <v>0</v>
      </c>
      <c r="HB58" s="293">
        <v>0</v>
      </c>
      <c r="HC58" s="295">
        <v>0</v>
      </c>
    </row>
    <row r="59" spans="1:211" s="381" customFormat="1" ht="12.75" customHeight="1">
      <c r="A59" s="392"/>
      <c r="B59" s="328" t="s">
        <v>228</v>
      </c>
      <c r="C59" s="297" t="s">
        <v>225</v>
      </c>
      <c r="D59" s="299" t="s">
        <v>216</v>
      </c>
      <c r="E59" s="297" t="s">
        <v>226</v>
      </c>
      <c r="F59" s="382" t="s">
        <v>168</v>
      </c>
      <c r="G59" s="301">
        <v>10.373000000000001</v>
      </c>
      <c r="H59" s="301">
        <v>0</v>
      </c>
      <c r="I59" s="258">
        <v>18.72</v>
      </c>
      <c r="J59" s="302">
        <v>0</v>
      </c>
      <c r="K59" s="302">
        <v>37.44</v>
      </c>
      <c r="L59" s="261">
        <v>20.530999999999999</v>
      </c>
      <c r="M59" s="261">
        <v>15.424999999999999</v>
      </c>
      <c r="N59" s="260">
        <v>53.567999999999998</v>
      </c>
      <c r="O59" s="261">
        <v>10.210000000000001</v>
      </c>
      <c r="P59" s="261">
        <v>0</v>
      </c>
      <c r="Q59" s="261">
        <v>0</v>
      </c>
      <c r="R59" s="303">
        <v>0</v>
      </c>
      <c r="S59" s="261">
        <f t="shared" si="3"/>
        <v>0</v>
      </c>
      <c r="T59" s="388">
        <v>0</v>
      </c>
      <c r="U59" s="267">
        <v>0</v>
      </c>
      <c r="V59" s="259">
        <v>0</v>
      </c>
      <c r="W59" s="259">
        <v>25</v>
      </c>
      <c r="X59" s="259">
        <v>0</v>
      </c>
      <c r="Y59" s="259">
        <v>25</v>
      </c>
      <c r="Z59" s="259">
        <v>0</v>
      </c>
      <c r="AA59" s="259">
        <v>0</v>
      </c>
      <c r="AB59" s="259">
        <v>0</v>
      </c>
      <c r="AC59" s="259">
        <v>0</v>
      </c>
      <c r="AD59" s="259">
        <v>0</v>
      </c>
      <c r="AE59" s="268">
        <v>0</v>
      </c>
      <c r="AF59" s="209"/>
      <c r="AG59" s="388">
        <v>0</v>
      </c>
      <c r="AH59" s="267">
        <v>0</v>
      </c>
      <c r="AI59" s="259">
        <v>18.72</v>
      </c>
      <c r="AJ59" s="259">
        <v>29.439999999999998</v>
      </c>
      <c r="AK59" s="259">
        <v>29.419999999999998</v>
      </c>
      <c r="AL59" s="259">
        <v>29.7</v>
      </c>
      <c r="AM59" s="259">
        <v>25</v>
      </c>
      <c r="AN59" s="259">
        <v>32</v>
      </c>
      <c r="AO59" s="259">
        <v>0</v>
      </c>
      <c r="AP59" s="259">
        <v>0</v>
      </c>
      <c r="AQ59" s="259">
        <v>0</v>
      </c>
      <c r="AR59" s="268">
        <v>0</v>
      </c>
      <c r="AS59" s="269">
        <v>0</v>
      </c>
      <c r="AT59" s="305">
        <v>110143.11578135543</v>
      </c>
      <c r="AU59" s="336">
        <v>0</v>
      </c>
      <c r="AV59" s="336">
        <v>108200.69444444445</v>
      </c>
      <c r="AW59" s="336">
        <v>0</v>
      </c>
      <c r="AX59" s="336">
        <v>108539.58333333336</v>
      </c>
      <c r="AY59" s="336">
        <v>111111.32872241976</v>
      </c>
      <c r="AZ59" s="259">
        <v>110505.22009724475</v>
      </c>
      <c r="BA59" s="259">
        <v>109400.52083333331</v>
      </c>
      <c r="BB59" s="259">
        <v>110354.00979431928</v>
      </c>
      <c r="BC59" s="259">
        <v>0</v>
      </c>
      <c r="BD59" s="259">
        <v>0</v>
      </c>
      <c r="BE59" s="268">
        <v>0</v>
      </c>
      <c r="BF59" s="209"/>
      <c r="BG59" s="305">
        <v>110143.11578135543</v>
      </c>
      <c r="BH59" s="336">
        <v>0</v>
      </c>
      <c r="BI59" s="336">
        <v>108200.69444444445</v>
      </c>
      <c r="BJ59" s="336">
        <v>121642.76844816007</v>
      </c>
      <c r="BK59" s="336">
        <v>108539.58333333336</v>
      </c>
      <c r="BL59" s="336">
        <v>121642.76844816007</v>
      </c>
      <c r="BM59" s="259">
        <v>110505.22009724475</v>
      </c>
      <c r="BN59" s="259">
        <v>109400.52083333331</v>
      </c>
      <c r="BO59" s="259">
        <v>110354.00979431928</v>
      </c>
      <c r="BP59" s="259">
        <v>0</v>
      </c>
      <c r="BQ59" s="259">
        <v>0</v>
      </c>
      <c r="BR59" s="268">
        <v>0</v>
      </c>
      <c r="BS59" s="209"/>
      <c r="BT59" s="389">
        <v>0</v>
      </c>
      <c r="BU59" s="307">
        <v>0</v>
      </c>
      <c r="BV59" s="307">
        <v>108200.93471264548</v>
      </c>
      <c r="BW59" s="307">
        <v>108906.64488409675</v>
      </c>
      <c r="BX59" s="307">
        <v>114455.30450003565</v>
      </c>
      <c r="BY59" s="307">
        <v>110004.42552067882</v>
      </c>
      <c r="BZ59" s="307">
        <v>109081.13168069394</v>
      </c>
      <c r="CA59" s="307">
        <v>109081.13168069393</v>
      </c>
      <c r="CB59" s="307">
        <v>0</v>
      </c>
      <c r="CC59" s="307">
        <v>0</v>
      </c>
      <c r="CD59" s="307">
        <v>0</v>
      </c>
      <c r="CE59" s="308">
        <v>0</v>
      </c>
      <c r="CF59" s="212"/>
      <c r="CG59" s="273">
        <v>0.114251454</v>
      </c>
      <c r="CH59" s="274">
        <v>0</v>
      </c>
      <c r="CI59" s="274">
        <v>0.2025517</v>
      </c>
      <c r="CJ59" s="274">
        <v>0</v>
      </c>
      <c r="CK59" s="274">
        <v>0.40637220000000007</v>
      </c>
      <c r="CL59" s="309">
        <v>0.228122669</v>
      </c>
      <c r="CM59" s="276">
        <v>0.170454302</v>
      </c>
      <c r="CN59" s="276">
        <v>0.58603670999999991</v>
      </c>
      <c r="CO59" s="276">
        <v>0.11267144400000001</v>
      </c>
      <c r="CP59" s="276">
        <v>0</v>
      </c>
      <c r="CQ59" s="276">
        <v>0</v>
      </c>
      <c r="CR59" s="313">
        <v>0</v>
      </c>
      <c r="CS59" s="390"/>
      <c r="CT59" s="273">
        <v>0</v>
      </c>
      <c r="CU59" s="278">
        <v>0</v>
      </c>
      <c r="CV59" s="278">
        <v>0</v>
      </c>
      <c r="CW59" s="278">
        <v>0.30410692112040016</v>
      </c>
      <c r="CX59" s="278">
        <v>0</v>
      </c>
      <c r="CY59" s="278">
        <v>0.30410692112040016</v>
      </c>
      <c r="CZ59" s="278">
        <v>0</v>
      </c>
      <c r="DA59" s="278">
        <v>0</v>
      </c>
      <c r="DB59" s="278">
        <v>0</v>
      </c>
      <c r="DC59" s="278">
        <v>0</v>
      </c>
      <c r="DD59" s="278">
        <v>0</v>
      </c>
      <c r="DE59" s="278">
        <v>0</v>
      </c>
      <c r="DF59" s="390">
        <f t="shared" si="4"/>
        <v>0</v>
      </c>
      <c r="DG59" s="391">
        <v>0</v>
      </c>
      <c r="DH59" s="281">
        <v>0</v>
      </c>
      <c r="DI59" s="278">
        <v>0.20255214978207231</v>
      </c>
      <c r="DJ59" s="278">
        <v>0.32062116253878081</v>
      </c>
      <c r="DK59" s="278">
        <v>0.33672750583910482</v>
      </c>
      <c r="DL59" s="278">
        <v>0.32671314379641608</v>
      </c>
      <c r="DM59" s="278">
        <v>0.27270282920173483</v>
      </c>
      <c r="DN59" s="278">
        <v>0.34905962137822055</v>
      </c>
      <c r="DO59" s="278">
        <v>0</v>
      </c>
      <c r="DP59" s="278">
        <v>0</v>
      </c>
      <c r="DQ59" s="278">
        <v>0</v>
      </c>
      <c r="DR59" s="282">
        <v>0</v>
      </c>
      <c r="DS59" s="226"/>
      <c r="DT59" s="273">
        <v>0</v>
      </c>
      <c r="DU59" s="278">
        <v>0</v>
      </c>
      <c r="DV59" s="278">
        <v>0</v>
      </c>
      <c r="DW59" s="278">
        <v>0</v>
      </c>
      <c r="DX59" s="275">
        <v>0</v>
      </c>
      <c r="DY59" s="281">
        <v>-2.1622098900917448E-2</v>
      </c>
      <c r="DZ59" s="281">
        <v>0</v>
      </c>
      <c r="EA59" s="281">
        <v>0</v>
      </c>
      <c r="EB59" s="275">
        <v>0</v>
      </c>
      <c r="EC59" s="275">
        <v>0</v>
      </c>
      <c r="ED59" s="275">
        <v>0</v>
      </c>
      <c r="EE59" s="277">
        <v>0</v>
      </c>
      <c r="EF59" s="212"/>
      <c r="EG59" s="273">
        <v>0.114251454</v>
      </c>
      <c r="EH59" s="278">
        <v>0</v>
      </c>
      <c r="EI59" s="278">
        <v>0.2025517</v>
      </c>
      <c r="EJ59" s="278">
        <v>-0.30410692112040016</v>
      </c>
      <c r="EK59" s="275">
        <v>0.40637220000000007</v>
      </c>
      <c r="EL59" s="281">
        <v>-5.4362153219482755E-2</v>
      </c>
      <c r="EM59" s="281">
        <v>0.170454302</v>
      </c>
      <c r="EN59" s="281">
        <v>0.58603670999999991</v>
      </c>
      <c r="EO59" s="275">
        <v>0.112671444</v>
      </c>
      <c r="EP59" s="275">
        <v>0</v>
      </c>
      <c r="EQ59" s="275">
        <v>0</v>
      </c>
      <c r="ER59" s="277">
        <v>0</v>
      </c>
      <c r="ES59" s="283"/>
      <c r="ET59" s="273">
        <v>0.114251454</v>
      </c>
      <c r="EU59" s="278">
        <v>0</v>
      </c>
      <c r="EV59" s="278">
        <v>-4.4978207232593552E-7</v>
      </c>
      <c r="EW59" s="278">
        <v>0</v>
      </c>
      <c r="EX59" s="275">
        <v>-2.2148460048133381E-2</v>
      </c>
      <c r="EY59" s="281">
        <v>2.2725829634943108E-3</v>
      </c>
      <c r="EZ59" s="281">
        <v>2.1966563825296138E-3</v>
      </c>
      <c r="FA59" s="281">
        <v>1.7109038128586599E-3</v>
      </c>
      <c r="FB59" s="275">
        <v>0.112671444</v>
      </c>
      <c r="FC59" s="275">
        <v>0</v>
      </c>
      <c r="FD59" s="275">
        <v>0</v>
      </c>
      <c r="FE59" s="277">
        <v>0</v>
      </c>
      <c r="FF59" s="212"/>
      <c r="FG59" s="273">
        <v>0</v>
      </c>
      <c r="FH59" s="278">
        <v>0</v>
      </c>
      <c r="FI59" s="278">
        <v>0</v>
      </c>
      <c r="FJ59" s="278">
        <v>-0.32062116253878076</v>
      </c>
      <c r="FK59" s="275">
        <v>9.1793154209028588E-2</v>
      </c>
      <c r="FL59" s="281">
        <v>-0.10086305775991042</v>
      </c>
      <c r="FM59" s="281">
        <v>-0.10444518358426445</v>
      </c>
      <c r="FN59" s="281">
        <v>0.23526618480892064</v>
      </c>
      <c r="FO59" s="275">
        <v>0</v>
      </c>
      <c r="FP59" s="275">
        <v>0</v>
      </c>
      <c r="FQ59" s="275">
        <v>0</v>
      </c>
      <c r="FR59" s="277">
        <v>0</v>
      </c>
      <c r="FS59" s="283"/>
      <c r="FT59" s="286">
        <v>166.267</v>
      </c>
      <c r="FU59" s="260">
        <v>50</v>
      </c>
      <c r="FV59" s="260">
        <v>164.28</v>
      </c>
      <c r="FW59" s="260">
        <v>116.267</v>
      </c>
      <c r="FX59" s="287">
        <v>2.3253399999999997</v>
      </c>
      <c r="FY59" s="327">
        <v>1.8204604790000001</v>
      </c>
      <c r="FZ59" s="275">
        <v>0.60821384224080033</v>
      </c>
      <c r="GA59" s="275">
        <v>1.8083764125363295</v>
      </c>
      <c r="GB59" s="275">
        <v>1.2122466367591997</v>
      </c>
      <c r="GC59" s="275">
        <v>1.2338687356601172</v>
      </c>
      <c r="GD59" s="275">
        <v>-2.1622098900917448E-2</v>
      </c>
      <c r="GE59" s="275">
        <v>-0.19887006486500641</v>
      </c>
      <c r="GF59" s="277">
        <v>0.21095413132867685</v>
      </c>
      <c r="GG59" s="214">
        <v>0</v>
      </c>
      <c r="GH59" s="286">
        <v>0</v>
      </c>
      <c r="GI59" s="260">
        <v>0</v>
      </c>
      <c r="GJ59" s="260">
        <v>0</v>
      </c>
      <c r="GK59" s="260">
        <v>0</v>
      </c>
      <c r="GL59" s="291">
        <v>0</v>
      </c>
      <c r="GM59" s="275">
        <v>0</v>
      </c>
      <c r="GN59" s="275">
        <v>0</v>
      </c>
      <c r="GO59" s="275">
        <v>0</v>
      </c>
      <c r="GP59" s="275">
        <v>0</v>
      </c>
      <c r="GQ59" s="275">
        <v>0</v>
      </c>
      <c r="GR59" s="277">
        <v>0</v>
      </c>
      <c r="GS59" s="275">
        <v>0</v>
      </c>
      <c r="GT59" s="284">
        <v>0</v>
      </c>
      <c r="GU59" s="292">
        <v>0</v>
      </c>
      <c r="GV59" s="214">
        <v>0</v>
      </c>
      <c r="GW59" s="293">
        <v>0</v>
      </c>
      <c r="GX59" s="294"/>
      <c r="GY59" s="293">
        <v>1.2084066463670551E-2</v>
      </c>
      <c r="GZ59" s="293">
        <v>-1.1102230246251565E-16</v>
      </c>
      <c r="HA59" s="293">
        <v>0</v>
      </c>
      <c r="HB59" s="293">
        <v>0</v>
      </c>
      <c r="HC59" s="295">
        <v>0</v>
      </c>
    </row>
    <row r="60" spans="1:211" s="381" customFormat="1" ht="12.75" customHeight="1">
      <c r="A60" s="392"/>
      <c r="B60" s="299" t="s">
        <v>229</v>
      </c>
      <c r="C60" s="299" t="s">
        <v>230</v>
      </c>
      <c r="D60" s="299" t="s">
        <v>229</v>
      </c>
      <c r="E60" s="297" t="s">
        <v>230</v>
      </c>
      <c r="F60" s="382"/>
      <c r="G60" s="386">
        <v>0</v>
      </c>
      <c r="H60" s="386">
        <v>0</v>
      </c>
      <c r="I60" s="334">
        <v>0</v>
      </c>
      <c r="J60" s="336">
        <v>0</v>
      </c>
      <c r="K60" s="336">
        <v>0</v>
      </c>
      <c r="L60" s="332">
        <v>0</v>
      </c>
      <c r="M60" s="332">
        <v>0</v>
      </c>
      <c r="N60" s="260">
        <v>0</v>
      </c>
      <c r="O60" s="332">
        <v>0</v>
      </c>
      <c r="P60" s="332">
        <v>0</v>
      </c>
      <c r="Q60" s="332">
        <v>0</v>
      </c>
      <c r="R60" s="387">
        <v>0</v>
      </c>
      <c r="S60" s="261">
        <f t="shared" si="3"/>
        <v>0</v>
      </c>
      <c r="T60" s="388">
        <v>0</v>
      </c>
      <c r="U60" s="267">
        <v>0</v>
      </c>
      <c r="V60" s="259">
        <v>0</v>
      </c>
      <c r="W60" s="259">
        <v>0</v>
      </c>
      <c r="X60" s="259">
        <v>0</v>
      </c>
      <c r="Y60" s="259">
        <v>0</v>
      </c>
      <c r="Z60" s="259">
        <v>0</v>
      </c>
      <c r="AA60" s="259">
        <v>0</v>
      </c>
      <c r="AB60" s="259">
        <v>0</v>
      </c>
      <c r="AC60" s="259">
        <v>0</v>
      </c>
      <c r="AD60" s="259">
        <v>0</v>
      </c>
      <c r="AE60" s="268">
        <v>0</v>
      </c>
      <c r="AF60" s="209"/>
      <c r="AG60" s="388">
        <v>0</v>
      </c>
      <c r="AH60" s="267">
        <v>0</v>
      </c>
      <c r="AI60" s="259">
        <v>0</v>
      </c>
      <c r="AJ60" s="259">
        <v>0</v>
      </c>
      <c r="AK60" s="259">
        <v>0</v>
      </c>
      <c r="AL60" s="259">
        <v>0</v>
      </c>
      <c r="AM60" s="259">
        <v>0</v>
      </c>
      <c r="AN60" s="259">
        <v>0</v>
      </c>
      <c r="AO60" s="259">
        <v>0</v>
      </c>
      <c r="AP60" s="259">
        <v>0</v>
      </c>
      <c r="AQ60" s="259">
        <v>0</v>
      </c>
      <c r="AR60" s="268">
        <v>0</v>
      </c>
      <c r="AS60" s="269">
        <v>0</v>
      </c>
      <c r="AT60" s="305">
        <v>0</v>
      </c>
      <c r="AU60" s="336">
        <v>0</v>
      </c>
      <c r="AV60" s="336">
        <v>0</v>
      </c>
      <c r="AW60" s="336">
        <v>0</v>
      </c>
      <c r="AX60" s="336">
        <v>0</v>
      </c>
      <c r="AY60" s="336">
        <v>0</v>
      </c>
      <c r="AZ60" s="259">
        <v>0</v>
      </c>
      <c r="BA60" s="259">
        <v>0</v>
      </c>
      <c r="BB60" s="259">
        <v>0</v>
      </c>
      <c r="BC60" s="259">
        <v>0</v>
      </c>
      <c r="BD60" s="259">
        <v>0</v>
      </c>
      <c r="BE60" s="268">
        <v>0</v>
      </c>
      <c r="BF60" s="209"/>
      <c r="BG60" s="305">
        <v>0</v>
      </c>
      <c r="BH60" s="336">
        <v>0</v>
      </c>
      <c r="BI60" s="336">
        <v>0</v>
      </c>
      <c r="BJ60" s="336">
        <v>0</v>
      </c>
      <c r="BK60" s="336">
        <v>0</v>
      </c>
      <c r="BL60" s="336">
        <v>0</v>
      </c>
      <c r="BM60" s="259">
        <v>0</v>
      </c>
      <c r="BN60" s="259">
        <v>0</v>
      </c>
      <c r="BO60" s="259">
        <v>0</v>
      </c>
      <c r="BP60" s="259">
        <v>0</v>
      </c>
      <c r="BQ60" s="259">
        <v>0</v>
      </c>
      <c r="BR60" s="268">
        <v>0</v>
      </c>
      <c r="BS60" s="209"/>
      <c r="BT60" s="389">
        <v>0</v>
      </c>
      <c r="BU60" s="307">
        <v>0</v>
      </c>
      <c r="BV60" s="307">
        <v>0</v>
      </c>
      <c r="BW60" s="307">
        <v>0</v>
      </c>
      <c r="BX60" s="307">
        <v>0</v>
      </c>
      <c r="BY60" s="307">
        <v>0</v>
      </c>
      <c r="BZ60" s="307">
        <v>0</v>
      </c>
      <c r="CA60" s="307">
        <v>0</v>
      </c>
      <c r="CB60" s="307">
        <v>0</v>
      </c>
      <c r="CC60" s="307">
        <v>0</v>
      </c>
      <c r="CD60" s="307">
        <v>0</v>
      </c>
      <c r="CE60" s="308">
        <v>0</v>
      </c>
      <c r="CF60" s="212"/>
      <c r="CG60" s="396">
        <v>0</v>
      </c>
      <c r="CH60" s="274">
        <v>0</v>
      </c>
      <c r="CI60" s="274">
        <v>0</v>
      </c>
      <c r="CJ60" s="274">
        <v>0</v>
      </c>
      <c r="CK60" s="274">
        <v>0</v>
      </c>
      <c r="CL60" s="309">
        <v>0</v>
      </c>
      <c r="CM60" s="276">
        <v>0</v>
      </c>
      <c r="CN60" s="276">
        <v>0</v>
      </c>
      <c r="CO60" s="276">
        <v>0</v>
      </c>
      <c r="CP60" s="276">
        <v>0</v>
      </c>
      <c r="CQ60" s="276">
        <v>0</v>
      </c>
      <c r="CR60" s="313">
        <v>0</v>
      </c>
      <c r="CS60" s="390"/>
      <c r="CT60" s="273">
        <v>0</v>
      </c>
      <c r="CU60" s="278">
        <v>0</v>
      </c>
      <c r="CV60" s="278">
        <v>0</v>
      </c>
      <c r="CW60" s="278">
        <v>0</v>
      </c>
      <c r="CX60" s="278">
        <v>0</v>
      </c>
      <c r="CY60" s="278">
        <v>0</v>
      </c>
      <c r="CZ60" s="278">
        <v>0</v>
      </c>
      <c r="DA60" s="278">
        <v>0</v>
      </c>
      <c r="DB60" s="278">
        <v>0</v>
      </c>
      <c r="DC60" s="278">
        <v>0</v>
      </c>
      <c r="DD60" s="278">
        <v>0</v>
      </c>
      <c r="DE60" s="278">
        <v>0</v>
      </c>
      <c r="DF60" s="390">
        <f t="shared" si="4"/>
        <v>0</v>
      </c>
      <c r="DG60" s="391">
        <v>0</v>
      </c>
      <c r="DH60" s="281">
        <v>0</v>
      </c>
      <c r="DI60" s="278">
        <v>0</v>
      </c>
      <c r="DJ60" s="278">
        <v>0</v>
      </c>
      <c r="DK60" s="278">
        <v>0</v>
      </c>
      <c r="DL60" s="278">
        <v>0</v>
      </c>
      <c r="DM60" s="278">
        <v>0</v>
      </c>
      <c r="DN60" s="278">
        <v>0</v>
      </c>
      <c r="DO60" s="278">
        <v>0</v>
      </c>
      <c r="DP60" s="278">
        <v>0</v>
      </c>
      <c r="DQ60" s="278">
        <v>0</v>
      </c>
      <c r="DR60" s="282">
        <v>0</v>
      </c>
      <c r="DS60" s="226"/>
      <c r="DT60" s="273">
        <v>0</v>
      </c>
      <c r="DU60" s="278">
        <v>0</v>
      </c>
      <c r="DV60" s="278">
        <v>0</v>
      </c>
      <c r="DW60" s="278">
        <v>0</v>
      </c>
      <c r="DX60" s="275">
        <v>0</v>
      </c>
      <c r="DY60" s="281">
        <v>0</v>
      </c>
      <c r="DZ60" s="281">
        <v>0</v>
      </c>
      <c r="EA60" s="281">
        <v>0</v>
      </c>
      <c r="EB60" s="275">
        <v>0</v>
      </c>
      <c r="EC60" s="275">
        <v>0</v>
      </c>
      <c r="ED60" s="275">
        <v>0</v>
      </c>
      <c r="EE60" s="277">
        <v>0</v>
      </c>
      <c r="EF60" s="212"/>
      <c r="EG60" s="273">
        <v>0</v>
      </c>
      <c r="EH60" s="278">
        <v>0</v>
      </c>
      <c r="EI60" s="278">
        <v>0</v>
      </c>
      <c r="EJ60" s="278">
        <v>0</v>
      </c>
      <c r="EK60" s="275">
        <v>0</v>
      </c>
      <c r="EL60" s="281">
        <v>0</v>
      </c>
      <c r="EM60" s="281">
        <v>0</v>
      </c>
      <c r="EN60" s="281">
        <v>0</v>
      </c>
      <c r="EO60" s="275">
        <v>0</v>
      </c>
      <c r="EP60" s="275">
        <v>0</v>
      </c>
      <c r="EQ60" s="275">
        <v>0</v>
      </c>
      <c r="ER60" s="277">
        <v>0</v>
      </c>
      <c r="ES60" s="283"/>
      <c r="ET60" s="273">
        <v>0</v>
      </c>
      <c r="EU60" s="278">
        <v>0</v>
      </c>
      <c r="EV60" s="278">
        <v>0</v>
      </c>
      <c r="EW60" s="278">
        <v>0</v>
      </c>
      <c r="EX60" s="275">
        <v>0</v>
      </c>
      <c r="EY60" s="281">
        <v>0</v>
      </c>
      <c r="EZ60" s="281">
        <v>0</v>
      </c>
      <c r="FA60" s="281">
        <v>0</v>
      </c>
      <c r="FB60" s="275">
        <v>0</v>
      </c>
      <c r="FC60" s="275">
        <v>0</v>
      </c>
      <c r="FD60" s="275">
        <v>0</v>
      </c>
      <c r="FE60" s="277">
        <v>0</v>
      </c>
      <c r="FF60" s="212"/>
      <c r="FG60" s="273">
        <v>0</v>
      </c>
      <c r="FH60" s="278">
        <v>0</v>
      </c>
      <c r="FI60" s="278">
        <v>0</v>
      </c>
      <c r="FJ60" s="278">
        <v>0</v>
      </c>
      <c r="FK60" s="275">
        <v>0</v>
      </c>
      <c r="FL60" s="281">
        <v>0</v>
      </c>
      <c r="FM60" s="281">
        <v>0</v>
      </c>
      <c r="FN60" s="281">
        <v>0</v>
      </c>
      <c r="FO60" s="275">
        <v>0</v>
      </c>
      <c r="FP60" s="275">
        <v>0</v>
      </c>
      <c r="FQ60" s="275">
        <v>0</v>
      </c>
      <c r="FR60" s="277">
        <v>0</v>
      </c>
      <c r="FS60" s="283"/>
      <c r="FT60" s="286">
        <v>0</v>
      </c>
      <c r="FU60" s="260">
        <v>0</v>
      </c>
      <c r="FV60" s="260">
        <v>0</v>
      </c>
      <c r="FW60" s="260">
        <v>0</v>
      </c>
      <c r="FX60" s="287">
        <v>0</v>
      </c>
      <c r="FY60" s="327">
        <v>0</v>
      </c>
      <c r="FZ60" s="275">
        <v>0</v>
      </c>
      <c r="GA60" s="275">
        <v>0</v>
      </c>
      <c r="GB60" s="275">
        <v>0</v>
      </c>
      <c r="GC60" s="275">
        <v>0</v>
      </c>
      <c r="GD60" s="275">
        <v>0</v>
      </c>
      <c r="GE60" s="275">
        <v>0</v>
      </c>
      <c r="GF60" s="277">
        <v>0</v>
      </c>
      <c r="GG60" s="214">
        <v>0</v>
      </c>
      <c r="GH60" s="286">
        <v>0</v>
      </c>
      <c r="GI60" s="260">
        <v>0</v>
      </c>
      <c r="GJ60" s="260">
        <v>0</v>
      </c>
      <c r="GK60" s="260">
        <v>0</v>
      </c>
      <c r="GL60" s="291">
        <v>0</v>
      </c>
      <c r="GM60" s="275">
        <v>0</v>
      </c>
      <c r="GN60" s="275">
        <v>0</v>
      </c>
      <c r="GO60" s="275">
        <v>0</v>
      </c>
      <c r="GP60" s="275">
        <v>0</v>
      </c>
      <c r="GQ60" s="275">
        <v>0</v>
      </c>
      <c r="GR60" s="277">
        <v>0</v>
      </c>
      <c r="GS60" s="275">
        <v>0</v>
      </c>
      <c r="GT60" s="284">
        <v>0</v>
      </c>
      <c r="GU60" s="292">
        <v>0</v>
      </c>
      <c r="GV60" s="214"/>
      <c r="GW60" s="293"/>
      <c r="GX60" s="294"/>
      <c r="GY60" s="293"/>
      <c r="GZ60" s="293"/>
      <c r="HA60" s="293"/>
      <c r="HB60" s="293"/>
      <c r="HC60" s="295"/>
    </row>
    <row r="61" spans="1:211" ht="12.75" customHeight="1">
      <c r="B61" s="328" t="s">
        <v>231</v>
      </c>
      <c r="C61" s="297" t="s">
        <v>135</v>
      </c>
      <c r="D61" s="397" t="s">
        <v>232</v>
      </c>
      <c r="E61" s="297" t="s">
        <v>232</v>
      </c>
      <c r="F61" s="382" t="s">
        <v>144</v>
      </c>
      <c r="G61" s="301">
        <v>0.504</v>
      </c>
      <c r="H61" s="301">
        <v>28.446999999999999</v>
      </c>
      <c r="I61" s="258">
        <v>0</v>
      </c>
      <c r="J61" s="302">
        <v>29.512999999999998</v>
      </c>
      <c r="K61" s="302">
        <v>0.245</v>
      </c>
      <c r="L61" s="258">
        <v>0.504</v>
      </c>
      <c r="M61" s="261">
        <v>53.870999999999995</v>
      </c>
      <c r="N61" s="260">
        <v>31.838999999999999</v>
      </c>
      <c r="O61" s="261">
        <v>0.57599999999999996</v>
      </c>
      <c r="P61" s="261">
        <v>30.643000000000001</v>
      </c>
      <c r="Q61" s="261">
        <v>0</v>
      </c>
      <c r="R61" s="303">
        <v>0</v>
      </c>
      <c r="S61" s="261">
        <f t="shared" si="3"/>
        <v>30.643000000000001</v>
      </c>
      <c r="T61" s="388">
        <v>0</v>
      </c>
      <c r="U61" s="267">
        <v>30</v>
      </c>
      <c r="V61" s="259">
        <v>30</v>
      </c>
      <c r="W61" s="259">
        <v>30</v>
      </c>
      <c r="X61" s="259">
        <v>30</v>
      </c>
      <c r="Y61" s="259">
        <v>30</v>
      </c>
      <c r="Z61" s="259">
        <v>30</v>
      </c>
      <c r="AA61" s="259">
        <v>30</v>
      </c>
      <c r="AB61" s="259">
        <v>30</v>
      </c>
      <c r="AC61" s="259">
        <v>30</v>
      </c>
      <c r="AD61" s="259">
        <v>30</v>
      </c>
      <c r="AE61" s="268">
        <v>30</v>
      </c>
      <c r="AG61" s="388">
        <v>0</v>
      </c>
      <c r="AH61" s="267">
        <v>32.349600000000002</v>
      </c>
      <c r="AI61" s="259">
        <v>0</v>
      </c>
      <c r="AJ61" s="259">
        <v>31.594800000000003</v>
      </c>
      <c r="AK61" s="259">
        <v>1.06</v>
      </c>
      <c r="AL61" s="259">
        <v>3.08</v>
      </c>
      <c r="AM61" s="259">
        <v>53.5</v>
      </c>
      <c r="AN61" s="259">
        <v>33</v>
      </c>
      <c r="AO61" s="259">
        <v>0</v>
      </c>
      <c r="AP61" s="259">
        <v>31</v>
      </c>
      <c r="AQ61" s="259">
        <v>0</v>
      </c>
      <c r="AR61" s="268">
        <v>0</v>
      </c>
      <c r="AS61" s="269">
        <v>0</v>
      </c>
      <c r="AT61" s="305">
        <v>158899.99999999997</v>
      </c>
      <c r="AU61" s="336">
        <v>159601.12208668754</v>
      </c>
      <c r="AV61" s="336">
        <v>0</v>
      </c>
      <c r="AW61" s="336">
        <v>159598.91844272014</v>
      </c>
      <c r="AX61" s="336">
        <v>159469.71428571429</v>
      </c>
      <c r="AY61" s="336">
        <v>159599.99999999997</v>
      </c>
      <c r="AZ61" s="259">
        <v>157164.70234448963</v>
      </c>
      <c r="BA61" s="259">
        <v>156997.04136436447</v>
      </c>
      <c r="BB61" s="259">
        <v>157000</v>
      </c>
      <c r="BC61" s="259">
        <v>157701.02927259082</v>
      </c>
      <c r="BD61" s="259">
        <v>0</v>
      </c>
      <c r="BE61" s="268">
        <v>0</v>
      </c>
      <c r="BG61" s="305">
        <v>158899.99999999997</v>
      </c>
      <c r="BH61" s="336">
        <v>137967.10669835133</v>
      </c>
      <c r="BI61" s="336">
        <v>137967.10669835133</v>
      </c>
      <c r="BJ61" s="336">
        <v>137967.10669835133</v>
      </c>
      <c r="BK61" s="336">
        <v>137967.10669835133</v>
      </c>
      <c r="BL61" s="336">
        <v>137967.10669835133</v>
      </c>
      <c r="BM61" s="259">
        <v>137967.10669835133</v>
      </c>
      <c r="BN61" s="259">
        <v>137967.10669835133</v>
      </c>
      <c r="BO61" s="259">
        <v>137967.10669835133</v>
      </c>
      <c r="BP61" s="259">
        <v>137967.10669835133</v>
      </c>
      <c r="BQ61" s="259">
        <v>137967.10669835133</v>
      </c>
      <c r="BR61" s="268">
        <v>137967.10669835133</v>
      </c>
      <c r="BT61" s="389">
        <v>0</v>
      </c>
      <c r="BU61" s="307">
        <v>158941.87431952325</v>
      </c>
      <c r="BV61" s="307">
        <v>0</v>
      </c>
      <c r="BW61" s="307">
        <v>158941.87431952325</v>
      </c>
      <c r="BX61" s="307">
        <v>158941.87431952325</v>
      </c>
      <c r="BY61" s="307">
        <v>158941.87431952322</v>
      </c>
      <c r="BZ61" s="307">
        <v>158941.87431952325</v>
      </c>
      <c r="CA61" s="307">
        <v>158941.87431952322</v>
      </c>
      <c r="CB61" s="307">
        <v>0</v>
      </c>
      <c r="CC61" s="307">
        <v>158941.87431952325</v>
      </c>
      <c r="CD61" s="307">
        <v>0</v>
      </c>
      <c r="CE61" s="308">
        <v>0</v>
      </c>
      <c r="CF61" s="212"/>
      <c r="CG61" s="396">
        <v>8.0085599999999996E-3</v>
      </c>
      <c r="CH61" s="274">
        <v>0.45401731200000006</v>
      </c>
      <c r="CI61" s="274">
        <v>0</v>
      </c>
      <c r="CJ61" s="274">
        <v>0.47102428799999996</v>
      </c>
      <c r="CK61" s="274">
        <v>3.907008E-3</v>
      </c>
      <c r="CL61" s="309">
        <v>8.04384E-3</v>
      </c>
      <c r="CM61" s="309">
        <v>0.84666196800000004</v>
      </c>
      <c r="CN61" s="276">
        <v>0.49986288000000001</v>
      </c>
      <c r="CO61" s="276">
        <v>9.0431999999999995E-3</v>
      </c>
      <c r="CP61" s="276">
        <v>0.48324326400000006</v>
      </c>
      <c r="CQ61" s="276">
        <v>0</v>
      </c>
      <c r="CR61" s="313">
        <v>0</v>
      </c>
      <c r="CS61" s="390"/>
      <c r="CT61" s="273">
        <v>0</v>
      </c>
      <c r="CU61" s="278">
        <v>0.41390132009505398</v>
      </c>
      <c r="CV61" s="278">
        <v>0.41390132009505398</v>
      </c>
      <c r="CW61" s="278">
        <v>0.41390132009505398</v>
      </c>
      <c r="CX61" s="278">
        <v>0.41390132009505398</v>
      </c>
      <c r="CY61" s="278">
        <v>0.41390132009505398</v>
      </c>
      <c r="CZ61" s="278">
        <v>0.41390132009505398</v>
      </c>
      <c r="DA61" s="278">
        <v>0.41390132009505398</v>
      </c>
      <c r="DB61" s="278">
        <v>0.41390132009505398</v>
      </c>
      <c r="DC61" s="278">
        <v>0.41390132009505398</v>
      </c>
      <c r="DD61" s="278">
        <v>0.41390132009505398</v>
      </c>
      <c r="DE61" s="278">
        <v>0.41390132009505398</v>
      </c>
      <c r="DF61" s="390">
        <f t="shared" si="4"/>
        <v>1.2417039602851618</v>
      </c>
      <c r="DG61" s="391">
        <v>0</v>
      </c>
      <c r="DH61" s="281">
        <v>0.51417060574868501</v>
      </c>
      <c r="DI61" s="278">
        <v>0</v>
      </c>
      <c r="DJ61" s="278">
        <v>0.50217367307504734</v>
      </c>
      <c r="DK61" s="278">
        <v>1.6847838677869466E-2</v>
      </c>
      <c r="DL61" s="278">
        <v>4.8954097290413154E-2</v>
      </c>
      <c r="DM61" s="278">
        <v>0.85033902760944935</v>
      </c>
      <c r="DN61" s="278">
        <v>0.52450818525442666</v>
      </c>
      <c r="DO61" s="278">
        <v>0</v>
      </c>
      <c r="DP61" s="278">
        <v>0.49271981039052209</v>
      </c>
      <c r="DQ61" s="278">
        <v>0</v>
      </c>
      <c r="DR61" s="282">
        <v>0</v>
      </c>
      <c r="DS61" s="226"/>
      <c r="DT61" s="312">
        <v>0</v>
      </c>
      <c r="DU61" s="278">
        <v>6.1542283575200009E-2</v>
      </c>
      <c r="DV61" s="278">
        <v>0</v>
      </c>
      <c r="DW61" s="278">
        <v>6.3841966001155673E-2</v>
      </c>
      <c r="DX61" s="275">
        <v>5.2681388589039251E-4</v>
      </c>
      <c r="DY61" s="281">
        <v>1.0902978224030914E-3</v>
      </c>
      <c r="DZ61" s="281">
        <v>0.10341936750531164</v>
      </c>
      <c r="EA61" s="281">
        <v>6.0589408983119236E-2</v>
      </c>
      <c r="EB61" s="275">
        <v>1.0962946541749632E-3</v>
      </c>
      <c r="EC61" s="275">
        <v>6.0470658944242077E-2</v>
      </c>
      <c r="ED61" s="275">
        <v>0</v>
      </c>
      <c r="EE61" s="277">
        <v>0</v>
      </c>
      <c r="EF61" s="212"/>
      <c r="EG61" s="273">
        <v>8.0085599999999996E-3</v>
      </c>
      <c r="EH61" s="278">
        <v>-2.142629167025397E-2</v>
      </c>
      <c r="EI61" s="278">
        <v>-0.41390132009505398</v>
      </c>
      <c r="EJ61" s="278">
        <v>-6.718998096209735E-3</v>
      </c>
      <c r="EK61" s="276">
        <v>-0.41052112598094437</v>
      </c>
      <c r="EL61" s="309">
        <v>-0.40694777791745707</v>
      </c>
      <c r="EM61" s="309">
        <v>0.3293412803996344</v>
      </c>
      <c r="EN61" s="309">
        <v>2.5372150921826792E-2</v>
      </c>
      <c r="EO61" s="276">
        <v>-0.40595441474922894</v>
      </c>
      <c r="EP61" s="276">
        <v>8.8712849607039991E-3</v>
      </c>
      <c r="EQ61" s="276">
        <v>-0.41390132009505398</v>
      </c>
      <c r="ER61" s="313">
        <v>-0.41390132009505398</v>
      </c>
      <c r="ES61" s="283"/>
      <c r="ET61" s="312">
        <v>8.0085599999999996E-3</v>
      </c>
      <c r="EU61" s="278">
        <v>1.8753621232522404E-3</v>
      </c>
      <c r="EV61" s="278">
        <v>0</v>
      </c>
      <c r="EW61" s="278">
        <v>1.9391343207909725E-3</v>
      </c>
      <c r="EX61" s="275">
        <v>1.2932079171680407E-5</v>
      </c>
      <c r="EY61" s="281">
        <v>3.3169534296028055E-5</v>
      </c>
      <c r="EZ61" s="281">
        <v>-9.5738031467036116E-3</v>
      </c>
      <c r="FA61" s="281">
        <v>-6.1921536459299507E-3</v>
      </c>
      <c r="FB61" s="275">
        <v>9.0431999999999995E-3</v>
      </c>
      <c r="FC61" s="275">
        <v>-3.8023214773150473E-3</v>
      </c>
      <c r="FD61" s="275">
        <v>0</v>
      </c>
      <c r="FE61" s="277">
        <v>0</v>
      </c>
      <c r="FF61" s="212"/>
      <c r="FG61" s="273">
        <v>0</v>
      </c>
      <c r="FH61" s="278">
        <v>-6.2028655871937191E-2</v>
      </c>
      <c r="FI61" s="278">
        <v>0</v>
      </c>
      <c r="FJ61" s="278">
        <v>-3.3088519395838428E-2</v>
      </c>
      <c r="FK61" s="276">
        <v>-1.2953762757041147E-2</v>
      </c>
      <c r="FL61" s="309">
        <v>-4.0943426824709188E-2</v>
      </c>
      <c r="FM61" s="309">
        <v>5.8967435372542353E-3</v>
      </c>
      <c r="FN61" s="309">
        <v>-1.8453151608496667E-2</v>
      </c>
      <c r="FO61" s="276">
        <v>0</v>
      </c>
      <c r="FP61" s="276">
        <v>-5.6742249132069695E-3</v>
      </c>
      <c r="FQ61" s="276">
        <v>0</v>
      </c>
      <c r="FR61" s="313">
        <v>0</v>
      </c>
      <c r="FS61" s="283"/>
      <c r="FT61" s="286">
        <v>176.142</v>
      </c>
      <c r="FU61" s="260">
        <v>330</v>
      </c>
      <c r="FV61" s="260">
        <v>185.58440000000002</v>
      </c>
      <c r="FW61" s="260">
        <v>-153.858</v>
      </c>
      <c r="FX61" s="287">
        <v>-0.46623636363636367</v>
      </c>
      <c r="FY61" s="327">
        <v>2.7838123199999996</v>
      </c>
      <c r="FZ61" s="275">
        <v>4.5529145210455937</v>
      </c>
      <c r="GA61" s="275">
        <v>2.9497132380464128</v>
      </c>
      <c r="GB61" s="275">
        <v>-1.7691022010455941</v>
      </c>
      <c r="GC61" s="275">
        <v>-2.1216792924170909</v>
      </c>
      <c r="GD61" s="275">
        <v>0.35257709137149712</v>
      </c>
      <c r="GE61" s="275">
        <v>-0.16724499783397537</v>
      </c>
      <c r="GF61" s="277">
        <v>1.3440797875623107E-3</v>
      </c>
      <c r="GG61" s="214">
        <v>0</v>
      </c>
      <c r="GH61" s="286">
        <v>0</v>
      </c>
      <c r="GI61" s="260">
        <v>30</v>
      </c>
      <c r="GJ61" s="260">
        <v>0</v>
      </c>
      <c r="GK61" s="260">
        <v>-30</v>
      </c>
      <c r="GL61" s="291">
        <v>-1</v>
      </c>
      <c r="GM61" s="275">
        <v>0</v>
      </c>
      <c r="GN61" s="275">
        <v>0.41390132009505398</v>
      </c>
      <c r="GO61" s="275">
        <v>0</v>
      </c>
      <c r="GP61" s="275">
        <v>-0.41390132009505398</v>
      </c>
      <c r="GQ61" s="275">
        <v>-0.41390132009505398</v>
      </c>
      <c r="GR61" s="277">
        <v>0</v>
      </c>
      <c r="GS61" s="275">
        <v>0</v>
      </c>
      <c r="GT61" s="284">
        <v>0</v>
      </c>
      <c r="GU61" s="292">
        <v>0</v>
      </c>
      <c r="GV61" s="214">
        <v>0</v>
      </c>
      <c r="GW61" s="293">
        <v>0</v>
      </c>
      <c r="GX61" s="294"/>
      <c r="GY61" s="293">
        <v>-0.16590091804641327</v>
      </c>
      <c r="GZ61" s="293">
        <v>2.2204460492503131E-16</v>
      </c>
      <c r="HA61" s="293">
        <v>0</v>
      </c>
      <c r="HB61" s="293">
        <v>0</v>
      </c>
      <c r="HC61" s="295">
        <v>0</v>
      </c>
    </row>
    <row r="62" spans="1:211" ht="12.75" customHeight="1">
      <c r="B62" s="328" t="s">
        <v>233</v>
      </c>
      <c r="C62" s="297" t="s">
        <v>135</v>
      </c>
      <c r="D62" s="397" t="s">
        <v>232</v>
      </c>
      <c r="E62" s="297" t="s">
        <v>232</v>
      </c>
      <c r="F62" s="382" t="s">
        <v>142</v>
      </c>
      <c r="G62" s="301">
        <v>0</v>
      </c>
      <c r="H62" s="301">
        <v>0</v>
      </c>
      <c r="I62" s="258">
        <v>0</v>
      </c>
      <c r="J62" s="302">
        <v>111.62700000000002</v>
      </c>
      <c r="K62" s="302">
        <v>1.4999999999999999E-2</v>
      </c>
      <c r="L62" s="258">
        <v>0</v>
      </c>
      <c r="M62" s="261">
        <v>6.5519999999999996</v>
      </c>
      <c r="N62" s="260">
        <v>0</v>
      </c>
      <c r="O62" s="261">
        <v>0</v>
      </c>
      <c r="P62" s="261">
        <v>0</v>
      </c>
      <c r="Q62" s="261">
        <v>0</v>
      </c>
      <c r="R62" s="303">
        <v>54.665999999999997</v>
      </c>
      <c r="S62" s="261">
        <f t="shared" si="3"/>
        <v>54.665999999999997</v>
      </c>
      <c r="T62" s="388">
        <v>0</v>
      </c>
      <c r="U62" s="267">
        <v>0</v>
      </c>
      <c r="V62" s="259">
        <v>0</v>
      </c>
      <c r="W62" s="259">
        <v>25</v>
      </c>
      <c r="X62" s="259">
        <v>0</v>
      </c>
      <c r="Y62" s="259">
        <v>25</v>
      </c>
      <c r="Z62" s="259">
        <v>25</v>
      </c>
      <c r="AA62" s="259">
        <v>25</v>
      </c>
      <c r="AB62" s="259">
        <v>20</v>
      </c>
      <c r="AC62" s="259">
        <v>0</v>
      </c>
      <c r="AD62" s="259">
        <v>0</v>
      </c>
      <c r="AE62" s="268">
        <v>0</v>
      </c>
      <c r="AG62" s="388">
        <v>0</v>
      </c>
      <c r="AH62" s="267">
        <v>0</v>
      </c>
      <c r="AI62" s="259">
        <v>0</v>
      </c>
      <c r="AJ62" s="259">
        <v>104.5</v>
      </c>
      <c r="AK62" s="259">
        <v>0</v>
      </c>
      <c r="AL62" s="259">
        <v>7.5140000000000002</v>
      </c>
      <c r="AM62" s="259">
        <v>8.6</v>
      </c>
      <c r="AN62" s="259">
        <v>0</v>
      </c>
      <c r="AO62" s="259">
        <v>0</v>
      </c>
      <c r="AP62" s="259">
        <v>0</v>
      </c>
      <c r="AQ62" s="259">
        <v>4</v>
      </c>
      <c r="AR62" s="268">
        <v>73</v>
      </c>
      <c r="AS62" s="269">
        <v>1.8413967635156441E-2</v>
      </c>
      <c r="AT62" s="305">
        <v>0</v>
      </c>
      <c r="AU62" s="336">
        <v>0</v>
      </c>
      <c r="AV62" s="336">
        <v>0</v>
      </c>
      <c r="AW62" s="336">
        <v>146666.66666666663</v>
      </c>
      <c r="AX62" s="336">
        <v>146666.66666666669</v>
      </c>
      <c r="AY62" s="336">
        <v>0</v>
      </c>
      <c r="AZ62" s="259">
        <v>146666.66666666669</v>
      </c>
      <c r="BA62" s="259">
        <v>0</v>
      </c>
      <c r="BB62" s="259">
        <v>0</v>
      </c>
      <c r="BC62" s="259">
        <v>0</v>
      </c>
      <c r="BD62" s="259">
        <v>0</v>
      </c>
      <c r="BE62" s="268">
        <v>147200</v>
      </c>
      <c r="BG62" s="305">
        <v>0</v>
      </c>
      <c r="BH62" s="336">
        <v>0</v>
      </c>
      <c r="BI62" s="336">
        <v>0</v>
      </c>
      <c r="BJ62" s="336">
        <v>137967.10669835133</v>
      </c>
      <c r="BK62" s="336">
        <v>146666.66666666669</v>
      </c>
      <c r="BL62" s="336">
        <v>137967.10669835133</v>
      </c>
      <c r="BM62" s="259">
        <v>137967.10669835133</v>
      </c>
      <c r="BN62" s="259">
        <v>137967.10669835133</v>
      </c>
      <c r="BO62" s="259">
        <v>137967.10669835133</v>
      </c>
      <c r="BP62" s="259">
        <v>0</v>
      </c>
      <c r="BQ62" s="259">
        <v>0</v>
      </c>
      <c r="BR62" s="268">
        <v>147200</v>
      </c>
      <c r="BT62" s="389">
        <v>0</v>
      </c>
      <c r="BU62" s="307">
        <v>0</v>
      </c>
      <c r="BV62" s="307">
        <v>0</v>
      </c>
      <c r="BW62" s="307">
        <v>146757.1112273951</v>
      </c>
      <c r="BX62" s="307">
        <v>0</v>
      </c>
      <c r="BY62" s="307">
        <v>146757.1112273951</v>
      </c>
      <c r="BZ62" s="307">
        <v>146757.1112273951</v>
      </c>
      <c r="CA62" s="307">
        <v>0</v>
      </c>
      <c r="CB62" s="307">
        <v>0</v>
      </c>
      <c r="CC62" s="307">
        <v>0</v>
      </c>
      <c r="CD62" s="307">
        <v>146667</v>
      </c>
      <c r="CE62" s="308">
        <v>146667</v>
      </c>
      <c r="CF62" s="212"/>
      <c r="CG62" s="273"/>
      <c r="CH62" s="274"/>
      <c r="CI62" s="274">
        <v>0</v>
      </c>
      <c r="CJ62" s="274">
        <v>1.6371959999999999</v>
      </c>
      <c r="CK62" s="274">
        <v>2.2000000000000001E-4</v>
      </c>
      <c r="CL62" s="309">
        <v>0</v>
      </c>
      <c r="CM62" s="309">
        <v>9.6096000000000001E-2</v>
      </c>
      <c r="CN62" s="276">
        <v>0</v>
      </c>
      <c r="CO62" s="276">
        <v>0</v>
      </c>
      <c r="CP62" s="276">
        <v>0</v>
      </c>
      <c r="CQ62" s="276">
        <v>0</v>
      </c>
      <c r="CR62" s="313">
        <v>0.80468351999999999</v>
      </c>
      <c r="CS62" s="390"/>
      <c r="CT62" s="273">
        <v>0</v>
      </c>
      <c r="CU62" s="278">
        <v>0</v>
      </c>
      <c r="CV62" s="278">
        <v>0</v>
      </c>
      <c r="CW62" s="278">
        <v>0.34491776674587832</v>
      </c>
      <c r="CX62" s="278">
        <v>0</v>
      </c>
      <c r="CY62" s="278">
        <v>0.34491776674587832</v>
      </c>
      <c r="CZ62" s="278">
        <v>0.34491776674587832</v>
      </c>
      <c r="DA62" s="278">
        <v>0.34491776674587832</v>
      </c>
      <c r="DB62" s="278">
        <v>0.27593421339670265</v>
      </c>
      <c r="DC62" s="278">
        <v>0</v>
      </c>
      <c r="DD62" s="278">
        <v>0</v>
      </c>
      <c r="DE62" s="278">
        <v>0</v>
      </c>
      <c r="DF62" s="390">
        <f t="shared" si="4"/>
        <v>0</v>
      </c>
      <c r="DG62" s="391">
        <v>0</v>
      </c>
      <c r="DH62" s="281">
        <v>0</v>
      </c>
      <c r="DI62" s="278">
        <v>0</v>
      </c>
      <c r="DJ62" s="278">
        <v>1.5336118123262787</v>
      </c>
      <c r="DK62" s="278">
        <v>0</v>
      </c>
      <c r="DL62" s="278">
        <v>0.11027329337626468</v>
      </c>
      <c r="DM62" s="278">
        <v>0.12621111565555979</v>
      </c>
      <c r="DN62" s="278">
        <v>0</v>
      </c>
      <c r="DO62" s="278">
        <v>0</v>
      </c>
      <c r="DP62" s="278">
        <v>0</v>
      </c>
      <c r="DQ62" s="278">
        <v>5.8666799999999998E-2</v>
      </c>
      <c r="DR62" s="282">
        <v>1.0706690999999999</v>
      </c>
      <c r="DS62" s="226"/>
      <c r="DT62" s="312">
        <v>0</v>
      </c>
      <c r="DU62" s="278">
        <v>0</v>
      </c>
      <c r="DV62" s="278">
        <v>0</v>
      </c>
      <c r="DW62" s="278">
        <v>9.7110578058313191E-2</v>
      </c>
      <c r="DX62" s="275">
        <v>0</v>
      </c>
      <c r="DY62" s="281">
        <v>0</v>
      </c>
      <c r="DZ62" s="281">
        <v>5.6999516912402204E-3</v>
      </c>
      <c r="EA62" s="281">
        <v>0</v>
      </c>
      <c r="EB62" s="275">
        <v>0</v>
      </c>
      <c r="EC62" s="275">
        <v>0</v>
      </c>
      <c r="ED62" s="275">
        <v>0</v>
      </c>
      <c r="EE62" s="277">
        <v>0</v>
      </c>
      <c r="EF62" s="212"/>
      <c r="EG62" s="273">
        <v>0</v>
      </c>
      <c r="EH62" s="278">
        <v>0</v>
      </c>
      <c r="EI62" s="278">
        <v>0</v>
      </c>
      <c r="EJ62" s="278">
        <v>1.1951676551958084</v>
      </c>
      <c r="EK62" s="276">
        <v>2.2000000000000001E-4</v>
      </c>
      <c r="EL62" s="309">
        <v>-0.34491776674587832</v>
      </c>
      <c r="EM62" s="309">
        <v>-0.25452171843711857</v>
      </c>
      <c r="EN62" s="309">
        <v>-0.34491776674587832</v>
      </c>
      <c r="EO62" s="276">
        <v>-0.27593421339670265</v>
      </c>
      <c r="EP62" s="276">
        <v>0</v>
      </c>
      <c r="EQ62" s="276">
        <v>0</v>
      </c>
      <c r="ER62" s="313">
        <v>0.80468351999999987</v>
      </c>
      <c r="ES62" s="283"/>
      <c r="ET62" s="312">
        <v>0</v>
      </c>
      <c r="EU62" s="278">
        <v>0</v>
      </c>
      <c r="EV62" s="278">
        <v>0</v>
      </c>
      <c r="EW62" s="278">
        <v>-1.0096054980437193E-3</v>
      </c>
      <c r="EX62" s="275">
        <v>2.2000000000000001E-4</v>
      </c>
      <c r="EY62" s="281">
        <v>0</v>
      </c>
      <c r="EZ62" s="281">
        <v>-5.9259276189256994E-5</v>
      </c>
      <c r="FA62" s="281">
        <v>0</v>
      </c>
      <c r="FB62" s="275">
        <v>0</v>
      </c>
      <c r="FC62" s="275">
        <v>0</v>
      </c>
      <c r="FD62" s="275">
        <v>0</v>
      </c>
      <c r="FE62" s="277">
        <v>2.9136978000000001E-3</v>
      </c>
      <c r="FF62" s="212"/>
      <c r="FG62" s="273">
        <v>0</v>
      </c>
      <c r="FH62" s="278">
        <v>0</v>
      </c>
      <c r="FI62" s="278">
        <v>0</v>
      </c>
      <c r="FJ62" s="278">
        <v>0.10459379317176484</v>
      </c>
      <c r="FK62" s="276">
        <v>0</v>
      </c>
      <c r="FL62" s="309">
        <v>-0.11027329337626468</v>
      </c>
      <c r="FM62" s="309">
        <v>-3.005585637937052E-2</v>
      </c>
      <c r="FN62" s="309">
        <v>0</v>
      </c>
      <c r="FO62" s="276">
        <v>0</v>
      </c>
      <c r="FP62" s="276">
        <v>0</v>
      </c>
      <c r="FQ62" s="276">
        <v>-5.8666799999999998E-2</v>
      </c>
      <c r="FR62" s="313">
        <v>-0.26889927780000006</v>
      </c>
      <c r="FS62" s="283"/>
      <c r="FT62" s="286">
        <v>172.86</v>
      </c>
      <c r="FU62" s="260">
        <v>120</v>
      </c>
      <c r="FV62" s="260">
        <v>197.61399999999998</v>
      </c>
      <c r="FW62" s="260">
        <v>52.860000000000014</v>
      </c>
      <c r="FX62" s="287">
        <v>0.44050000000000011</v>
      </c>
      <c r="FY62" s="327">
        <v>2.5381955199999999</v>
      </c>
      <c r="FZ62" s="275">
        <v>1.6556052803802159</v>
      </c>
      <c r="GA62" s="275">
        <v>2.8994321213581031</v>
      </c>
      <c r="GB62" s="275">
        <v>0.882590239619784</v>
      </c>
      <c r="GC62" s="275">
        <v>0.7797797098702306</v>
      </c>
      <c r="GD62" s="275">
        <v>0.10281052974955342</v>
      </c>
      <c r="GE62" s="275">
        <v>-0.36330143438387041</v>
      </c>
      <c r="GF62" s="277">
        <v>2.0648330257670238E-3</v>
      </c>
      <c r="GG62" s="214">
        <v>0</v>
      </c>
      <c r="GH62" s="286">
        <v>54.665999999999997</v>
      </c>
      <c r="GI62" s="260">
        <v>0</v>
      </c>
      <c r="GJ62" s="260">
        <v>73</v>
      </c>
      <c r="GK62" s="260">
        <v>54.665999999999997</v>
      </c>
      <c r="GL62" s="291">
        <v>0</v>
      </c>
      <c r="GM62" s="275">
        <v>0.80468351999999999</v>
      </c>
      <c r="GN62" s="275">
        <v>0</v>
      </c>
      <c r="GO62" s="275">
        <v>1.0706690999999999</v>
      </c>
      <c r="GP62" s="275">
        <v>0.80468351999999999</v>
      </c>
      <c r="GQ62" s="275">
        <v>0.80468351999999987</v>
      </c>
      <c r="GR62" s="277">
        <v>0</v>
      </c>
      <c r="GS62" s="275">
        <v>-0.26889927780000006</v>
      </c>
      <c r="GT62" s="284">
        <v>2.9136978000000001E-3</v>
      </c>
      <c r="GU62" s="292">
        <v>-0.29569304552674747</v>
      </c>
      <c r="GV62" s="214">
        <v>0</v>
      </c>
      <c r="GW62" s="293">
        <v>1.0963921857072789</v>
      </c>
      <c r="GX62" s="294"/>
      <c r="GY62" s="293">
        <v>-0.3612366013581032</v>
      </c>
      <c r="GZ62" s="293">
        <v>0</v>
      </c>
      <c r="HA62" s="293">
        <v>-0.26598557999999994</v>
      </c>
      <c r="HB62" s="293">
        <v>2.9136978000001146E-3</v>
      </c>
      <c r="HC62" s="295">
        <v>1.1003765655267472</v>
      </c>
    </row>
    <row r="63" spans="1:211" ht="25.5" customHeight="1">
      <c r="B63" s="398" t="s">
        <v>234</v>
      </c>
      <c r="C63" s="299" t="s">
        <v>159</v>
      </c>
      <c r="D63" s="397" t="s">
        <v>232</v>
      </c>
      <c r="E63" s="397" t="s">
        <v>232</v>
      </c>
      <c r="F63" s="399" t="s">
        <v>170</v>
      </c>
      <c r="G63" s="301"/>
      <c r="H63" s="301"/>
      <c r="I63" s="258"/>
      <c r="J63" s="302"/>
      <c r="K63" s="302"/>
      <c r="L63" s="258"/>
      <c r="M63" s="261"/>
      <c r="N63" s="260"/>
      <c r="O63" s="261"/>
      <c r="P63" s="261">
        <v>0</v>
      </c>
      <c r="Q63" s="261">
        <v>0</v>
      </c>
      <c r="R63" s="303">
        <v>0</v>
      </c>
      <c r="S63" s="261">
        <f t="shared" si="3"/>
        <v>0</v>
      </c>
      <c r="T63" s="388">
        <v>0</v>
      </c>
      <c r="U63" s="267">
        <v>0</v>
      </c>
      <c r="V63" s="259">
        <v>0</v>
      </c>
      <c r="W63" s="259">
        <v>0</v>
      </c>
      <c r="X63" s="259">
        <v>0</v>
      </c>
      <c r="Y63" s="259">
        <v>0</v>
      </c>
      <c r="Z63" s="259">
        <v>0</v>
      </c>
      <c r="AA63" s="259">
        <v>0</v>
      </c>
      <c r="AB63" s="259">
        <v>0</v>
      </c>
      <c r="AC63" s="259">
        <v>25</v>
      </c>
      <c r="AD63" s="259">
        <v>0</v>
      </c>
      <c r="AE63" s="268">
        <v>25</v>
      </c>
      <c r="AG63" s="388">
        <v>0</v>
      </c>
      <c r="AH63" s="267">
        <v>0</v>
      </c>
      <c r="AI63" s="259">
        <v>0</v>
      </c>
      <c r="AJ63" s="259">
        <v>0</v>
      </c>
      <c r="AK63" s="259">
        <v>0</v>
      </c>
      <c r="AL63" s="259">
        <v>0</v>
      </c>
      <c r="AM63" s="259">
        <v>0</v>
      </c>
      <c r="AN63" s="259">
        <v>0</v>
      </c>
      <c r="AO63" s="259">
        <v>0</v>
      </c>
      <c r="AP63" s="259">
        <v>0</v>
      </c>
      <c r="AQ63" s="259">
        <v>0</v>
      </c>
      <c r="AR63" s="268">
        <v>0</v>
      </c>
      <c r="AS63" s="269">
        <v>0</v>
      </c>
      <c r="AT63" s="305">
        <v>0</v>
      </c>
      <c r="AU63" s="336">
        <v>0</v>
      </c>
      <c r="AV63" s="336">
        <v>0</v>
      </c>
      <c r="AW63" s="336">
        <v>0</v>
      </c>
      <c r="AX63" s="336">
        <v>0</v>
      </c>
      <c r="AY63" s="336">
        <v>0</v>
      </c>
      <c r="AZ63" s="259">
        <v>0</v>
      </c>
      <c r="BA63" s="259">
        <v>0</v>
      </c>
      <c r="BB63" s="259">
        <v>0</v>
      </c>
      <c r="BC63" s="259">
        <v>0</v>
      </c>
      <c r="BD63" s="259">
        <v>0</v>
      </c>
      <c r="BE63" s="268">
        <v>0</v>
      </c>
      <c r="BG63" s="305">
        <v>0</v>
      </c>
      <c r="BH63" s="336">
        <v>0</v>
      </c>
      <c r="BI63" s="336">
        <v>0</v>
      </c>
      <c r="BJ63" s="336">
        <v>0</v>
      </c>
      <c r="BK63" s="336">
        <v>0</v>
      </c>
      <c r="BL63" s="336">
        <v>0</v>
      </c>
      <c r="BM63" s="259">
        <v>0</v>
      </c>
      <c r="BN63" s="259">
        <v>0</v>
      </c>
      <c r="BO63" s="259">
        <v>0</v>
      </c>
      <c r="BP63" s="259">
        <v>72724.506317775405</v>
      </c>
      <c r="BQ63" s="259">
        <v>0</v>
      </c>
      <c r="BR63" s="268">
        <v>72724.506317775405</v>
      </c>
      <c r="BT63" s="389">
        <v>0</v>
      </c>
      <c r="BU63" s="307">
        <v>0</v>
      </c>
      <c r="BV63" s="307">
        <v>0</v>
      </c>
      <c r="BW63" s="307">
        <v>0</v>
      </c>
      <c r="BX63" s="307">
        <v>0</v>
      </c>
      <c r="BY63" s="307">
        <v>0</v>
      </c>
      <c r="BZ63" s="307">
        <v>0</v>
      </c>
      <c r="CA63" s="307">
        <v>0</v>
      </c>
      <c r="CB63" s="307">
        <v>0</v>
      </c>
      <c r="CC63" s="307">
        <v>0</v>
      </c>
      <c r="CD63" s="307">
        <v>0</v>
      </c>
      <c r="CE63" s="308">
        <v>0</v>
      </c>
      <c r="CF63" s="212"/>
      <c r="CG63" s="273"/>
      <c r="CH63" s="274"/>
      <c r="CI63" s="274"/>
      <c r="CJ63" s="274"/>
      <c r="CK63" s="274"/>
      <c r="CL63" s="309"/>
      <c r="CM63" s="309"/>
      <c r="CN63" s="276"/>
      <c r="CO63" s="276"/>
      <c r="CP63" s="276">
        <v>0</v>
      </c>
      <c r="CQ63" s="276">
        <v>0</v>
      </c>
      <c r="CR63" s="313">
        <v>0</v>
      </c>
      <c r="CS63" s="390"/>
      <c r="CT63" s="273">
        <v>0</v>
      </c>
      <c r="CU63" s="278">
        <v>0</v>
      </c>
      <c r="CV63" s="278">
        <v>0</v>
      </c>
      <c r="CW63" s="278">
        <v>0</v>
      </c>
      <c r="CX63" s="278">
        <v>0</v>
      </c>
      <c r="CY63" s="278">
        <v>0</v>
      </c>
      <c r="CZ63" s="278">
        <v>0</v>
      </c>
      <c r="DA63" s="278">
        <v>0</v>
      </c>
      <c r="DB63" s="278">
        <v>0</v>
      </c>
      <c r="DC63" s="278">
        <v>0.18181126579443851</v>
      </c>
      <c r="DD63" s="278">
        <v>0</v>
      </c>
      <c r="DE63" s="278">
        <v>0.18181126579443851</v>
      </c>
      <c r="DF63" s="390">
        <f t="shared" si="4"/>
        <v>0.36362253158887703</v>
      </c>
      <c r="DG63" s="391">
        <v>0</v>
      </c>
      <c r="DH63" s="281">
        <v>0</v>
      </c>
      <c r="DI63" s="278">
        <v>0</v>
      </c>
      <c r="DJ63" s="278">
        <v>0</v>
      </c>
      <c r="DK63" s="278">
        <v>0</v>
      </c>
      <c r="DL63" s="278">
        <v>0</v>
      </c>
      <c r="DM63" s="278">
        <v>0</v>
      </c>
      <c r="DN63" s="278">
        <v>0</v>
      </c>
      <c r="DO63" s="278">
        <v>0</v>
      </c>
      <c r="DP63" s="278">
        <v>0</v>
      </c>
      <c r="DQ63" s="278">
        <v>0</v>
      </c>
      <c r="DR63" s="282">
        <v>0</v>
      </c>
      <c r="DS63" s="226"/>
      <c r="DT63" s="312">
        <v>0</v>
      </c>
      <c r="DU63" s="278">
        <v>0</v>
      </c>
      <c r="DV63" s="278">
        <v>0</v>
      </c>
      <c r="DW63" s="278">
        <v>0</v>
      </c>
      <c r="DX63" s="275">
        <v>0</v>
      </c>
      <c r="DY63" s="281">
        <v>0</v>
      </c>
      <c r="DZ63" s="281">
        <v>0</v>
      </c>
      <c r="EA63" s="281">
        <v>0</v>
      </c>
      <c r="EB63" s="275">
        <v>0</v>
      </c>
      <c r="EC63" s="275">
        <v>0</v>
      </c>
      <c r="ED63" s="275">
        <v>0</v>
      </c>
      <c r="EE63" s="277">
        <v>0</v>
      </c>
      <c r="EF63" s="212"/>
      <c r="EG63" s="273">
        <v>0</v>
      </c>
      <c r="EH63" s="278">
        <v>0</v>
      </c>
      <c r="EI63" s="278">
        <v>0</v>
      </c>
      <c r="EJ63" s="278">
        <v>0</v>
      </c>
      <c r="EK63" s="276">
        <v>0</v>
      </c>
      <c r="EL63" s="309">
        <v>0</v>
      </c>
      <c r="EM63" s="309">
        <v>0</v>
      </c>
      <c r="EN63" s="309">
        <v>0</v>
      </c>
      <c r="EO63" s="276">
        <v>0</v>
      </c>
      <c r="EP63" s="276">
        <v>-0.18181126579443851</v>
      </c>
      <c r="EQ63" s="276">
        <v>0</v>
      </c>
      <c r="ER63" s="313">
        <v>-0.18181126579443851</v>
      </c>
      <c r="ES63" s="283"/>
      <c r="ET63" s="312">
        <v>0</v>
      </c>
      <c r="EU63" s="278">
        <v>0</v>
      </c>
      <c r="EV63" s="278">
        <v>0</v>
      </c>
      <c r="EW63" s="278">
        <v>0</v>
      </c>
      <c r="EX63" s="275">
        <v>0</v>
      </c>
      <c r="EY63" s="281">
        <v>0</v>
      </c>
      <c r="EZ63" s="281">
        <v>0</v>
      </c>
      <c r="FA63" s="281">
        <v>0</v>
      </c>
      <c r="FB63" s="275">
        <v>0</v>
      </c>
      <c r="FC63" s="275">
        <v>0</v>
      </c>
      <c r="FD63" s="275">
        <v>0</v>
      </c>
      <c r="FE63" s="277">
        <v>0</v>
      </c>
      <c r="FF63" s="212"/>
      <c r="FG63" s="273">
        <v>0</v>
      </c>
      <c r="FH63" s="278">
        <v>0</v>
      </c>
      <c r="FI63" s="278">
        <v>0</v>
      </c>
      <c r="FJ63" s="278">
        <v>0</v>
      </c>
      <c r="FK63" s="276">
        <v>0</v>
      </c>
      <c r="FL63" s="309">
        <v>0</v>
      </c>
      <c r="FM63" s="309">
        <v>0</v>
      </c>
      <c r="FN63" s="309">
        <v>0</v>
      </c>
      <c r="FO63" s="276">
        <v>0</v>
      </c>
      <c r="FP63" s="276">
        <v>0</v>
      </c>
      <c r="FQ63" s="276">
        <v>0</v>
      </c>
      <c r="FR63" s="313">
        <v>0</v>
      </c>
      <c r="FS63" s="283"/>
      <c r="FT63" s="286">
        <v>0</v>
      </c>
      <c r="FU63" s="260">
        <v>50</v>
      </c>
      <c r="FV63" s="260">
        <v>0</v>
      </c>
      <c r="FW63" s="260">
        <v>-50</v>
      </c>
      <c r="FX63" s="287">
        <v>-1</v>
      </c>
      <c r="FY63" s="327">
        <v>0</v>
      </c>
      <c r="FZ63" s="275">
        <v>0.36362253158887703</v>
      </c>
      <c r="GA63" s="275">
        <v>0</v>
      </c>
      <c r="GB63" s="275">
        <v>-0.36362253158887703</v>
      </c>
      <c r="GC63" s="275">
        <v>-0.36362253158887703</v>
      </c>
      <c r="GD63" s="275">
        <v>0</v>
      </c>
      <c r="GE63" s="275">
        <v>0</v>
      </c>
      <c r="GF63" s="277">
        <v>0</v>
      </c>
      <c r="GG63" s="214">
        <v>0</v>
      </c>
      <c r="GH63" s="286">
        <v>0</v>
      </c>
      <c r="GI63" s="260">
        <v>25</v>
      </c>
      <c r="GJ63" s="260">
        <v>0</v>
      </c>
      <c r="GK63" s="260">
        <v>-25</v>
      </c>
      <c r="GL63" s="291">
        <v>-1</v>
      </c>
      <c r="GM63" s="275">
        <v>0</v>
      </c>
      <c r="GN63" s="275">
        <v>0.18181126579443851</v>
      </c>
      <c r="GO63" s="275">
        <v>0</v>
      </c>
      <c r="GP63" s="275">
        <v>-0.18181126579443851</v>
      </c>
      <c r="GQ63" s="275">
        <v>-0.18181126579443851</v>
      </c>
      <c r="GR63" s="277">
        <v>0</v>
      </c>
      <c r="GS63" s="275">
        <v>0</v>
      </c>
      <c r="GT63" s="284">
        <v>0</v>
      </c>
      <c r="GU63" s="292">
        <v>0</v>
      </c>
      <c r="GV63" s="214">
        <v>0</v>
      </c>
      <c r="GW63" s="293">
        <v>0</v>
      </c>
      <c r="GX63" s="294"/>
      <c r="GY63" s="293">
        <v>0</v>
      </c>
      <c r="GZ63" s="293">
        <v>0</v>
      </c>
      <c r="HA63" s="293">
        <v>0</v>
      </c>
      <c r="HB63" s="293">
        <v>0</v>
      </c>
      <c r="HC63" s="295">
        <v>0</v>
      </c>
    </row>
    <row r="64" spans="1:211">
      <c r="B64" s="328" t="s">
        <v>235</v>
      </c>
      <c r="C64" s="297" t="s">
        <v>135</v>
      </c>
      <c r="D64" s="297" t="s">
        <v>236</v>
      </c>
      <c r="E64" s="400" t="s">
        <v>235</v>
      </c>
      <c r="F64" s="382" t="s">
        <v>237</v>
      </c>
      <c r="G64" s="301">
        <v>0</v>
      </c>
      <c r="H64" s="301">
        <v>0</v>
      </c>
      <c r="I64" s="258">
        <v>0</v>
      </c>
      <c r="J64" s="302">
        <v>0</v>
      </c>
      <c r="K64" s="302">
        <v>0</v>
      </c>
      <c r="L64" s="258">
        <v>0</v>
      </c>
      <c r="M64" s="261">
        <v>0</v>
      </c>
      <c r="N64" s="260">
        <v>0</v>
      </c>
      <c r="O64" s="261">
        <v>0</v>
      </c>
      <c r="P64" s="261">
        <v>0</v>
      </c>
      <c r="Q64" s="261">
        <v>0</v>
      </c>
      <c r="R64" s="303">
        <v>0</v>
      </c>
      <c r="S64" s="261">
        <f t="shared" si="3"/>
        <v>0</v>
      </c>
      <c r="T64" s="305">
        <v>0</v>
      </c>
      <c r="U64" s="267">
        <v>0</v>
      </c>
      <c r="V64" s="259">
        <v>0</v>
      </c>
      <c r="W64" s="259">
        <v>0</v>
      </c>
      <c r="X64" s="259">
        <v>0</v>
      </c>
      <c r="Y64" s="259">
        <v>0</v>
      </c>
      <c r="Z64" s="259">
        <v>0</v>
      </c>
      <c r="AA64" s="259">
        <v>0</v>
      </c>
      <c r="AB64" s="259">
        <v>0</v>
      </c>
      <c r="AC64" s="259">
        <v>0</v>
      </c>
      <c r="AD64" s="259">
        <v>0</v>
      </c>
      <c r="AE64" s="268">
        <v>0</v>
      </c>
      <c r="AG64" s="305">
        <v>0</v>
      </c>
      <c r="AH64" s="267">
        <v>0</v>
      </c>
      <c r="AI64" s="259">
        <v>0</v>
      </c>
      <c r="AJ64" s="259">
        <v>0</v>
      </c>
      <c r="AK64" s="259">
        <v>0</v>
      </c>
      <c r="AL64" s="259">
        <v>0</v>
      </c>
      <c r="AM64" s="259">
        <v>0</v>
      </c>
      <c r="AN64" s="259">
        <v>0</v>
      </c>
      <c r="AO64" s="259">
        <v>0</v>
      </c>
      <c r="AP64" s="259">
        <v>0</v>
      </c>
      <c r="AQ64" s="259">
        <v>0</v>
      </c>
      <c r="AR64" s="268">
        <v>0</v>
      </c>
      <c r="AS64" s="269">
        <v>0</v>
      </c>
      <c r="AT64" s="305">
        <v>0</v>
      </c>
      <c r="AU64" s="336">
        <v>0</v>
      </c>
      <c r="AV64" s="336">
        <v>0</v>
      </c>
      <c r="AW64" s="336">
        <v>0</v>
      </c>
      <c r="AX64" s="336">
        <v>0</v>
      </c>
      <c r="AY64" s="336">
        <v>0</v>
      </c>
      <c r="AZ64" s="259">
        <v>0</v>
      </c>
      <c r="BA64" s="259">
        <v>0</v>
      </c>
      <c r="BB64" s="259">
        <v>0</v>
      </c>
      <c r="BC64" s="259">
        <v>0</v>
      </c>
      <c r="BD64" s="259">
        <v>0</v>
      </c>
      <c r="BE64" s="268">
        <v>0</v>
      </c>
      <c r="BG64" s="305">
        <v>0</v>
      </c>
      <c r="BH64" s="336">
        <v>0</v>
      </c>
      <c r="BI64" s="336">
        <v>0</v>
      </c>
      <c r="BJ64" s="336">
        <v>0</v>
      </c>
      <c r="BK64" s="336">
        <v>0</v>
      </c>
      <c r="BL64" s="336">
        <v>0</v>
      </c>
      <c r="BM64" s="336">
        <v>0</v>
      </c>
      <c r="BN64" s="336">
        <v>0</v>
      </c>
      <c r="BO64" s="336">
        <v>0</v>
      </c>
      <c r="BP64" s="336">
        <v>0</v>
      </c>
      <c r="BQ64" s="336">
        <v>0</v>
      </c>
      <c r="BR64" s="268">
        <v>0</v>
      </c>
      <c r="BT64" s="389">
        <v>0</v>
      </c>
      <c r="BU64" s="307">
        <v>0</v>
      </c>
      <c r="BV64" s="307">
        <v>0</v>
      </c>
      <c r="BW64" s="307">
        <v>0</v>
      </c>
      <c r="BX64" s="307">
        <v>0</v>
      </c>
      <c r="BY64" s="307">
        <v>0</v>
      </c>
      <c r="BZ64" s="307">
        <v>0</v>
      </c>
      <c r="CA64" s="307">
        <v>0</v>
      </c>
      <c r="CB64" s="307">
        <v>0</v>
      </c>
      <c r="CC64" s="307">
        <v>0</v>
      </c>
      <c r="CD64" s="307">
        <v>0</v>
      </c>
      <c r="CE64" s="308">
        <v>0</v>
      </c>
      <c r="CF64" s="212"/>
      <c r="CG64" s="396">
        <v>0</v>
      </c>
      <c r="CH64" s="274">
        <v>0</v>
      </c>
      <c r="CI64" s="274">
        <v>0</v>
      </c>
      <c r="CJ64" s="274">
        <v>0</v>
      </c>
      <c r="CK64" s="274">
        <v>0</v>
      </c>
      <c r="CL64" s="309">
        <v>0</v>
      </c>
      <c r="CM64" s="309">
        <v>0</v>
      </c>
      <c r="CN64" s="276">
        <v>0</v>
      </c>
      <c r="CO64" s="276">
        <v>0</v>
      </c>
      <c r="CP64" s="276">
        <v>0</v>
      </c>
      <c r="CQ64" s="276">
        <v>0</v>
      </c>
      <c r="CR64" s="313">
        <v>0</v>
      </c>
      <c r="CS64" s="390"/>
      <c r="CT64" s="273">
        <v>0</v>
      </c>
      <c r="CU64" s="278">
        <v>0</v>
      </c>
      <c r="CV64" s="278">
        <v>0</v>
      </c>
      <c r="CW64" s="278">
        <v>0</v>
      </c>
      <c r="CX64" s="278">
        <v>0</v>
      </c>
      <c r="CY64" s="278">
        <v>0</v>
      </c>
      <c r="CZ64" s="278">
        <v>0</v>
      </c>
      <c r="DA64" s="278">
        <v>0</v>
      </c>
      <c r="DB64" s="278">
        <v>0</v>
      </c>
      <c r="DC64" s="278">
        <v>0</v>
      </c>
      <c r="DD64" s="278">
        <v>0</v>
      </c>
      <c r="DE64" s="278">
        <v>0</v>
      </c>
      <c r="DF64" s="390">
        <f t="shared" si="4"/>
        <v>0</v>
      </c>
      <c r="DG64" s="312">
        <v>0</v>
      </c>
      <c r="DH64" s="281">
        <v>0</v>
      </c>
      <c r="DI64" s="278">
        <v>0</v>
      </c>
      <c r="DJ64" s="278">
        <v>0</v>
      </c>
      <c r="DK64" s="278">
        <v>0</v>
      </c>
      <c r="DL64" s="278">
        <v>0</v>
      </c>
      <c r="DM64" s="278">
        <v>0</v>
      </c>
      <c r="DN64" s="278">
        <v>0</v>
      </c>
      <c r="DO64" s="278">
        <v>0</v>
      </c>
      <c r="DP64" s="278">
        <v>0</v>
      </c>
      <c r="DQ64" s="278">
        <v>0</v>
      </c>
      <c r="DR64" s="282">
        <v>0</v>
      </c>
      <c r="DS64" s="226"/>
      <c r="DT64" s="312">
        <v>0</v>
      </c>
      <c r="DU64" s="278">
        <v>0</v>
      </c>
      <c r="DV64" s="278">
        <v>0</v>
      </c>
      <c r="DW64" s="278">
        <v>0</v>
      </c>
      <c r="DX64" s="275">
        <v>0</v>
      </c>
      <c r="DY64" s="281">
        <v>0</v>
      </c>
      <c r="DZ64" s="281">
        <v>0</v>
      </c>
      <c r="EA64" s="281">
        <v>0</v>
      </c>
      <c r="EB64" s="281">
        <v>0</v>
      </c>
      <c r="EC64" s="281">
        <v>0</v>
      </c>
      <c r="ED64" s="281">
        <v>0</v>
      </c>
      <c r="EE64" s="277">
        <v>0</v>
      </c>
      <c r="EF64" s="212"/>
      <c r="EG64" s="273">
        <v>0</v>
      </c>
      <c r="EH64" s="278">
        <v>0</v>
      </c>
      <c r="EI64" s="278">
        <v>0</v>
      </c>
      <c r="EJ64" s="278">
        <v>0</v>
      </c>
      <c r="EK64" s="276">
        <v>0</v>
      </c>
      <c r="EL64" s="281">
        <v>0</v>
      </c>
      <c r="EM64" s="275">
        <v>0</v>
      </c>
      <c r="EN64" s="275">
        <v>0</v>
      </c>
      <c r="EO64" s="275">
        <v>0</v>
      </c>
      <c r="EP64" s="284">
        <v>0</v>
      </c>
      <c r="EQ64" s="284">
        <v>0</v>
      </c>
      <c r="ER64" s="285">
        <v>0</v>
      </c>
      <c r="ES64" s="283"/>
      <c r="ET64" s="312">
        <v>0</v>
      </c>
      <c r="EU64" s="278">
        <v>0</v>
      </c>
      <c r="EV64" s="278">
        <v>0</v>
      </c>
      <c r="EW64" s="278">
        <v>0</v>
      </c>
      <c r="EX64" s="275">
        <v>0</v>
      </c>
      <c r="EY64" s="281">
        <v>0</v>
      </c>
      <c r="EZ64" s="281">
        <v>0</v>
      </c>
      <c r="FA64" s="281">
        <v>0</v>
      </c>
      <c r="FB64" s="281">
        <v>0</v>
      </c>
      <c r="FC64" s="281">
        <v>0</v>
      </c>
      <c r="FD64" s="281">
        <v>0</v>
      </c>
      <c r="FE64" s="277">
        <v>0</v>
      </c>
      <c r="FF64" s="212"/>
      <c r="FG64" s="273">
        <v>0</v>
      </c>
      <c r="FH64" s="278">
        <v>0</v>
      </c>
      <c r="FI64" s="278">
        <v>0</v>
      </c>
      <c r="FJ64" s="278">
        <v>0</v>
      </c>
      <c r="FK64" s="276">
        <v>0</v>
      </c>
      <c r="FL64" s="281">
        <v>0</v>
      </c>
      <c r="FM64" s="275">
        <v>0</v>
      </c>
      <c r="FN64" s="275">
        <v>0</v>
      </c>
      <c r="FO64" s="275">
        <v>0</v>
      </c>
      <c r="FP64" s="284">
        <v>0</v>
      </c>
      <c r="FQ64" s="284">
        <v>0</v>
      </c>
      <c r="FR64" s="285">
        <v>0</v>
      </c>
      <c r="FS64" s="283"/>
      <c r="FT64" s="286">
        <v>0</v>
      </c>
      <c r="FU64" s="260">
        <v>0</v>
      </c>
      <c r="FV64" s="260">
        <v>0</v>
      </c>
      <c r="FW64" s="260">
        <v>0</v>
      </c>
      <c r="FX64" s="287">
        <v>0</v>
      </c>
      <c r="FY64" s="327">
        <v>0</v>
      </c>
      <c r="FZ64" s="275">
        <v>0</v>
      </c>
      <c r="GA64" s="275">
        <v>0</v>
      </c>
      <c r="GB64" s="275">
        <v>0</v>
      </c>
      <c r="GC64" s="275">
        <v>0</v>
      </c>
      <c r="GD64" s="275">
        <v>0</v>
      </c>
      <c r="GE64" s="275">
        <v>0</v>
      </c>
      <c r="GF64" s="277">
        <v>0</v>
      </c>
      <c r="GG64" s="214">
        <v>0</v>
      </c>
      <c r="GH64" s="286">
        <v>0</v>
      </c>
      <c r="GI64" s="260">
        <v>0</v>
      </c>
      <c r="GJ64" s="260">
        <v>0</v>
      </c>
      <c r="GK64" s="260">
        <v>0</v>
      </c>
      <c r="GL64" s="291">
        <v>0</v>
      </c>
      <c r="GM64" s="275">
        <v>0</v>
      </c>
      <c r="GN64" s="275">
        <v>0</v>
      </c>
      <c r="GO64" s="275">
        <v>0</v>
      </c>
      <c r="GP64" s="275">
        <v>0</v>
      </c>
      <c r="GQ64" s="275">
        <v>0</v>
      </c>
      <c r="GR64" s="277">
        <v>0</v>
      </c>
      <c r="GS64" s="275">
        <v>0</v>
      </c>
      <c r="GT64" s="284">
        <v>0</v>
      </c>
      <c r="GU64" s="292">
        <v>0</v>
      </c>
      <c r="GV64" s="214">
        <v>0</v>
      </c>
      <c r="GW64" s="293">
        <v>0</v>
      </c>
      <c r="GX64" s="294"/>
      <c r="GY64" s="293">
        <v>0</v>
      </c>
      <c r="GZ64" s="293">
        <v>0</v>
      </c>
      <c r="HA64" s="293">
        <v>0</v>
      </c>
      <c r="HB64" s="293">
        <v>0</v>
      </c>
      <c r="HC64" s="295">
        <v>0</v>
      </c>
    </row>
    <row r="65" spans="1:211" ht="25.5">
      <c r="B65" s="328" t="s">
        <v>238</v>
      </c>
      <c r="C65" s="297" t="s">
        <v>135</v>
      </c>
      <c r="D65" s="297" t="s">
        <v>239</v>
      </c>
      <c r="E65" s="401" t="s">
        <v>240</v>
      </c>
      <c r="F65" s="382" t="s">
        <v>144</v>
      </c>
      <c r="G65" s="301">
        <v>0</v>
      </c>
      <c r="H65" s="301">
        <v>0</v>
      </c>
      <c r="I65" s="258">
        <v>0</v>
      </c>
      <c r="J65" s="302">
        <v>0</v>
      </c>
      <c r="K65" s="302">
        <v>0</v>
      </c>
      <c r="L65" s="258">
        <v>0</v>
      </c>
      <c r="M65" s="261">
        <v>0</v>
      </c>
      <c r="N65" s="260">
        <v>0</v>
      </c>
      <c r="O65" s="261">
        <v>0</v>
      </c>
      <c r="P65" s="261">
        <v>0</v>
      </c>
      <c r="Q65" s="261">
        <v>0</v>
      </c>
      <c r="R65" s="303">
        <v>0</v>
      </c>
      <c r="S65" s="261">
        <f t="shared" si="3"/>
        <v>0</v>
      </c>
      <c r="T65" s="305">
        <v>0</v>
      </c>
      <c r="U65" s="267">
        <v>0</v>
      </c>
      <c r="V65" s="259">
        <v>0</v>
      </c>
      <c r="W65" s="259">
        <v>0</v>
      </c>
      <c r="X65" s="259">
        <v>0</v>
      </c>
      <c r="Y65" s="259">
        <v>0</v>
      </c>
      <c r="Z65" s="259">
        <v>0</v>
      </c>
      <c r="AA65" s="259">
        <v>0</v>
      </c>
      <c r="AB65" s="259">
        <v>0</v>
      </c>
      <c r="AC65" s="259">
        <v>0</v>
      </c>
      <c r="AD65" s="259">
        <v>0</v>
      </c>
      <c r="AE65" s="268">
        <v>0</v>
      </c>
      <c r="AG65" s="305">
        <v>0</v>
      </c>
      <c r="AH65" s="267">
        <v>0</v>
      </c>
      <c r="AI65" s="259">
        <v>0</v>
      </c>
      <c r="AJ65" s="259">
        <v>0</v>
      </c>
      <c r="AK65" s="259">
        <v>0</v>
      </c>
      <c r="AL65" s="259">
        <v>0</v>
      </c>
      <c r="AM65" s="259">
        <v>0</v>
      </c>
      <c r="AN65" s="259">
        <v>0</v>
      </c>
      <c r="AO65" s="259">
        <v>0</v>
      </c>
      <c r="AP65" s="259">
        <v>0</v>
      </c>
      <c r="AQ65" s="259">
        <v>0</v>
      </c>
      <c r="AR65" s="268">
        <v>0</v>
      </c>
      <c r="AS65" s="269">
        <v>0</v>
      </c>
      <c r="AT65" s="305">
        <v>0</v>
      </c>
      <c r="AU65" s="336">
        <v>0</v>
      </c>
      <c r="AV65" s="336">
        <v>0</v>
      </c>
      <c r="AW65" s="336">
        <v>0</v>
      </c>
      <c r="AX65" s="336">
        <v>0</v>
      </c>
      <c r="AY65" s="259">
        <v>0</v>
      </c>
      <c r="AZ65" s="259">
        <v>0</v>
      </c>
      <c r="BA65" s="259">
        <v>0</v>
      </c>
      <c r="BB65" s="259">
        <v>0</v>
      </c>
      <c r="BC65" s="259">
        <v>0</v>
      </c>
      <c r="BD65" s="259">
        <v>0</v>
      </c>
      <c r="BE65" s="268">
        <v>0</v>
      </c>
      <c r="BG65" s="305">
        <v>0</v>
      </c>
      <c r="BH65" s="336">
        <v>0</v>
      </c>
      <c r="BI65" s="336">
        <v>0</v>
      </c>
      <c r="BJ65" s="336">
        <v>0</v>
      </c>
      <c r="BK65" s="336">
        <v>0</v>
      </c>
      <c r="BL65" s="336">
        <v>0</v>
      </c>
      <c r="BM65" s="336">
        <v>0</v>
      </c>
      <c r="BN65" s="336">
        <v>0</v>
      </c>
      <c r="BO65" s="336">
        <v>0</v>
      </c>
      <c r="BP65" s="336">
        <v>0</v>
      </c>
      <c r="BQ65" s="336">
        <v>0</v>
      </c>
      <c r="BR65" s="268">
        <v>0</v>
      </c>
      <c r="BT65" s="389">
        <v>0</v>
      </c>
      <c r="BU65" s="307">
        <v>0</v>
      </c>
      <c r="BV65" s="307">
        <v>0</v>
      </c>
      <c r="BW65" s="307">
        <v>0</v>
      </c>
      <c r="BX65" s="307">
        <v>0</v>
      </c>
      <c r="BY65" s="307">
        <v>0</v>
      </c>
      <c r="BZ65" s="307">
        <v>0</v>
      </c>
      <c r="CA65" s="307">
        <v>0</v>
      </c>
      <c r="CB65" s="307">
        <v>0</v>
      </c>
      <c r="CC65" s="307">
        <v>0</v>
      </c>
      <c r="CD65" s="307">
        <v>0</v>
      </c>
      <c r="CE65" s="308">
        <v>0</v>
      </c>
      <c r="CF65" s="212"/>
      <c r="CG65" s="402">
        <v>0</v>
      </c>
      <c r="CH65" s="274">
        <v>0</v>
      </c>
      <c r="CI65" s="274">
        <v>0</v>
      </c>
      <c r="CJ65" s="274">
        <v>0</v>
      </c>
      <c r="CK65" s="274">
        <v>0</v>
      </c>
      <c r="CL65" s="309">
        <v>0</v>
      </c>
      <c r="CM65" s="309">
        <v>0</v>
      </c>
      <c r="CN65" s="276">
        <v>0</v>
      </c>
      <c r="CO65" s="276">
        <v>0</v>
      </c>
      <c r="CP65" s="276">
        <v>0</v>
      </c>
      <c r="CQ65" s="276">
        <v>0</v>
      </c>
      <c r="CR65" s="313">
        <v>0</v>
      </c>
      <c r="CS65" s="390"/>
      <c r="CT65" s="273">
        <v>0</v>
      </c>
      <c r="CU65" s="278">
        <v>0</v>
      </c>
      <c r="CV65" s="278">
        <v>0</v>
      </c>
      <c r="CW65" s="278">
        <v>0</v>
      </c>
      <c r="CX65" s="278">
        <v>0</v>
      </c>
      <c r="CY65" s="278">
        <v>0</v>
      </c>
      <c r="CZ65" s="278">
        <v>0</v>
      </c>
      <c r="DA65" s="278">
        <v>0</v>
      </c>
      <c r="DB65" s="278">
        <v>0</v>
      </c>
      <c r="DC65" s="278">
        <v>0</v>
      </c>
      <c r="DD65" s="278">
        <v>0</v>
      </c>
      <c r="DE65" s="278">
        <v>0</v>
      </c>
      <c r="DF65" s="390">
        <f t="shared" si="4"/>
        <v>0</v>
      </c>
      <c r="DG65" s="312">
        <v>0</v>
      </c>
      <c r="DH65" s="281">
        <v>0</v>
      </c>
      <c r="DI65" s="278">
        <v>0</v>
      </c>
      <c r="DJ65" s="278">
        <v>0</v>
      </c>
      <c r="DK65" s="278">
        <v>0</v>
      </c>
      <c r="DL65" s="278">
        <v>0</v>
      </c>
      <c r="DM65" s="278">
        <v>0</v>
      </c>
      <c r="DN65" s="278">
        <v>0</v>
      </c>
      <c r="DO65" s="278">
        <v>0</v>
      </c>
      <c r="DP65" s="278">
        <v>0</v>
      </c>
      <c r="DQ65" s="278">
        <v>0</v>
      </c>
      <c r="DR65" s="282">
        <v>0</v>
      </c>
      <c r="DS65" s="226"/>
      <c r="DT65" s="312">
        <v>0</v>
      </c>
      <c r="DU65" s="278">
        <v>0</v>
      </c>
      <c r="DV65" s="278">
        <v>0</v>
      </c>
      <c r="DW65" s="278">
        <v>0</v>
      </c>
      <c r="DX65" s="275">
        <v>0</v>
      </c>
      <c r="DY65" s="281">
        <v>0</v>
      </c>
      <c r="DZ65" s="281">
        <v>0</v>
      </c>
      <c r="EA65" s="281">
        <v>0</v>
      </c>
      <c r="EB65" s="281">
        <v>0</v>
      </c>
      <c r="EC65" s="281">
        <v>0</v>
      </c>
      <c r="ED65" s="281">
        <v>0</v>
      </c>
      <c r="EE65" s="277">
        <v>0</v>
      </c>
      <c r="EF65" s="212"/>
      <c r="EG65" s="273">
        <v>0</v>
      </c>
      <c r="EH65" s="278">
        <v>0</v>
      </c>
      <c r="EI65" s="278">
        <v>0</v>
      </c>
      <c r="EJ65" s="278">
        <v>0</v>
      </c>
      <c r="EK65" s="276">
        <v>0</v>
      </c>
      <c r="EL65" s="281">
        <v>0</v>
      </c>
      <c r="EM65" s="275">
        <v>0</v>
      </c>
      <c r="EN65" s="275">
        <v>0</v>
      </c>
      <c r="EO65" s="275">
        <v>0</v>
      </c>
      <c r="EP65" s="284">
        <v>0</v>
      </c>
      <c r="EQ65" s="284">
        <v>0</v>
      </c>
      <c r="ER65" s="285">
        <v>0</v>
      </c>
      <c r="ES65" s="283"/>
      <c r="ET65" s="312">
        <v>0</v>
      </c>
      <c r="EU65" s="278">
        <v>0</v>
      </c>
      <c r="EV65" s="278">
        <v>0</v>
      </c>
      <c r="EW65" s="278">
        <v>0</v>
      </c>
      <c r="EX65" s="275">
        <v>0</v>
      </c>
      <c r="EY65" s="281">
        <v>0</v>
      </c>
      <c r="EZ65" s="281">
        <v>0</v>
      </c>
      <c r="FA65" s="281">
        <v>0</v>
      </c>
      <c r="FB65" s="281">
        <v>0</v>
      </c>
      <c r="FC65" s="281">
        <v>0</v>
      </c>
      <c r="FD65" s="281">
        <v>0</v>
      </c>
      <c r="FE65" s="277">
        <v>0</v>
      </c>
      <c r="FF65" s="212"/>
      <c r="FG65" s="273">
        <v>0</v>
      </c>
      <c r="FH65" s="278">
        <v>0</v>
      </c>
      <c r="FI65" s="278">
        <v>0</v>
      </c>
      <c r="FJ65" s="278">
        <v>0</v>
      </c>
      <c r="FK65" s="276">
        <v>0</v>
      </c>
      <c r="FL65" s="281">
        <v>0</v>
      </c>
      <c r="FM65" s="275">
        <v>0</v>
      </c>
      <c r="FN65" s="275">
        <v>0</v>
      </c>
      <c r="FO65" s="275">
        <v>0</v>
      </c>
      <c r="FP65" s="284">
        <v>0</v>
      </c>
      <c r="FQ65" s="284">
        <v>0</v>
      </c>
      <c r="FR65" s="285">
        <v>0</v>
      </c>
      <c r="FS65" s="283"/>
      <c r="FT65" s="286">
        <v>0</v>
      </c>
      <c r="FU65" s="260">
        <v>0</v>
      </c>
      <c r="FV65" s="260">
        <v>0</v>
      </c>
      <c r="FW65" s="260">
        <v>0</v>
      </c>
      <c r="FX65" s="287">
        <v>0</v>
      </c>
      <c r="FY65" s="327">
        <v>0</v>
      </c>
      <c r="FZ65" s="275">
        <v>0</v>
      </c>
      <c r="GA65" s="275">
        <v>0</v>
      </c>
      <c r="GB65" s="275">
        <v>0</v>
      </c>
      <c r="GC65" s="275">
        <v>0</v>
      </c>
      <c r="GD65" s="275">
        <v>0</v>
      </c>
      <c r="GE65" s="275">
        <v>0</v>
      </c>
      <c r="GF65" s="277">
        <v>0</v>
      </c>
      <c r="GG65" s="214">
        <v>0</v>
      </c>
      <c r="GH65" s="286">
        <v>0</v>
      </c>
      <c r="GI65" s="260">
        <v>0</v>
      </c>
      <c r="GJ65" s="260">
        <v>0</v>
      </c>
      <c r="GK65" s="260">
        <v>0</v>
      </c>
      <c r="GL65" s="291">
        <v>0</v>
      </c>
      <c r="GM65" s="275">
        <v>0</v>
      </c>
      <c r="GN65" s="275">
        <v>0</v>
      </c>
      <c r="GO65" s="275">
        <v>0</v>
      </c>
      <c r="GP65" s="275">
        <v>0</v>
      </c>
      <c r="GQ65" s="275">
        <v>0</v>
      </c>
      <c r="GR65" s="277">
        <v>0</v>
      </c>
      <c r="GS65" s="275">
        <v>0</v>
      </c>
      <c r="GT65" s="284">
        <v>0</v>
      </c>
      <c r="GU65" s="292">
        <v>0</v>
      </c>
      <c r="GV65" s="214">
        <v>0</v>
      </c>
      <c r="GW65" s="293">
        <v>0</v>
      </c>
      <c r="GX65" s="294"/>
      <c r="GY65" s="293">
        <v>0</v>
      </c>
      <c r="GZ65" s="293">
        <v>0</v>
      </c>
      <c r="HA65" s="293">
        <v>0</v>
      </c>
      <c r="HB65" s="293">
        <v>0</v>
      </c>
      <c r="HC65" s="295">
        <v>0</v>
      </c>
    </row>
    <row r="66" spans="1:211" ht="25.5">
      <c r="B66" s="328" t="s">
        <v>241</v>
      </c>
      <c r="C66" s="297" t="s">
        <v>135</v>
      </c>
      <c r="D66" s="297" t="s">
        <v>242</v>
      </c>
      <c r="E66" s="299" t="s">
        <v>243</v>
      </c>
      <c r="F66" s="382" t="s">
        <v>182</v>
      </c>
      <c r="G66" s="301">
        <v>0</v>
      </c>
      <c r="H66" s="301">
        <v>0</v>
      </c>
      <c r="I66" s="258">
        <v>0</v>
      </c>
      <c r="J66" s="302">
        <v>0</v>
      </c>
      <c r="K66" s="302">
        <v>0</v>
      </c>
      <c r="L66" s="258">
        <v>0</v>
      </c>
      <c r="M66" s="261">
        <v>0</v>
      </c>
      <c r="N66" s="260">
        <v>0</v>
      </c>
      <c r="O66" s="261">
        <v>0</v>
      </c>
      <c r="P66" s="261">
        <v>0</v>
      </c>
      <c r="Q66" s="261">
        <v>0</v>
      </c>
      <c r="R66" s="303">
        <v>0</v>
      </c>
      <c r="S66" s="261">
        <f t="shared" si="3"/>
        <v>0</v>
      </c>
      <c r="T66" s="305">
        <v>0</v>
      </c>
      <c r="U66" s="267">
        <v>0</v>
      </c>
      <c r="V66" s="259">
        <v>0</v>
      </c>
      <c r="W66" s="259">
        <v>0</v>
      </c>
      <c r="X66" s="259">
        <v>0</v>
      </c>
      <c r="Y66" s="259">
        <v>0</v>
      </c>
      <c r="Z66" s="259">
        <v>0</v>
      </c>
      <c r="AA66" s="259">
        <v>0</v>
      </c>
      <c r="AB66" s="259">
        <v>0</v>
      </c>
      <c r="AC66" s="259">
        <v>0</v>
      </c>
      <c r="AD66" s="259">
        <v>0</v>
      </c>
      <c r="AE66" s="268">
        <v>0</v>
      </c>
      <c r="AG66" s="305">
        <v>0</v>
      </c>
      <c r="AH66" s="267">
        <v>0</v>
      </c>
      <c r="AI66" s="259">
        <v>0</v>
      </c>
      <c r="AJ66" s="259">
        <v>0</v>
      </c>
      <c r="AK66" s="259">
        <v>0</v>
      </c>
      <c r="AL66" s="259">
        <v>0</v>
      </c>
      <c r="AM66" s="259">
        <v>0</v>
      </c>
      <c r="AN66" s="259">
        <v>0</v>
      </c>
      <c r="AO66" s="259">
        <v>0</v>
      </c>
      <c r="AP66" s="259">
        <v>0</v>
      </c>
      <c r="AQ66" s="259">
        <v>0</v>
      </c>
      <c r="AR66" s="268">
        <v>0</v>
      </c>
      <c r="AS66" s="269">
        <v>0</v>
      </c>
      <c r="AT66" s="305">
        <v>0</v>
      </c>
      <c r="AU66" s="336">
        <v>0</v>
      </c>
      <c r="AV66" s="336">
        <v>0</v>
      </c>
      <c r="AW66" s="336">
        <v>0</v>
      </c>
      <c r="AX66" s="336">
        <v>0</v>
      </c>
      <c r="AY66" s="259">
        <v>0</v>
      </c>
      <c r="AZ66" s="259">
        <v>0</v>
      </c>
      <c r="BA66" s="259">
        <v>0</v>
      </c>
      <c r="BB66" s="259">
        <v>0</v>
      </c>
      <c r="BC66" s="259">
        <v>0</v>
      </c>
      <c r="BD66" s="259">
        <v>0</v>
      </c>
      <c r="BE66" s="268">
        <v>0</v>
      </c>
      <c r="BG66" s="305">
        <v>0</v>
      </c>
      <c r="BH66" s="336">
        <v>0</v>
      </c>
      <c r="BI66" s="336">
        <v>0</v>
      </c>
      <c r="BJ66" s="336">
        <v>0</v>
      </c>
      <c r="BK66" s="336">
        <v>0</v>
      </c>
      <c r="BL66" s="336">
        <v>0</v>
      </c>
      <c r="BM66" s="336">
        <v>0</v>
      </c>
      <c r="BN66" s="336">
        <v>0</v>
      </c>
      <c r="BO66" s="336">
        <v>0</v>
      </c>
      <c r="BP66" s="336">
        <v>0</v>
      </c>
      <c r="BQ66" s="336">
        <v>0</v>
      </c>
      <c r="BR66" s="268">
        <v>0</v>
      </c>
      <c r="BT66" s="389">
        <v>0</v>
      </c>
      <c r="BU66" s="307">
        <v>0</v>
      </c>
      <c r="BV66" s="307">
        <v>0</v>
      </c>
      <c r="BW66" s="307">
        <v>0</v>
      </c>
      <c r="BX66" s="307">
        <v>0</v>
      </c>
      <c r="BY66" s="307">
        <v>0</v>
      </c>
      <c r="BZ66" s="307">
        <v>0</v>
      </c>
      <c r="CA66" s="307">
        <v>0</v>
      </c>
      <c r="CB66" s="307">
        <v>0</v>
      </c>
      <c r="CC66" s="307">
        <v>0</v>
      </c>
      <c r="CD66" s="307">
        <v>0</v>
      </c>
      <c r="CE66" s="308">
        <v>0</v>
      </c>
      <c r="CF66" s="212"/>
      <c r="CG66" s="396">
        <v>0</v>
      </c>
      <c r="CH66" s="274">
        <v>0</v>
      </c>
      <c r="CI66" s="274">
        <v>0</v>
      </c>
      <c r="CJ66" s="274">
        <v>0</v>
      </c>
      <c r="CK66" s="274">
        <v>0</v>
      </c>
      <c r="CL66" s="309">
        <v>0</v>
      </c>
      <c r="CM66" s="309">
        <v>0</v>
      </c>
      <c r="CN66" s="276">
        <v>0</v>
      </c>
      <c r="CO66" s="276">
        <v>0</v>
      </c>
      <c r="CP66" s="276">
        <v>0</v>
      </c>
      <c r="CQ66" s="276">
        <v>0</v>
      </c>
      <c r="CR66" s="313">
        <v>0</v>
      </c>
      <c r="CS66" s="390"/>
      <c r="CT66" s="273">
        <v>0</v>
      </c>
      <c r="CU66" s="278">
        <v>0</v>
      </c>
      <c r="CV66" s="278">
        <v>0</v>
      </c>
      <c r="CW66" s="278">
        <v>0</v>
      </c>
      <c r="CX66" s="278">
        <v>0</v>
      </c>
      <c r="CY66" s="278">
        <v>0</v>
      </c>
      <c r="CZ66" s="278">
        <v>0</v>
      </c>
      <c r="DA66" s="278">
        <v>0</v>
      </c>
      <c r="DB66" s="278">
        <v>0</v>
      </c>
      <c r="DC66" s="278">
        <v>0</v>
      </c>
      <c r="DD66" s="278">
        <v>0</v>
      </c>
      <c r="DE66" s="278">
        <v>0</v>
      </c>
      <c r="DF66" s="390">
        <f t="shared" si="4"/>
        <v>0</v>
      </c>
      <c r="DG66" s="312">
        <v>0</v>
      </c>
      <c r="DH66" s="281">
        <v>0</v>
      </c>
      <c r="DI66" s="278">
        <v>0</v>
      </c>
      <c r="DJ66" s="278">
        <v>0</v>
      </c>
      <c r="DK66" s="278">
        <v>0</v>
      </c>
      <c r="DL66" s="278">
        <v>0</v>
      </c>
      <c r="DM66" s="278">
        <v>0</v>
      </c>
      <c r="DN66" s="278">
        <v>0</v>
      </c>
      <c r="DO66" s="278">
        <v>0</v>
      </c>
      <c r="DP66" s="278">
        <v>0</v>
      </c>
      <c r="DQ66" s="278">
        <v>0</v>
      </c>
      <c r="DR66" s="282">
        <v>0</v>
      </c>
      <c r="DS66" s="226"/>
      <c r="DT66" s="273">
        <v>0</v>
      </c>
      <c r="DU66" s="278">
        <v>0</v>
      </c>
      <c r="DV66" s="278">
        <v>0</v>
      </c>
      <c r="DW66" s="278">
        <v>0</v>
      </c>
      <c r="DX66" s="275">
        <v>0</v>
      </c>
      <c r="DY66" s="281">
        <v>0</v>
      </c>
      <c r="DZ66" s="281">
        <v>0</v>
      </c>
      <c r="EA66" s="281">
        <v>0</v>
      </c>
      <c r="EB66" s="281">
        <v>0</v>
      </c>
      <c r="EC66" s="281">
        <v>0</v>
      </c>
      <c r="ED66" s="281">
        <v>0</v>
      </c>
      <c r="EE66" s="277">
        <v>0</v>
      </c>
      <c r="EF66" s="212"/>
      <c r="EG66" s="273">
        <v>0</v>
      </c>
      <c r="EH66" s="278">
        <v>0</v>
      </c>
      <c r="EI66" s="278">
        <v>0</v>
      </c>
      <c r="EJ66" s="278">
        <v>0</v>
      </c>
      <c r="EK66" s="276">
        <v>0</v>
      </c>
      <c r="EL66" s="281">
        <v>0</v>
      </c>
      <c r="EM66" s="275">
        <v>0</v>
      </c>
      <c r="EN66" s="275">
        <v>0</v>
      </c>
      <c r="EO66" s="275">
        <v>0</v>
      </c>
      <c r="EP66" s="284">
        <v>0</v>
      </c>
      <c r="EQ66" s="284">
        <v>0</v>
      </c>
      <c r="ER66" s="285">
        <v>0</v>
      </c>
      <c r="ES66" s="283"/>
      <c r="ET66" s="273">
        <v>0</v>
      </c>
      <c r="EU66" s="278">
        <v>0</v>
      </c>
      <c r="EV66" s="278">
        <v>0</v>
      </c>
      <c r="EW66" s="278">
        <v>0</v>
      </c>
      <c r="EX66" s="275">
        <v>0</v>
      </c>
      <c r="EY66" s="281">
        <v>0</v>
      </c>
      <c r="EZ66" s="281">
        <v>0</v>
      </c>
      <c r="FA66" s="281">
        <v>0</v>
      </c>
      <c r="FB66" s="281">
        <v>0</v>
      </c>
      <c r="FC66" s="281">
        <v>0</v>
      </c>
      <c r="FD66" s="281">
        <v>0</v>
      </c>
      <c r="FE66" s="277">
        <v>0</v>
      </c>
      <c r="FF66" s="212"/>
      <c r="FG66" s="273">
        <v>0</v>
      </c>
      <c r="FH66" s="278">
        <v>0</v>
      </c>
      <c r="FI66" s="278">
        <v>0</v>
      </c>
      <c r="FJ66" s="278">
        <v>0</v>
      </c>
      <c r="FK66" s="276">
        <v>0</v>
      </c>
      <c r="FL66" s="281">
        <v>0</v>
      </c>
      <c r="FM66" s="275">
        <v>0</v>
      </c>
      <c r="FN66" s="275">
        <v>0</v>
      </c>
      <c r="FO66" s="275">
        <v>0</v>
      </c>
      <c r="FP66" s="284">
        <v>0</v>
      </c>
      <c r="FQ66" s="284">
        <v>0</v>
      </c>
      <c r="FR66" s="285">
        <v>0</v>
      </c>
      <c r="FS66" s="283"/>
      <c r="FT66" s="286">
        <v>0</v>
      </c>
      <c r="FU66" s="260">
        <v>0</v>
      </c>
      <c r="FV66" s="260">
        <v>0</v>
      </c>
      <c r="FW66" s="260">
        <v>0</v>
      </c>
      <c r="FX66" s="287">
        <v>0</v>
      </c>
      <c r="FY66" s="327">
        <v>0</v>
      </c>
      <c r="FZ66" s="275">
        <v>0</v>
      </c>
      <c r="GA66" s="275">
        <v>0</v>
      </c>
      <c r="GB66" s="275">
        <v>0</v>
      </c>
      <c r="GC66" s="275">
        <v>0</v>
      </c>
      <c r="GD66" s="275">
        <v>0</v>
      </c>
      <c r="GE66" s="275">
        <v>0</v>
      </c>
      <c r="GF66" s="277">
        <v>0</v>
      </c>
      <c r="GG66" s="214">
        <v>0</v>
      </c>
      <c r="GH66" s="286">
        <v>0</v>
      </c>
      <c r="GI66" s="260">
        <v>0</v>
      </c>
      <c r="GJ66" s="260">
        <v>0</v>
      </c>
      <c r="GK66" s="260">
        <v>0</v>
      </c>
      <c r="GL66" s="291">
        <v>0</v>
      </c>
      <c r="GM66" s="275">
        <v>0</v>
      </c>
      <c r="GN66" s="275">
        <v>0</v>
      </c>
      <c r="GO66" s="275">
        <v>0</v>
      </c>
      <c r="GP66" s="275">
        <v>0</v>
      </c>
      <c r="GQ66" s="275">
        <v>0</v>
      </c>
      <c r="GR66" s="277">
        <v>0</v>
      </c>
      <c r="GS66" s="275">
        <v>0</v>
      </c>
      <c r="GT66" s="284">
        <v>0</v>
      </c>
      <c r="GU66" s="292">
        <v>0</v>
      </c>
      <c r="GV66" s="214">
        <v>0</v>
      </c>
      <c r="GW66" s="293">
        <v>0</v>
      </c>
      <c r="GX66" s="294"/>
      <c r="GY66" s="293">
        <v>0</v>
      </c>
      <c r="GZ66" s="293">
        <v>0</v>
      </c>
      <c r="HA66" s="293">
        <v>0</v>
      </c>
      <c r="HB66" s="293">
        <v>0</v>
      </c>
      <c r="HC66" s="295">
        <v>0</v>
      </c>
    </row>
    <row r="67" spans="1:211" ht="25.5">
      <c r="B67" s="328" t="s">
        <v>244</v>
      </c>
      <c r="C67" s="297" t="s">
        <v>135</v>
      </c>
      <c r="D67" s="299" t="s">
        <v>242</v>
      </c>
      <c r="E67" s="299" t="s">
        <v>243</v>
      </c>
      <c r="F67" s="382" t="s">
        <v>142</v>
      </c>
      <c r="G67" s="301">
        <v>0</v>
      </c>
      <c r="H67" s="301">
        <v>0</v>
      </c>
      <c r="I67" s="258">
        <v>0</v>
      </c>
      <c r="J67" s="302">
        <v>0</v>
      </c>
      <c r="K67" s="302">
        <v>0</v>
      </c>
      <c r="L67" s="261">
        <v>0</v>
      </c>
      <c r="M67" s="261">
        <v>0</v>
      </c>
      <c r="N67" s="261">
        <v>0</v>
      </c>
      <c r="O67" s="261">
        <v>0</v>
      </c>
      <c r="P67" s="261">
        <v>0</v>
      </c>
      <c r="Q67" s="261">
        <v>0</v>
      </c>
      <c r="R67" s="303">
        <v>0</v>
      </c>
      <c r="S67" s="261">
        <f t="shared" si="3"/>
        <v>0</v>
      </c>
      <c r="T67" s="305">
        <v>0</v>
      </c>
      <c r="U67" s="267">
        <v>0</v>
      </c>
      <c r="V67" s="259">
        <v>0</v>
      </c>
      <c r="W67" s="259">
        <v>0</v>
      </c>
      <c r="X67" s="259">
        <v>0</v>
      </c>
      <c r="Y67" s="259">
        <v>0</v>
      </c>
      <c r="Z67" s="259">
        <v>0</v>
      </c>
      <c r="AA67" s="259">
        <v>0</v>
      </c>
      <c r="AB67" s="259">
        <v>0</v>
      </c>
      <c r="AC67" s="259">
        <v>0</v>
      </c>
      <c r="AD67" s="259">
        <v>0</v>
      </c>
      <c r="AE67" s="268">
        <v>0</v>
      </c>
      <c r="AG67" s="305">
        <v>0</v>
      </c>
      <c r="AH67" s="267">
        <v>0</v>
      </c>
      <c r="AI67" s="259">
        <v>0</v>
      </c>
      <c r="AJ67" s="259">
        <v>0</v>
      </c>
      <c r="AK67" s="259">
        <v>0</v>
      </c>
      <c r="AL67" s="259">
        <v>0</v>
      </c>
      <c r="AM67" s="259">
        <v>0</v>
      </c>
      <c r="AN67" s="259">
        <v>0</v>
      </c>
      <c r="AO67" s="259">
        <v>0</v>
      </c>
      <c r="AP67" s="259">
        <v>0</v>
      </c>
      <c r="AQ67" s="259">
        <v>0</v>
      </c>
      <c r="AR67" s="268">
        <v>0</v>
      </c>
      <c r="AS67" s="269">
        <v>0</v>
      </c>
      <c r="AT67" s="305">
        <v>0</v>
      </c>
      <c r="AU67" s="336">
        <v>0</v>
      </c>
      <c r="AV67" s="336">
        <v>0</v>
      </c>
      <c r="AW67" s="336">
        <v>0</v>
      </c>
      <c r="AX67" s="336">
        <v>0</v>
      </c>
      <c r="AY67" s="259">
        <v>0</v>
      </c>
      <c r="AZ67" s="259">
        <v>0</v>
      </c>
      <c r="BA67" s="259">
        <v>0</v>
      </c>
      <c r="BB67" s="259">
        <v>0</v>
      </c>
      <c r="BC67" s="259">
        <v>0</v>
      </c>
      <c r="BD67" s="259">
        <v>0</v>
      </c>
      <c r="BE67" s="268">
        <v>0</v>
      </c>
      <c r="BG67" s="305">
        <v>0</v>
      </c>
      <c r="BH67" s="336">
        <v>0</v>
      </c>
      <c r="BI67" s="336">
        <v>0</v>
      </c>
      <c r="BJ67" s="336">
        <v>0</v>
      </c>
      <c r="BK67" s="336">
        <v>0</v>
      </c>
      <c r="BL67" s="336">
        <v>0</v>
      </c>
      <c r="BM67" s="336">
        <v>0</v>
      </c>
      <c r="BN67" s="336">
        <v>0</v>
      </c>
      <c r="BO67" s="336">
        <v>0</v>
      </c>
      <c r="BP67" s="336">
        <v>0</v>
      </c>
      <c r="BQ67" s="336">
        <v>0</v>
      </c>
      <c r="BR67" s="268">
        <v>0</v>
      </c>
      <c r="BT67" s="389">
        <v>0</v>
      </c>
      <c r="BU67" s="307">
        <v>0</v>
      </c>
      <c r="BV67" s="307">
        <v>0</v>
      </c>
      <c r="BW67" s="307">
        <v>0</v>
      </c>
      <c r="BX67" s="307">
        <v>0</v>
      </c>
      <c r="BY67" s="307">
        <v>0</v>
      </c>
      <c r="BZ67" s="307">
        <v>0</v>
      </c>
      <c r="CA67" s="307">
        <v>0</v>
      </c>
      <c r="CB67" s="307">
        <v>0</v>
      </c>
      <c r="CC67" s="307">
        <v>0</v>
      </c>
      <c r="CD67" s="307">
        <v>0</v>
      </c>
      <c r="CE67" s="308">
        <v>0</v>
      </c>
      <c r="CF67" s="212"/>
      <c r="CG67" s="396">
        <v>0</v>
      </c>
      <c r="CH67" s="274">
        <v>0</v>
      </c>
      <c r="CI67" s="274">
        <v>0</v>
      </c>
      <c r="CJ67" s="274">
        <v>0</v>
      </c>
      <c r="CK67" s="274">
        <v>0</v>
      </c>
      <c r="CL67" s="276">
        <v>0</v>
      </c>
      <c r="CM67" s="276">
        <v>0</v>
      </c>
      <c r="CN67" s="276">
        <v>0</v>
      </c>
      <c r="CO67" s="276">
        <v>0</v>
      </c>
      <c r="CP67" s="276">
        <v>0</v>
      </c>
      <c r="CQ67" s="276">
        <v>0</v>
      </c>
      <c r="CR67" s="313">
        <v>0</v>
      </c>
      <c r="CS67" s="212"/>
      <c r="CT67" s="273">
        <v>0</v>
      </c>
      <c r="CU67" s="278">
        <v>0</v>
      </c>
      <c r="CV67" s="278">
        <v>0</v>
      </c>
      <c r="CW67" s="278">
        <v>0</v>
      </c>
      <c r="CX67" s="278">
        <v>0</v>
      </c>
      <c r="CY67" s="278">
        <v>0</v>
      </c>
      <c r="CZ67" s="278">
        <v>0</v>
      </c>
      <c r="DA67" s="278">
        <v>0</v>
      </c>
      <c r="DB67" s="278">
        <v>0</v>
      </c>
      <c r="DC67" s="278">
        <v>0</v>
      </c>
      <c r="DD67" s="278">
        <v>0</v>
      </c>
      <c r="DE67" s="278">
        <v>0</v>
      </c>
      <c r="DF67" s="390">
        <f t="shared" si="4"/>
        <v>0</v>
      </c>
      <c r="DG67" s="312">
        <v>0</v>
      </c>
      <c r="DH67" s="281">
        <v>0</v>
      </c>
      <c r="DI67" s="278">
        <v>0</v>
      </c>
      <c r="DJ67" s="278">
        <v>0</v>
      </c>
      <c r="DK67" s="278">
        <v>0</v>
      </c>
      <c r="DL67" s="278">
        <v>0</v>
      </c>
      <c r="DM67" s="278">
        <v>0</v>
      </c>
      <c r="DN67" s="278">
        <v>0</v>
      </c>
      <c r="DO67" s="278">
        <v>0</v>
      </c>
      <c r="DP67" s="278">
        <v>0</v>
      </c>
      <c r="DQ67" s="278">
        <v>0</v>
      </c>
      <c r="DR67" s="282">
        <v>0</v>
      </c>
      <c r="DS67" s="226"/>
      <c r="DT67" s="312">
        <v>0</v>
      </c>
      <c r="DU67" s="274">
        <v>0</v>
      </c>
      <c r="DV67" s="274">
        <v>0</v>
      </c>
      <c r="DW67" s="278">
        <v>0</v>
      </c>
      <c r="DX67" s="276">
        <v>0</v>
      </c>
      <c r="DY67" s="276">
        <v>0</v>
      </c>
      <c r="DZ67" s="276">
        <v>0</v>
      </c>
      <c r="EA67" s="276">
        <v>0</v>
      </c>
      <c r="EB67" s="276">
        <v>0</v>
      </c>
      <c r="EC67" s="276">
        <v>0</v>
      </c>
      <c r="ED67" s="276">
        <v>0</v>
      </c>
      <c r="EE67" s="313">
        <v>0</v>
      </c>
      <c r="EF67" s="212"/>
      <c r="EG67" s="312">
        <v>0</v>
      </c>
      <c r="EH67" s="274">
        <v>0</v>
      </c>
      <c r="EI67" s="274">
        <v>0</v>
      </c>
      <c r="EJ67" s="278">
        <v>0</v>
      </c>
      <c r="EK67" s="276">
        <v>0</v>
      </c>
      <c r="EL67" s="276">
        <v>0</v>
      </c>
      <c r="EM67" s="276">
        <v>0</v>
      </c>
      <c r="EN67" s="276">
        <v>0</v>
      </c>
      <c r="EO67" s="276">
        <v>0</v>
      </c>
      <c r="EP67" s="276">
        <v>0</v>
      </c>
      <c r="EQ67" s="276">
        <v>0</v>
      </c>
      <c r="ER67" s="313">
        <v>0</v>
      </c>
      <c r="ES67" s="283"/>
      <c r="ET67" s="312">
        <v>0</v>
      </c>
      <c r="EU67" s="274">
        <v>0</v>
      </c>
      <c r="EV67" s="274">
        <v>0</v>
      </c>
      <c r="EW67" s="278">
        <v>0</v>
      </c>
      <c r="EX67" s="276">
        <v>0</v>
      </c>
      <c r="EY67" s="276">
        <v>0</v>
      </c>
      <c r="EZ67" s="276">
        <v>0</v>
      </c>
      <c r="FA67" s="276">
        <v>0</v>
      </c>
      <c r="FB67" s="276">
        <v>0</v>
      </c>
      <c r="FC67" s="276">
        <v>0</v>
      </c>
      <c r="FD67" s="276">
        <v>0</v>
      </c>
      <c r="FE67" s="313">
        <v>0</v>
      </c>
      <c r="FF67" s="212"/>
      <c r="FG67" s="312">
        <v>0</v>
      </c>
      <c r="FH67" s="274">
        <v>0</v>
      </c>
      <c r="FI67" s="274">
        <v>0</v>
      </c>
      <c r="FJ67" s="278">
        <v>0</v>
      </c>
      <c r="FK67" s="276">
        <v>0</v>
      </c>
      <c r="FL67" s="276">
        <v>0</v>
      </c>
      <c r="FM67" s="276">
        <v>0</v>
      </c>
      <c r="FN67" s="276">
        <v>0</v>
      </c>
      <c r="FO67" s="276">
        <v>0</v>
      </c>
      <c r="FP67" s="276">
        <v>0</v>
      </c>
      <c r="FQ67" s="276">
        <v>0</v>
      </c>
      <c r="FR67" s="313">
        <v>0</v>
      </c>
      <c r="FS67" s="283"/>
      <c r="FT67" s="286">
        <v>0</v>
      </c>
      <c r="FU67" s="260">
        <v>0</v>
      </c>
      <c r="FV67" s="260">
        <v>0</v>
      </c>
      <c r="FW67" s="260">
        <v>0</v>
      </c>
      <c r="FX67" s="287">
        <v>0</v>
      </c>
      <c r="FY67" s="327">
        <v>0</v>
      </c>
      <c r="FZ67" s="275">
        <v>0</v>
      </c>
      <c r="GA67" s="275">
        <v>0</v>
      </c>
      <c r="GB67" s="275">
        <v>0</v>
      </c>
      <c r="GC67" s="275">
        <v>0</v>
      </c>
      <c r="GD67" s="275">
        <v>0</v>
      </c>
      <c r="GE67" s="275">
        <v>0</v>
      </c>
      <c r="GF67" s="277">
        <v>0</v>
      </c>
      <c r="GG67" s="214">
        <v>0</v>
      </c>
      <c r="GH67" s="286">
        <v>0</v>
      </c>
      <c r="GI67" s="260">
        <v>0</v>
      </c>
      <c r="GJ67" s="260">
        <v>0</v>
      </c>
      <c r="GK67" s="260">
        <v>0</v>
      </c>
      <c r="GL67" s="291">
        <v>0</v>
      </c>
      <c r="GM67" s="275">
        <v>0</v>
      </c>
      <c r="GN67" s="275">
        <v>0</v>
      </c>
      <c r="GO67" s="275">
        <v>0</v>
      </c>
      <c r="GP67" s="275">
        <v>0</v>
      </c>
      <c r="GQ67" s="275">
        <v>0</v>
      </c>
      <c r="GR67" s="277">
        <v>0</v>
      </c>
      <c r="GS67" s="275">
        <v>0</v>
      </c>
      <c r="GT67" s="284">
        <v>0</v>
      </c>
      <c r="GU67" s="292">
        <v>0</v>
      </c>
      <c r="GV67" s="214">
        <v>0</v>
      </c>
      <c r="GW67" s="293">
        <v>0</v>
      </c>
      <c r="GX67" s="294"/>
      <c r="GY67" s="293">
        <v>0</v>
      </c>
      <c r="GZ67" s="293">
        <v>0</v>
      </c>
      <c r="HA67" s="293">
        <v>0</v>
      </c>
      <c r="HB67" s="293">
        <v>0</v>
      </c>
      <c r="HC67" s="295">
        <v>0</v>
      </c>
    </row>
    <row r="68" spans="1:211" ht="12.75" customHeight="1">
      <c r="B68" s="328" t="s">
        <v>245</v>
      </c>
      <c r="C68" s="299" t="s">
        <v>135</v>
      </c>
      <c r="D68" s="299" t="s">
        <v>246</v>
      </c>
      <c r="E68" s="299" t="s">
        <v>247</v>
      </c>
      <c r="F68" s="382">
        <v>100</v>
      </c>
      <c r="G68" s="301">
        <v>0</v>
      </c>
      <c r="H68" s="301">
        <v>0</v>
      </c>
      <c r="I68" s="258">
        <v>0</v>
      </c>
      <c r="J68" s="302">
        <v>0</v>
      </c>
      <c r="K68" s="302">
        <v>0</v>
      </c>
      <c r="L68" s="261">
        <v>0</v>
      </c>
      <c r="M68" s="261">
        <v>0</v>
      </c>
      <c r="N68" s="261">
        <v>0</v>
      </c>
      <c r="O68" s="261">
        <v>0</v>
      </c>
      <c r="P68" s="261">
        <v>0</v>
      </c>
      <c r="Q68" s="261">
        <v>0</v>
      </c>
      <c r="R68" s="303">
        <v>0</v>
      </c>
      <c r="S68" s="261">
        <f t="shared" si="3"/>
        <v>0</v>
      </c>
      <c r="T68" s="305">
        <v>0</v>
      </c>
      <c r="U68" s="267">
        <v>0</v>
      </c>
      <c r="V68" s="259">
        <v>0</v>
      </c>
      <c r="W68" s="259">
        <v>0</v>
      </c>
      <c r="X68" s="259">
        <v>0</v>
      </c>
      <c r="Y68" s="259">
        <v>0</v>
      </c>
      <c r="Z68" s="259">
        <v>0</v>
      </c>
      <c r="AA68" s="259">
        <v>0</v>
      </c>
      <c r="AB68" s="259">
        <v>0</v>
      </c>
      <c r="AC68" s="259">
        <v>0</v>
      </c>
      <c r="AD68" s="259">
        <v>0</v>
      </c>
      <c r="AE68" s="268">
        <v>0</v>
      </c>
      <c r="AG68" s="305">
        <v>0</v>
      </c>
      <c r="AH68" s="267">
        <v>0</v>
      </c>
      <c r="AI68" s="259">
        <v>0</v>
      </c>
      <c r="AJ68" s="259">
        <v>0</v>
      </c>
      <c r="AK68" s="259">
        <v>0</v>
      </c>
      <c r="AL68" s="259">
        <v>0</v>
      </c>
      <c r="AM68" s="259">
        <v>0</v>
      </c>
      <c r="AN68" s="259">
        <v>0</v>
      </c>
      <c r="AO68" s="259">
        <v>0</v>
      </c>
      <c r="AP68" s="259">
        <v>0</v>
      </c>
      <c r="AQ68" s="259">
        <v>0</v>
      </c>
      <c r="AR68" s="268">
        <v>0</v>
      </c>
      <c r="AS68" s="269">
        <v>0</v>
      </c>
      <c r="AT68" s="305">
        <v>0</v>
      </c>
      <c r="AU68" s="336">
        <v>0</v>
      </c>
      <c r="AV68" s="336">
        <v>0</v>
      </c>
      <c r="AW68" s="336">
        <v>0</v>
      </c>
      <c r="AX68" s="336">
        <v>0</v>
      </c>
      <c r="AY68" s="259">
        <v>0</v>
      </c>
      <c r="AZ68" s="259">
        <v>0</v>
      </c>
      <c r="BA68" s="259">
        <v>0</v>
      </c>
      <c r="BB68" s="259">
        <v>0</v>
      </c>
      <c r="BC68" s="259">
        <v>0</v>
      </c>
      <c r="BD68" s="259">
        <v>0</v>
      </c>
      <c r="BE68" s="268">
        <v>0</v>
      </c>
      <c r="BG68" s="305">
        <v>0</v>
      </c>
      <c r="BH68" s="336">
        <v>0</v>
      </c>
      <c r="BI68" s="336">
        <v>0</v>
      </c>
      <c r="BJ68" s="336">
        <v>0</v>
      </c>
      <c r="BK68" s="336">
        <v>0</v>
      </c>
      <c r="BL68" s="336">
        <v>0</v>
      </c>
      <c r="BM68" s="336">
        <v>0</v>
      </c>
      <c r="BN68" s="336">
        <v>0</v>
      </c>
      <c r="BO68" s="336">
        <v>0</v>
      </c>
      <c r="BP68" s="336">
        <v>0</v>
      </c>
      <c r="BQ68" s="336">
        <v>0</v>
      </c>
      <c r="BR68" s="268">
        <v>0</v>
      </c>
      <c r="BT68" s="389">
        <v>0</v>
      </c>
      <c r="BU68" s="307">
        <v>0</v>
      </c>
      <c r="BV68" s="307">
        <v>0</v>
      </c>
      <c r="BW68" s="307">
        <v>0</v>
      </c>
      <c r="BX68" s="307">
        <v>0</v>
      </c>
      <c r="BY68" s="307">
        <v>0</v>
      </c>
      <c r="BZ68" s="307">
        <v>0</v>
      </c>
      <c r="CA68" s="307">
        <v>0</v>
      </c>
      <c r="CB68" s="307">
        <v>0</v>
      </c>
      <c r="CC68" s="307">
        <v>0</v>
      </c>
      <c r="CD68" s="307">
        <v>0</v>
      </c>
      <c r="CE68" s="308">
        <v>0</v>
      </c>
      <c r="CF68" s="212"/>
      <c r="CG68" s="396">
        <v>0</v>
      </c>
      <c r="CH68" s="274">
        <v>0</v>
      </c>
      <c r="CI68" s="274">
        <v>0</v>
      </c>
      <c r="CJ68" s="274">
        <v>0</v>
      </c>
      <c r="CK68" s="274">
        <v>0</v>
      </c>
      <c r="CL68" s="276">
        <v>0</v>
      </c>
      <c r="CM68" s="276">
        <v>0</v>
      </c>
      <c r="CN68" s="276">
        <v>0</v>
      </c>
      <c r="CO68" s="276">
        <v>0</v>
      </c>
      <c r="CP68" s="276">
        <v>0</v>
      </c>
      <c r="CQ68" s="276">
        <v>0</v>
      </c>
      <c r="CR68" s="313">
        <v>0</v>
      </c>
      <c r="CS68" s="212"/>
      <c r="CT68" s="273">
        <v>0</v>
      </c>
      <c r="CU68" s="278">
        <v>0</v>
      </c>
      <c r="CV68" s="278">
        <v>0</v>
      </c>
      <c r="CW68" s="278">
        <v>0</v>
      </c>
      <c r="CX68" s="278">
        <v>0</v>
      </c>
      <c r="CY68" s="278">
        <v>0</v>
      </c>
      <c r="CZ68" s="278">
        <v>0</v>
      </c>
      <c r="DA68" s="278">
        <v>0</v>
      </c>
      <c r="DB68" s="278">
        <v>0</v>
      </c>
      <c r="DC68" s="278">
        <v>0</v>
      </c>
      <c r="DD68" s="278">
        <v>0</v>
      </c>
      <c r="DE68" s="278">
        <v>0</v>
      </c>
      <c r="DF68" s="390">
        <f t="shared" si="4"/>
        <v>0</v>
      </c>
      <c r="DG68" s="312">
        <v>0</v>
      </c>
      <c r="DH68" s="281">
        <v>0</v>
      </c>
      <c r="DI68" s="278">
        <v>0</v>
      </c>
      <c r="DJ68" s="278">
        <v>0</v>
      </c>
      <c r="DK68" s="278">
        <v>0</v>
      </c>
      <c r="DL68" s="278">
        <v>0</v>
      </c>
      <c r="DM68" s="278">
        <v>0</v>
      </c>
      <c r="DN68" s="278">
        <v>0</v>
      </c>
      <c r="DO68" s="278">
        <v>0</v>
      </c>
      <c r="DP68" s="278">
        <v>0</v>
      </c>
      <c r="DQ68" s="278">
        <v>0</v>
      </c>
      <c r="DR68" s="282">
        <v>0</v>
      </c>
      <c r="DS68" s="226"/>
      <c r="DT68" s="312">
        <v>0</v>
      </c>
      <c r="DU68" s="274">
        <v>0</v>
      </c>
      <c r="DV68" s="274">
        <v>0</v>
      </c>
      <c r="DW68" s="278">
        <v>0</v>
      </c>
      <c r="DX68" s="276">
        <v>0</v>
      </c>
      <c r="DY68" s="276">
        <v>0</v>
      </c>
      <c r="DZ68" s="276">
        <v>0</v>
      </c>
      <c r="EA68" s="276">
        <v>0</v>
      </c>
      <c r="EB68" s="276">
        <v>0</v>
      </c>
      <c r="EC68" s="276">
        <v>0</v>
      </c>
      <c r="ED68" s="276">
        <v>0</v>
      </c>
      <c r="EE68" s="313">
        <v>0</v>
      </c>
      <c r="EF68" s="212"/>
      <c r="EG68" s="312">
        <v>0</v>
      </c>
      <c r="EH68" s="274">
        <v>0</v>
      </c>
      <c r="EI68" s="274">
        <v>0</v>
      </c>
      <c r="EJ68" s="278">
        <v>0</v>
      </c>
      <c r="EK68" s="276">
        <v>0</v>
      </c>
      <c r="EL68" s="276">
        <v>0</v>
      </c>
      <c r="EM68" s="276">
        <v>0</v>
      </c>
      <c r="EN68" s="276">
        <v>0</v>
      </c>
      <c r="EO68" s="276">
        <v>0</v>
      </c>
      <c r="EP68" s="276">
        <v>0</v>
      </c>
      <c r="EQ68" s="276">
        <v>0</v>
      </c>
      <c r="ER68" s="313">
        <v>0</v>
      </c>
      <c r="ES68" s="283"/>
      <c r="ET68" s="312">
        <v>0</v>
      </c>
      <c r="EU68" s="274">
        <v>0</v>
      </c>
      <c r="EV68" s="274">
        <v>0</v>
      </c>
      <c r="EW68" s="278">
        <v>0</v>
      </c>
      <c r="EX68" s="276">
        <v>0</v>
      </c>
      <c r="EY68" s="276">
        <v>0</v>
      </c>
      <c r="EZ68" s="276">
        <v>0</v>
      </c>
      <c r="FA68" s="276">
        <v>0</v>
      </c>
      <c r="FB68" s="276">
        <v>0</v>
      </c>
      <c r="FC68" s="276">
        <v>0</v>
      </c>
      <c r="FD68" s="276">
        <v>0</v>
      </c>
      <c r="FE68" s="313">
        <v>0</v>
      </c>
      <c r="FF68" s="212"/>
      <c r="FG68" s="312">
        <v>0</v>
      </c>
      <c r="FH68" s="274">
        <v>0</v>
      </c>
      <c r="FI68" s="274">
        <v>0</v>
      </c>
      <c r="FJ68" s="278">
        <v>0</v>
      </c>
      <c r="FK68" s="276">
        <v>0</v>
      </c>
      <c r="FL68" s="276">
        <v>0</v>
      </c>
      <c r="FM68" s="276">
        <v>0</v>
      </c>
      <c r="FN68" s="276">
        <v>0</v>
      </c>
      <c r="FO68" s="276">
        <v>0</v>
      </c>
      <c r="FP68" s="276">
        <v>0</v>
      </c>
      <c r="FQ68" s="276">
        <v>0</v>
      </c>
      <c r="FR68" s="313">
        <v>0</v>
      </c>
      <c r="FS68" s="283"/>
      <c r="FT68" s="286">
        <v>0</v>
      </c>
      <c r="FU68" s="260">
        <v>0</v>
      </c>
      <c r="FV68" s="260">
        <v>0</v>
      </c>
      <c r="FW68" s="260">
        <v>0</v>
      </c>
      <c r="FX68" s="287">
        <v>0</v>
      </c>
      <c r="FY68" s="327">
        <v>0</v>
      </c>
      <c r="FZ68" s="275">
        <v>0</v>
      </c>
      <c r="GA68" s="275">
        <v>0</v>
      </c>
      <c r="GB68" s="275">
        <v>0</v>
      </c>
      <c r="GC68" s="275">
        <v>0</v>
      </c>
      <c r="GD68" s="275">
        <v>0</v>
      </c>
      <c r="GE68" s="275">
        <v>0</v>
      </c>
      <c r="GF68" s="277">
        <v>0</v>
      </c>
      <c r="GG68" s="214">
        <v>0</v>
      </c>
      <c r="GH68" s="286">
        <v>0</v>
      </c>
      <c r="GI68" s="260">
        <v>0</v>
      </c>
      <c r="GJ68" s="260">
        <v>0</v>
      </c>
      <c r="GK68" s="260">
        <v>0</v>
      </c>
      <c r="GL68" s="291">
        <v>0</v>
      </c>
      <c r="GM68" s="275">
        <v>0</v>
      </c>
      <c r="GN68" s="275">
        <v>0</v>
      </c>
      <c r="GO68" s="275">
        <v>0</v>
      </c>
      <c r="GP68" s="275">
        <v>0</v>
      </c>
      <c r="GQ68" s="275">
        <v>0</v>
      </c>
      <c r="GR68" s="277">
        <v>0</v>
      </c>
      <c r="GS68" s="275">
        <v>0</v>
      </c>
      <c r="GT68" s="284">
        <v>0</v>
      </c>
      <c r="GU68" s="292">
        <v>0</v>
      </c>
      <c r="GV68" s="214">
        <v>0</v>
      </c>
      <c r="GW68" s="293">
        <v>0</v>
      </c>
      <c r="GX68" s="294"/>
      <c r="GY68" s="293">
        <v>0</v>
      </c>
      <c r="GZ68" s="293">
        <v>0</v>
      </c>
      <c r="HA68" s="293">
        <v>0</v>
      </c>
      <c r="HB68" s="293">
        <v>0</v>
      </c>
      <c r="HC68" s="295">
        <v>0</v>
      </c>
    </row>
    <row r="69" spans="1:211" ht="12.75" customHeight="1">
      <c r="B69" s="328" t="s">
        <v>248</v>
      </c>
      <c r="C69" s="299" t="s">
        <v>135</v>
      </c>
      <c r="D69" s="299" t="s">
        <v>246</v>
      </c>
      <c r="E69" s="299" t="s">
        <v>249</v>
      </c>
      <c r="F69" s="382" t="s">
        <v>144</v>
      </c>
      <c r="G69" s="301">
        <v>0</v>
      </c>
      <c r="H69" s="301">
        <v>0</v>
      </c>
      <c r="I69" s="258">
        <v>0</v>
      </c>
      <c r="J69" s="302">
        <v>0</v>
      </c>
      <c r="K69" s="302">
        <v>0</v>
      </c>
      <c r="L69" s="261">
        <v>0</v>
      </c>
      <c r="M69" s="261">
        <v>0</v>
      </c>
      <c r="N69" s="261">
        <v>0</v>
      </c>
      <c r="O69" s="261">
        <v>0</v>
      </c>
      <c r="P69" s="261">
        <v>0</v>
      </c>
      <c r="Q69" s="261">
        <v>0</v>
      </c>
      <c r="R69" s="303">
        <v>0</v>
      </c>
      <c r="S69" s="261">
        <f t="shared" si="3"/>
        <v>0</v>
      </c>
      <c r="T69" s="305">
        <v>0</v>
      </c>
      <c r="U69" s="267">
        <v>0</v>
      </c>
      <c r="V69" s="259">
        <v>0</v>
      </c>
      <c r="W69" s="259">
        <v>0</v>
      </c>
      <c r="X69" s="259">
        <v>0</v>
      </c>
      <c r="Y69" s="259">
        <v>0</v>
      </c>
      <c r="Z69" s="259">
        <v>0</v>
      </c>
      <c r="AA69" s="259">
        <v>0</v>
      </c>
      <c r="AB69" s="259">
        <v>0</v>
      </c>
      <c r="AC69" s="259">
        <v>0</v>
      </c>
      <c r="AD69" s="259">
        <v>0</v>
      </c>
      <c r="AE69" s="268">
        <v>0</v>
      </c>
      <c r="AG69" s="305">
        <v>0</v>
      </c>
      <c r="AH69" s="267">
        <v>0</v>
      </c>
      <c r="AI69" s="259">
        <v>0</v>
      </c>
      <c r="AJ69" s="259">
        <v>0</v>
      </c>
      <c r="AK69" s="259">
        <v>0</v>
      </c>
      <c r="AL69" s="259">
        <v>0</v>
      </c>
      <c r="AM69" s="259">
        <v>0</v>
      </c>
      <c r="AN69" s="259">
        <v>0</v>
      </c>
      <c r="AO69" s="259">
        <v>0</v>
      </c>
      <c r="AP69" s="259">
        <v>0</v>
      </c>
      <c r="AQ69" s="259">
        <v>0</v>
      </c>
      <c r="AR69" s="268">
        <v>0</v>
      </c>
      <c r="AS69" s="269">
        <v>0</v>
      </c>
      <c r="AT69" s="305">
        <v>0</v>
      </c>
      <c r="AU69" s="336">
        <v>0</v>
      </c>
      <c r="AV69" s="336">
        <v>0</v>
      </c>
      <c r="AW69" s="336">
        <v>0</v>
      </c>
      <c r="AX69" s="336">
        <v>0</v>
      </c>
      <c r="AY69" s="259">
        <v>0</v>
      </c>
      <c r="AZ69" s="259">
        <v>0</v>
      </c>
      <c r="BA69" s="259">
        <v>0</v>
      </c>
      <c r="BB69" s="259">
        <v>0</v>
      </c>
      <c r="BC69" s="259">
        <v>0</v>
      </c>
      <c r="BD69" s="259">
        <v>0</v>
      </c>
      <c r="BE69" s="268">
        <v>0</v>
      </c>
      <c r="BG69" s="305">
        <v>0</v>
      </c>
      <c r="BH69" s="336">
        <v>0</v>
      </c>
      <c r="BI69" s="336">
        <v>0</v>
      </c>
      <c r="BJ69" s="336">
        <v>0</v>
      </c>
      <c r="BK69" s="336">
        <v>0</v>
      </c>
      <c r="BL69" s="336">
        <v>0</v>
      </c>
      <c r="BM69" s="336">
        <v>0</v>
      </c>
      <c r="BN69" s="336">
        <v>0</v>
      </c>
      <c r="BO69" s="336">
        <v>0</v>
      </c>
      <c r="BP69" s="336">
        <v>0</v>
      </c>
      <c r="BQ69" s="336">
        <v>0</v>
      </c>
      <c r="BR69" s="268">
        <v>0</v>
      </c>
      <c r="BT69" s="389">
        <v>0</v>
      </c>
      <c r="BU69" s="307">
        <v>0</v>
      </c>
      <c r="BV69" s="307">
        <v>0</v>
      </c>
      <c r="BW69" s="307">
        <v>0</v>
      </c>
      <c r="BX69" s="307">
        <v>0</v>
      </c>
      <c r="BY69" s="307">
        <v>0</v>
      </c>
      <c r="BZ69" s="307">
        <v>0</v>
      </c>
      <c r="CA69" s="307">
        <v>0</v>
      </c>
      <c r="CB69" s="307">
        <v>0</v>
      </c>
      <c r="CC69" s="307">
        <v>0</v>
      </c>
      <c r="CD69" s="307">
        <v>0</v>
      </c>
      <c r="CE69" s="308">
        <v>0</v>
      </c>
      <c r="CF69" s="212"/>
      <c r="CG69" s="396">
        <v>0</v>
      </c>
      <c r="CH69" s="274">
        <v>0</v>
      </c>
      <c r="CI69" s="274">
        <v>0</v>
      </c>
      <c r="CJ69" s="274">
        <v>0</v>
      </c>
      <c r="CK69" s="274">
        <v>0</v>
      </c>
      <c r="CL69" s="276">
        <v>0</v>
      </c>
      <c r="CM69" s="276">
        <v>0</v>
      </c>
      <c r="CN69" s="276">
        <v>0</v>
      </c>
      <c r="CO69" s="276">
        <v>0</v>
      </c>
      <c r="CP69" s="276">
        <v>0</v>
      </c>
      <c r="CQ69" s="276">
        <v>0</v>
      </c>
      <c r="CR69" s="313">
        <v>0</v>
      </c>
      <c r="CS69" s="212"/>
      <c r="CT69" s="273">
        <v>0</v>
      </c>
      <c r="CU69" s="278">
        <v>0</v>
      </c>
      <c r="CV69" s="278">
        <v>0</v>
      </c>
      <c r="CW69" s="278">
        <v>0</v>
      </c>
      <c r="CX69" s="278">
        <v>0</v>
      </c>
      <c r="CY69" s="278">
        <v>0</v>
      </c>
      <c r="CZ69" s="278">
        <v>0</v>
      </c>
      <c r="DA69" s="278">
        <v>0</v>
      </c>
      <c r="DB69" s="278">
        <v>0</v>
      </c>
      <c r="DC69" s="278">
        <v>0</v>
      </c>
      <c r="DD69" s="278">
        <v>0</v>
      </c>
      <c r="DE69" s="278">
        <v>0</v>
      </c>
      <c r="DF69" s="390">
        <f t="shared" si="4"/>
        <v>0</v>
      </c>
      <c r="DG69" s="312">
        <v>0</v>
      </c>
      <c r="DH69" s="281">
        <v>0</v>
      </c>
      <c r="DI69" s="278">
        <v>0</v>
      </c>
      <c r="DJ69" s="278">
        <v>0</v>
      </c>
      <c r="DK69" s="278">
        <v>0</v>
      </c>
      <c r="DL69" s="278">
        <v>0</v>
      </c>
      <c r="DM69" s="278">
        <v>0</v>
      </c>
      <c r="DN69" s="278">
        <v>0</v>
      </c>
      <c r="DO69" s="278">
        <v>0</v>
      </c>
      <c r="DP69" s="278">
        <v>0</v>
      </c>
      <c r="DQ69" s="278">
        <v>0</v>
      </c>
      <c r="DR69" s="282">
        <v>0</v>
      </c>
      <c r="DS69" s="226"/>
      <c r="DT69" s="312">
        <v>0</v>
      </c>
      <c r="DU69" s="274">
        <v>0</v>
      </c>
      <c r="DV69" s="274">
        <v>0</v>
      </c>
      <c r="DW69" s="278">
        <v>0</v>
      </c>
      <c r="DX69" s="276">
        <v>0</v>
      </c>
      <c r="DY69" s="276">
        <v>0</v>
      </c>
      <c r="DZ69" s="276">
        <v>0</v>
      </c>
      <c r="EA69" s="276">
        <v>0</v>
      </c>
      <c r="EB69" s="276">
        <v>0</v>
      </c>
      <c r="EC69" s="276">
        <v>0</v>
      </c>
      <c r="ED69" s="276">
        <v>0</v>
      </c>
      <c r="EE69" s="313">
        <v>0</v>
      </c>
      <c r="EF69" s="212"/>
      <c r="EG69" s="312">
        <v>0</v>
      </c>
      <c r="EH69" s="274">
        <v>0</v>
      </c>
      <c r="EI69" s="274">
        <v>0</v>
      </c>
      <c r="EJ69" s="278">
        <v>0</v>
      </c>
      <c r="EK69" s="276">
        <v>0</v>
      </c>
      <c r="EL69" s="276">
        <v>0</v>
      </c>
      <c r="EM69" s="276">
        <v>0</v>
      </c>
      <c r="EN69" s="276">
        <v>0</v>
      </c>
      <c r="EO69" s="276">
        <v>0</v>
      </c>
      <c r="EP69" s="276">
        <v>0</v>
      </c>
      <c r="EQ69" s="276">
        <v>0</v>
      </c>
      <c r="ER69" s="313">
        <v>0</v>
      </c>
      <c r="ES69" s="283"/>
      <c r="ET69" s="312">
        <v>0</v>
      </c>
      <c r="EU69" s="274">
        <v>0</v>
      </c>
      <c r="EV69" s="274">
        <v>0</v>
      </c>
      <c r="EW69" s="278">
        <v>0</v>
      </c>
      <c r="EX69" s="276">
        <v>0</v>
      </c>
      <c r="EY69" s="276">
        <v>0</v>
      </c>
      <c r="EZ69" s="276">
        <v>0</v>
      </c>
      <c r="FA69" s="276">
        <v>0</v>
      </c>
      <c r="FB69" s="276">
        <v>0</v>
      </c>
      <c r="FC69" s="276">
        <v>0</v>
      </c>
      <c r="FD69" s="276">
        <v>0</v>
      </c>
      <c r="FE69" s="313">
        <v>0</v>
      </c>
      <c r="FF69" s="212"/>
      <c r="FG69" s="312">
        <v>0</v>
      </c>
      <c r="FH69" s="274">
        <v>0</v>
      </c>
      <c r="FI69" s="274">
        <v>0</v>
      </c>
      <c r="FJ69" s="278">
        <v>0</v>
      </c>
      <c r="FK69" s="276">
        <v>0</v>
      </c>
      <c r="FL69" s="276">
        <v>0</v>
      </c>
      <c r="FM69" s="276">
        <v>0</v>
      </c>
      <c r="FN69" s="276">
        <v>0</v>
      </c>
      <c r="FO69" s="276">
        <v>0</v>
      </c>
      <c r="FP69" s="276">
        <v>0</v>
      </c>
      <c r="FQ69" s="276">
        <v>0</v>
      </c>
      <c r="FR69" s="313">
        <v>0</v>
      </c>
      <c r="FS69" s="283"/>
      <c r="FT69" s="286">
        <v>0</v>
      </c>
      <c r="FU69" s="260">
        <v>0</v>
      </c>
      <c r="FV69" s="260">
        <v>0</v>
      </c>
      <c r="FW69" s="260">
        <v>0</v>
      </c>
      <c r="FX69" s="287">
        <v>0</v>
      </c>
      <c r="FY69" s="327">
        <v>0</v>
      </c>
      <c r="FZ69" s="275">
        <v>0</v>
      </c>
      <c r="GA69" s="275">
        <v>0</v>
      </c>
      <c r="GB69" s="275">
        <v>0</v>
      </c>
      <c r="GC69" s="275">
        <v>0</v>
      </c>
      <c r="GD69" s="275">
        <v>0</v>
      </c>
      <c r="GE69" s="275">
        <v>0</v>
      </c>
      <c r="GF69" s="277">
        <v>0</v>
      </c>
      <c r="GG69" s="214">
        <v>0</v>
      </c>
      <c r="GH69" s="286">
        <v>0</v>
      </c>
      <c r="GI69" s="260">
        <v>0</v>
      </c>
      <c r="GJ69" s="260">
        <v>0</v>
      </c>
      <c r="GK69" s="260">
        <v>0</v>
      </c>
      <c r="GL69" s="291">
        <v>0</v>
      </c>
      <c r="GM69" s="275">
        <v>0</v>
      </c>
      <c r="GN69" s="275">
        <v>0</v>
      </c>
      <c r="GO69" s="275">
        <v>0</v>
      </c>
      <c r="GP69" s="275">
        <v>0</v>
      </c>
      <c r="GQ69" s="275">
        <v>0</v>
      </c>
      <c r="GR69" s="277">
        <v>0</v>
      </c>
      <c r="GS69" s="275">
        <v>0</v>
      </c>
      <c r="GT69" s="284">
        <v>0</v>
      </c>
      <c r="GU69" s="292">
        <v>0</v>
      </c>
      <c r="GV69" s="214">
        <v>0</v>
      </c>
      <c r="GW69" s="293">
        <v>0</v>
      </c>
      <c r="GX69" s="294"/>
      <c r="GY69" s="293">
        <v>0</v>
      </c>
      <c r="GZ69" s="293">
        <v>0</v>
      </c>
      <c r="HA69" s="293">
        <v>0</v>
      </c>
      <c r="HB69" s="293">
        <v>0</v>
      </c>
      <c r="HC69" s="295">
        <v>0</v>
      </c>
    </row>
    <row r="70" spans="1:211" ht="12.75" customHeight="1">
      <c r="B70" s="328" t="s">
        <v>250</v>
      </c>
      <c r="C70" s="299" t="s">
        <v>135</v>
      </c>
      <c r="D70" s="299" t="s">
        <v>246</v>
      </c>
      <c r="E70" s="299" t="s">
        <v>251</v>
      </c>
      <c r="F70" s="382" t="s">
        <v>142</v>
      </c>
      <c r="G70" s="301">
        <v>0</v>
      </c>
      <c r="H70" s="301">
        <v>0</v>
      </c>
      <c r="I70" s="258">
        <v>0</v>
      </c>
      <c r="J70" s="302">
        <v>0</v>
      </c>
      <c r="K70" s="302">
        <v>0</v>
      </c>
      <c r="L70" s="261">
        <v>0</v>
      </c>
      <c r="M70" s="261">
        <v>0</v>
      </c>
      <c r="N70" s="261">
        <v>0</v>
      </c>
      <c r="O70" s="261">
        <v>0</v>
      </c>
      <c r="P70" s="261">
        <v>0</v>
      </c>
      <c r="Q70" s="261">
        <v>0</v>
      </c>
      <c r="R70" s="303">
        <v>0</v>
      </c>
      <c r="S70" s="261">
        <f t="shared" si="3"/>
        <v>0</v>
      </c>
      <c r="T70" s="305">
        <v>0</v>
      </c>
      <c r="U70" s="267">
        <v>0</v>
      </c>
      <c r="V70" s="259">
        <v>0</v>
      </c>
      <c r="W70" s="259">
        <v>0</v>
      </c>
      <c r="X70" s="259">
        <v>0</v>
      </c>
      <c r="Y70" s="259">
        <v>0</v>
      </c>
      <c r="Z70" s="259">
        <v>0</v>
      </c>
      <c r="AA70" s="259">
        <v>0</v>
      </c>
      <c r="AB70" s="259">
        <v>0</v>
      </c>
      <c r="AC70" s="259">
        <v>0</v>
      </c>
      <c r="AD70" s="259">
        <v>0</v>
      </c>
      <c r="AE70" s="268">
        <v>0</v>
      </c>
      <c r="AG70" s="305">
        <v>0</v>
      </c>
      <c r="AH70" s="267">
        <v>0</v>
      </c>
      <c r="AI70" s="259">
        <v>0</v>
      </c>
      <c r="AJ70" s="259">
        <v>0</v>
      </c>
      <c r="AK70" s="259">
        <v>0</v>
      </c>
      <c r="AL70" s="259">
        <v>0</v>
      </c>
      <c r="AM70" s="259">
        <v>0</v>
      </c>
      <c r="AN70" s="259">
        <v>0</v>
      </c>
      <c r="AO70" s="259">
        <v>0</v>
      </c>
      <c r="AP70" s="259">
        <v>0</v>
      </c>
      <c r="AQ70" s="259">
        <v>0</v>
      </c>
      <c r="AR70" s="268">
        <v>0</v>
      </c>
      <c r="AS70" s="269">
        <v>0</v>
      </c>
      <c r="AT70" s="305">
        <v>0</v>
      </c>
      <c r="AU70" s="336">
        <v>0</v>
      </c>
      <c r="AV70" s="336">
        <v>0</v>
      </c>
      <c r="AW70" s="336">
        <v>0</v>
      </c>
      <c r="AX70" s="336">
        <v>0</v>
      </c>
      <c r="AY70" s="259">
        <v>0</v>
      </c>
      <c r="AZ70" s="259">
        <v>0</v>
      </c>
      <c r="BA70" s="259">
        <v>0</v>
      </c>
      <c r="BB70" s="259">
        <v>0</v>
      </c>
      <c r="BC70" s="259">
        <v>0</v>
      </c>
      <c r="BD70" s="259">
        <v>0</v>
      </c>
      <c r="BE70" s="268">
        <v>0</v>
      </c>
      <c r="BG70" s="305">
        <v>0</v>
      </c>
      <c r="BH70" s="336">
        <v>0</v>
      </c>
      <c r="BI70" s="336">
        <v>0</v>
      </c>
      <c r="BJ70" s="336">
        <v>0</v>
      </c>
      <c r="BK70" s="336">
        <v>0</v>
      </c>
      <c r="BL70" s="336">
        <v>0</v>
      </c>
      <c r="BM70" s="336">
        <v>0</v>
      </c>
      <c r="BN70" s="336">
        <v>0</v>
      </c>
      <c r="BO70" s="336">
        <v>0</v>
      </c>
      <c r="BP70" s="336">
        <v>0</v>
      </c>
      <c r="BQ70" s="336">
        <v>0</v>
      </c>
      <c r="BR70" s="268">
        <v>0</v>
      </c>
      <c r="BT70" s="389">
        <v>0</v>
      </c>
      <c r="BU70" s="307">
        <v>0</v>
      </c>
      <c r="BV70" s="307">
        <v>0</v>
      </c>
      <c r="BW70" s="307">
        <v>0</v>
      </c>
      <c r="BX70" s="307">
        <v>0</v>
      </c>
      <c r="BY70" s="307">
        <v>0</v>
      </c>
      <c r="BZ70" s="307">
        <v>0</v>
      </c>
      <c r="CA70" s="307">
        <v>0</v>
      </c>
      <c r="CB70" s="307">
        <v>0</v>
      </c>
      <c r="CC70" s="307">
        <v>0</v>
      </c>
      <c r="CD70" s="307">
        <v>0</v>
      </c>
      <c r="CE70" s="308">
        <v>0</v>
      </c>
      <c r="CF70" s="212"/>
      <c r="CG70" s="396">
        <v>0</v>
      </c>
      <c r="CH70" s="274">
        <v>0</v>
      </c>
      <c r="CI70" s="274">
        <v>0</v>
      </c>
      <c r="CJ70" s="274">
        <v>0</v>
      </c>
      <c r="CK70" s="274">
        <v>0</v>
      </c>
      <c r="CL70" s="276">
        <v>0</v>
      </c>
      <c r="CM70" s="276">
        <v>0</v>
      </c>
      <c r="CN70" s="276">
        <v>0</v>
      </c>
      <c r="CO70" s="276">
        <v>0</v>
      </c>
      <c r="CP70" s="276">
        <v>0</v>
      </c>
      <c r="CQ70" s="276">
        <v>0</v>
      </c>
      <c r="CR70" s="313">
        <v>0</v>
      </c>
      <c r="CS70" s="212"/>
      <c r="CT70" s="273">
        <v>0</v>
      </c>
      <c r="CU70" s="278">
        <v>0</v>
      </c>
      <c r="CV70" s="278">
        <v>0</v>
      </c>
      <c r="CW70" s="278">
        <v>0</v>
      </c>
      <c r="CX70" s="278">
        <v>0</v>
      </c>
      <c r="CY70" s="278">
        <v>0</v>
      </c>
      <c r="CZ70" s="278">
        <v>0</v>
      </c>
      <c r="DA70" s="278">
        <v>0</v>
      </c>
      <c r="DB70" s="278">
        <v>0</v>
      </c>
      <c r="DC70" s="278">
        <v>0</v>
      </c>
      <c r="DD70" s="278">
        <v>0</v>
      </c>
      <c r="DE70" s="278">
        <v>0</v>
      </c>
      <c r="DF70" s="390">
        <f t="shared" si="4"/>
        <v>0</v>
      </c>
      <c r="DG70" s="312">
        <v>0</v>
      </c>
      <c r="DH70" s="281">
        <v>0</v>
      </c>
      <c r="DI70" s="278">
        <v>0</v>
      </c>
      <c r="DJ70" s="278">
        <v>0</v>
      </c>
      <c r="DK70" s="278">
        <v>0</v>
      </c>
      <c r="DL70" s="278">
        <v>0</v>
      </c>
      <c r="DM70" s="278">
        <v>0</v>
      </c>
      <c r="DN70" s="278">
        <v>0</v>
      </c>
      <c r="DO70" s="278">
        <v>0</v>
      </c>
      <c r="DP70" s="278">
        <v>0</v>
      </c>
      <c r="DQ70" s="278">
        <v>0</v>
      </c>
      <c r="DR70" s="282">
        <v>0</v>
      </c>
      <c r="DS70" s="226"/>
      <c r="DT70" s="312">
        <v>0</v>
      </c>
      <c r="DU70" s="274">
        <v>0</v>
      </c>
      <c r="DV70" s="274">
        <v>0</v>
      </c>
      <c r="DW70" s="278">
        <v>0</v>
      </c>
      <c r="DX70" s="276">
        <v>0</v>
      </c>
      <c r="DY70" s="276">
        <v>0</v>
      </c>
      <c r="DZ70" s="276">
        <v>0</v>
      </c>
      <c r="EA70" s="276">
        <v>0</v>
      </c>
      <c r="EB70" s="276">
        <v>0</v>
      </c>
      <c r="EC70" s="276">
        <v>0</v>
      </c>
      <c r="ED70" s="276">
        <v>0</v>
      </c>
      <c r="EE70" s="313">
        <v>0</v>
      </c>
      <c r="EF70" s="212"/>
      <c r="EG70" s="312">
        <v>0</v>
      </c>
      <c r="EH70" s="274">
        <v>0</v>
      </c>
      <c r="EI70" s="274">
        <v>0</v>
      </c>
      <c r="EJ70" s="278">
        <v>0</v>
      </c>
      <c r="EK70" s="276">
        <v>0</v>
      </c>
      <c r="EL70" s="276">
        <v>0</v>
      </c>
      <c r="EM70" s="276">
        <v>0</v>
      </c>
      <c r="EN70" s="276">
        <v>0</v>
      </c>
      <c r="EO70" s="276">
        <v>0</v>
      </c>
      <c r="EP70" s="276">
        <v>0</v>
      </c>
      <c r="EQ70" s="276">
        <v>0</v>
      </c>
      <c r="ER70" s="313">
        <v>0</v>
      </c>
      <c r="ES70" s="283"/>
      <c r="ET70" s="312">
        <v>0</v>
      </c>
      <c r="EU70" s="274">
        <v>0</v>
      </c>
      <c r="EV70" s="274">
        <v>0</v>
      </c>
      <c r="EW70" s="278">
        <v>0</v>
      </c>
      <c r="EX70" s="276">
        <v>0</v>
      </c>
      <c r="EY70" s="276">
        <v>0</v>
      </c>
      <c r="EZ70" s="276">
        <v>0</v>
      </c>
      <c r="FA70" s="276">
        <v>0</v>
      </c>
      <c r="FB70" s="276">
        <v>0</v>
      </c>
      <c r="FC70" s="276">
        <v>0</v>
      </c>
      <c r="FD70" s="276">
        <v>0</v>
      </c>
      <c r="FE70" s="313">
        <v>0</v>
      </c>
      <c r="FF70" s="212"/>
      <c r="FG70" s="312">
        <v>0</v>
      </c>
      <c r="FH70" s="274">
        <v>0</v>
      </c>
      <c r="FI70" s="274">
        <v>0</v>
      </c>
      <c r="FJ70" s="278">
        <v>0</v>
      </c>
      <c r="FK70" s="276">
        <v>0</v>
      </c>
      <c r="FL70" s="276">
        <v>0</v>
      </c>
      <c r="FM70" s="276">
        <v>0</v>
      </c>
      <c r="FN70" s="276">
        <v>0</v>
      </c>
      <c r="FO70" s="276">
        <v>0</v>
      </c>
      <c r="FP70" s="276">
        <v>0</v>
      </c>
      <c r="FQ70" s="276">
        <v>0</v>
      </c>
      <c r="FR70" s="313">
        <v>0</v>
      </c>
      <c r="FS70" s="283"/>
      <c r="FT70" s="286">
        <v>0</v>
      </c>
      <c r="FU70" s="260">
        <v>0</v>
      </c>
      <c r="FV70" s="260">
        <v>0</v>
      </c>
      <c r="FW70" s="260">
        <v>0</v>
      </c>
      <c r="FX70" s="287">
        <v>0</v>
      </c>
      <c r="FY70" s="327">
        <v>0</v>
      </c>
      <c r="FZ70" s="275">
        <v>0</v>
      </c>
      <c r="GA70" s="275">
        <v>0</v>
      </c>
      <c r="GB70" s="275">
        <v>0</v>
      </c>
      <c r="GC70" s="275">
        <v>0</v>
      </c>
      <c r="GD70" s="275">
        <v>0</v>
      </c>
      <c r="GE70" s="275">
        <v>0</v>
      </c>
      <c r="GF70" s="277">
        <v>0</v>
      </c>
      <c r="GG70" s="214">
        <v>0</v>
      </c>
      <c r="GH70" s="286">
        <v>0</v>
      </c>
      <c r="GI70" s="260">
        <v>0</v>
      </c>
      <c r="GJ70" s="260">
        <v>0</v>
      </c>
      <c r="GK70" s="260">
        <v>0</v>
      </c>
      <c r="GL70" s="291">
        <v>0</v>
      </c>
      <c r="GM70" s="275">
        <v>0</v>
      </c>
      <c r="GN70" s="275">
        <v>0</v>
      </c>
      <c r="GO70" s="275">
        <v>0</v>
      </c>
      <c r="GP70" s="275">
        <v>0</v>
      </c>
      <c r="GQ70" s="275">
        <v>0</v>
      </c>
      <c r="GR70" s="277">
        <v>0</v>
      </c>
      <c r="GS70" s="275">
        <v>0</v>
      </c>
      <c r="GT70" s="284">
        <v>0</v>
      </c>
      <c r="GU70" s="292">
        <v>0</v>
      </c>
      <c r="GV70" s="214">
        <v>0</v>
      </c>
      <c r="GW70" s="293">
        <v>0</v>
      </c>
      <c r="GX70" s="294"/>
      <c r="GY70" s="293">
        <v>0</v>
      </c>
      <c r="GZ70" s="293">
        <v>0</v>
      </c>
      <c r="HA70" s="293">
        <v>0</v>
      </c>
      <c r="HB70" s="293">
        <v>0</v>
      </c>
      <c r="HC70" s="295">
        <v>0</v>
      </c>
    </row>
    <row r="71" spans="1:211">
      <c r="B71" s="328" t="s">
        <v>252</v>
      </c>
      <c r="C71" s="299" t="s">
        <v>135</v>
      </c>
      <c r="D71" s="299" t="s">
        <v>246</v>
      </c>
      <c r="E71" s="299" t="s">
        <v>253</v>
      </c>
      <c r="F71" s="382" t="s">
        <v>142</v>
      </c>
      <c r="G71" s="301">
        <v>0</v>
      </c>
      <c r="H71" s="301">
        <v>0</v>
      </c>
      <c r="I71" s="258">
        <v>0</v>
      </c>
      <c r="J71" s="302">
        <v>0</v>
      </c>
      <c r="K71" s="302">
        <v>0</v>
      </c>
      <c r="L71" s="261">
        <v>0</v>
      </c>
      <c r="M71" s="261">
        <v>0</v>
      </c>
      <c r="N71" s="261">
        <v>0</v>
      </c>
      <c r="O71" s="261">
        <v>0</v>
      </c>
      <c r="P71" s="261">
        <v>0</v>
      </c>
      <c r="Q71" s="261">
        <v>0</v>
      </c>
      <c r="R71" s="303">
        <v>0</v>
      </c>
      <c r="S71" s="261">
        <f t="shared" si="3"/>
        <v>0</v>
      </c>
      <c r="T71" s="305">
        <v>0</v>
      </c>
      <c r="U71" s="267">
        <v>0</v>
      </c>
      <c r="V71" s="259">
        <v>0</v>
      </c>
      <c r="W71" s="259">
        <v>0</v>
      </c>
      <c r="X71" s="259">
        <v>0</v>
      </c>
      <c r="Y71" s="259">
        <v>0</v>
      </c>
      <c r="Z71" s="259">
        <v>0</v>
      </c>
      <c r="AA71" s="259">
        <v>0</v>
      </c>
      <c r="AB71" s="259">
        <v>0</v>
      </c>
      <c r="AC71" s="259">
        <v>0</v>
      </c>
      <c r="AD71" s="259">
        <v>0</v>
      </c>
      <c r="AE71" s="268">
        <v>0</v>
      </c>
      <c r="AG71" s="305">
        <v>0</v>
      </c>
      <c r="AH71" s="267">
        <v>0</v>
      </c>
      <c r="AI71" s="259">
        <v>0</v>
      </c>
      <c r="AJ71" s="259">
        <v>0</v>
      </c>
      <c r="AK71" s="259">
        <v>0</v>
      </c>
      <c r="AL71" s="259">
        <v>0</v>
      </c>
      <c r="AM71" s="259">
        <v>0</v>
      </c>
      <c r="AN71" s="259">
        <v>0</v>
      </c>
      <c r="AO71" s="259">
        <v>0</v>
      </c>
      <c r="AP71" s="259">
        <v>0</v>
      </c>
      <c r="AQ71" s="259">
        <v>0</v>
      </c>
      <c r="AR71" s="268">
        <v>0</v>
      </c>
      <c r="AS71" s="269">
        <v>0</v>
      </c>
      <c r="AT71" s="305">
        <v>0</v>
      </c>
      <c r="AU71" s="336">
        <v>0</v>
      </c>
      <c r="AV71" s="336">
        <v>0</v>
      </c>
      <c r="AW71" s="336">
        <v>0</v>
      </c>
      <c r="AX71" s="336">
        <v>0</v>
      </c>
      <c r="AY71" s="259">
        <v>0</v>
      </c>
      <c r="AZ71" s="259">
        <v>0</v>
      </c>
      <c r="BA71" s="259">
        <v>0</v>
      </c>
      <c r="BB71" s="259">
        <v>0</v>
      </c>
      <c r="BC71" s="259">
        <v>0</v>
      </c>
      <c r="BD71" s="259">
        <v>0</v>
      </c>
      <c r="BE71" s="268">
        <v>0</v>
      </c>
      <c r="BG71" s="305">
        <v>0</v>
      </c>
      <c r="BH71" s="336">
        <v>0</v>
      </c>
      <c r="BI71" s="336">
        <v>0</v>
      </c>
      <c r="BJ71" s="336">
        <v>0</v>
      </c>
      <c r="BK71" s="336">
        <v>0</v>
      </c>
      <c r="BL71" s="336">
        <v>0</v>
      </c>
      <c r="BM71" s="336">
        <v>0</v>
      </c>
      <c r="BN71" s="336">
        <v>0</v>
      </c>
      <c r="BO71" s="336">
        <v>0</v>
      </c>
      <c r="BP71" s="336">
        <v>0</v>
      </c>
      <c r="BQ71" s="336">
        <v>0</v>
      </c>
      <c r="BR71" s="268">
        <v>0</v>
      </c>
      <c r="BT71" s="389">
        <v>0</v>
      </c>
      <c r="BU71" s="307">
        <v>0</v>
      </c>
      <c r="BV71" s="307">
        <v>0</v>
      </c>
      <c r="BW71" s="307">
        <v>0</v>
      </c>
      <c r="BX71" s="307">
        <v>0</v>
      </c>
      <c r="BY71" s="307">
        <v>0</v>
      </c>
      <c r="BZ71" s="307">
        <v>0</v>
      </c>
      <c r="CA71" s="307">
        <v>0</v>
      </c>
      <c r="CB71" s="307">
        <v>0</v>
      </c>
      <c r="CC71" s="307">
        <v>0</v>
      </c>
      <c r="CD71" s="307">
        <v>0</v>
      </c>
      <c r="CE71" s="308">
        <v>0</v>
      </c>
      <c r="CF71" s="212"/>
      <c r="CG71" s="396">
        <v>0</v>
      </c>
      <c r="CH71" s="274">
        <v>0</v>
      </c>
      <c r="CI71" s="274">
        <v>0</v>
      </c>
      <c r="CJ71" s="274">
        <v>0</v>
      </c>
      <c r="CK71" s="274">
        <v>0</v>
      </c>
      <c r="CL71" s="276">
        <v>0</v>
      </c>
      <c r="CM71" s="276">
        <v>0</v>
      </c>
      <c r="CN71" s="276">
        <v>0</v>
      </c>
      <c r="CO71" s="276">
        <v>0</v>
      </c>
      <c r="CP71" s="276">
        <v>0</v>
      </c>
      <c r="CQ71" s="276">
        <v>0</v>
      </c>
      <c r="CR71" s="313">
        <v>0</v>
      </c>
      <c r="CS71" s="212"/>
      <c r="CT71" s="273">
        <v>0</v>
      </c>
      <c r="CU71" s="278">
        <v>0</v>
      </c>
      <c r="CV71" s="278">
        <v>0</v>
      </c>
      <c r="CW71" s="278">
        <v>0</v>
      </c>
      <c r="CX71" s="278">
        <v>0</v>
      </c>
      <c r="CY71" s="278">
        <v>0</v>
      </c>
      <c r="CZ71" s="278">
        <v>0</v>
      </c>
      <c r="DA71" s="278">
        <v>0</v>
      </c>
      <c r="DB71" s="278">
        <v>0</v>
      </c>
      <c r="DC71" s="278">
        <v>0</v>
      </c>
      <c r="DD71" s="278">
        <v>0</v>
      </c>
      <c r="DE71" s="278">
        <v>0</v>
      </c>
      <c r="DF71" s="390">
        <f t="shared" si="4"/>
        <v>0</v>
      </c>
      <c r="DG71" s="312">
        <v>0</v>
      </c>
      <c r="DH71" s="281">
        <v>0</v>
      </c>
      <c r="DI71" s="278">
        <v>0</v>
      </c>
      <c r="DJ71" s="278">
        <v>0</v>
      </c>
      <c r="DK71" s="278">
        <v>0</v>
      </c>
      <c r="DL71" s="278">
        <v>0</v>
      </c>
      <c r="DM71" s="278">
        <v>0</v>
      </c>
      <c r="DN71" s="278">
        <v>0</v>
      </c>
      <c r="DO71" s="278">
        <v>0</v>
      </c>
      <c r="DP71" s="278">
        <v>0</v>
      </c>
      <c r="DQ71" s="278">
        <v>0</v>
      </c>
      <c r="DR71" s="282">
        <v>0</v>
      </c>
      <c r="DS71" s="226"/>
      <c r="DT71" s="312">
        <v>0</v>
      </c>
      <c r="DU71" s="274">
        <v>0</v>
      </c>
      <c r="DV71" s="274">
        <v>0</v>
      </c>
      <c r="DW71" s="278">
        <v>0</v>
      </c>
      <c r="DX71" s="276">
        <v>0</v>
      </c>
      <c r="DY71" s="276">
        <v>0</v>
      </c>
      <c r="DZ71" s="276">
        <v>0</v>
      </c>
      <c r="EA71" s="276">
        <v>0</v>
      </c>
      <c r="EB71" s="276">
        <v>0</v>
      </c>
      <c r="EC71" s="276">
        <v>0</v>
      </c>
      <c r="ED71" s="276">
        <v>0</v>
      </c>
      <c r="EE71" s="313">
        <v>0</v>
      </c>
      <c r="EF71" s="212"/>
      <c r="EG71" s="312">
        <v>0</v>
      </c>
      <c r="EH71" s="274">
        <v>0</v>
      </c>
      <c r="EI71" s="274">
        <v>0</v>
      </c>
      <c r="EJ71" s="278">
        <v>0</v>
      </c>
      <c r="EK71" s="276">
        <v>0</v>
      </c>
      <c r="EL71" s="276">
        <v>0</v>
      </c>
      <c r="EM71" s="276">
        <v>0</v>
      </c>
      <c r="EN71" s="276">
        <v>0</v>
      </c>
      <c r="EO71" s="276">
        <v>0</v>
      </c>
      <c r="EP71" s="276">
        <v>0</v>
      </c>
      <c r="EQ71" s="276">
        <v>0</v>
      </c>
      <c r="ER71" s="313">
        <v>0</v>
      </c>
      <c r="ES71" s="283"/>
      <c r="ET71" s="312">
        <v>0</v>
      </c>
      <c r="EU71" s="274">
        <v>0</v>
      </c>
      <c r="EV71" s="274">
        <v>0</v>
      </c>
      <c r="EW71" s="278">
        <v>0</v>
      </c>
      <c r="EX71" s="276">
        <v>0</v>
      </c>
      <c r="EY71" s="276">
        <v>0</v>
      </c>
      <c r="EZ71" s="276">
        <v>0</v>
      </c>
      <c r="FA71" s="276">
        <v>0</v>
      </c>
      <c r="FB71" s="276">
        <v>0</v>
      </c>
      <c r="FC71" s="276">
        <v>0</v>
      </c>
      <c r="FD71" s="276">
        <v>0</v>
      </c>
      <c r="FE71" s="313">
        <v>0</v>
      </c>
      <c r="FF71" s="212"/>
      <c r="FG71" s="312">
        <v>0</v>
      </c>
      <c r="FH71" s="274">
        <v>0</v>
      </c>
      <c r="FI71" s="274">
        <v>0</v>
      </c>
      <c r="FJ71" s="278">
        <v>0</v>
      </c>
      <c r="FK71" s="276">
        <v>0</v>
      </c>
      <c r="FL71" s="276">
        <v>0</v>
      </c>
      <c r="FM71" s="276">
        <v>0</v>
      </c>
      <c r="FN71" s="276">
        <v>0</v>
      </c>
      <c r="FO71" s="276">
        <v>0</v>
      </c>
      <c r="FP71" s="276">
        <v>0</v>
      </c>
      <c r="FQ71" s="276">
        <v>0</v>
      </c>
      <c r="FR71" s="313">
        <v>0</v>
      </c>
      <c r="FS71" s="283"/>
      <c r="FT71" s="286">
        <v>0</v>
      </c>
      <c r="FU71" s="260">
        <v>0</v>
      </c>
      <c r="FV71" s="260">
        <v>0</v>
      </c>
      <c r="FW71" s="260">
        <v>0</v>
      </c>
      <c r="FX71" s="287">
        <v>0</v>
      </c>
      <c r="FY71" s="327">
        <v>0</v>
      </c>
      <c r="FZ71" s="275">
        <v>0</v>
      </c>
      <c r="GA71" s="275">
        <v>0</v>
      </c>
      <c r="GB71" s="275">
        <v>0</v>
      </c>
      <c r="GC71" s="275">
        <v>0</v>
      </c>
      <c r="GD71" s="275">
        <v>0</v>
      </c>
      <c r="GE71" s="275">
        <v>0</v>
      </c>
      <c r="GF71" s="277">
        <v>0</v>
      </c>
      <c r="GG71" s="214">
        <v>0</v>
      </c>
      <c r="GH71" s="286">
        <v>0</v>
      </c>
      <c r="GI71" s="260">
        <v>0</v>
      </c>
      <c r="GJ71" s="260">
        <v>0</v>
      </c>
      <c r="GK71" s="260">
        <v>0</v>
      </c>
      <c r="GL71" s="291">
        <v>0</v>
      </c>
      <c r="GM71" s="275">
        <v>0</v>
      </c>
      <c r="GN71" s="275">
        <v>0</v>
      </c>
      <c r="GO71" s="275">
        <v>0</v>
      </c>
      <c r="GP71" s="275">
        <v>0</v>
      </c>
      <c r="GQ71" s="275">
        <v>0</v>
      </c>
      <c r="GR71" s="277">
        <v>0</v>
      </c>
      <c r="GS71" s="275">
        <v>0</v>
      </c>
      <c r="GT71" s="284">
        <v>0</v>
      </c>
      <c r="GU71" s="292">
        <v>0</v>
      </c>
      <c r="GV71" s="214">
        <v>0</v>
      </c>
      <c r="GW71" s="293">
        <v>0</v>
      </c>
      <c r="GX71" s="294"/>
      <c r="GY71" s="293">
        <v>0</v>
      </c>
      <c r="GZ71" s="293">
        <v>0</v>
      </c>
      <c r="HA71" s="293">
        <v>0</v>
      </c>
      <c r="HB71" s="293">
        <v>0</v>
      </c>
      <c r="HC71" s="295">
        <v>0</v>
      </c>
    </row>
    <row r="72" spans="1:211" ht="18" customHeight="1">
      <c r="B72" s="328" t="s">
        <v>254</v>
      </c>
      <c r="C72" s="297" t="s">
        <v>135</v>
      </c>
      <c r="D72" s="299" t="s">
        <v>255</v>
      </c>
      <c r="E72" s="403" t="s">
        <v>256</v>
      </c>
      <c r="F72" s="382" t="s">
        <v>142</v>
      </c>
      <c r="G72" s="301">
        <v>0</v>
      </c>
      <c r="H72" s="301">
        <v>0</v>
      </c>
      <c r="I72" s="258">
        <v>0</v>
      </c>
      <c r="J72" s="302">
        <v>0</v>
      </c>
      <c r="K72" s="404">
        <v>0</v>
      </c>
      <c r="L72" s="405">
        <v>0</v>
      </c>
      <c r="M72" s="261">
        <v>0</v>
      </c>
      <c r="N72" s="405">
        <v>0</v>
      </c>
      <c r="O72" s="261">
        <v>0</v>
      </c>
      <c r="P72" s="405">
        <v>0</v>
      </c>
      <c r="Q72" s="261">
        <v>0</v>
      </c>
      <c r="R72" s="303">
        <v>0</v>
      </c>
      <c r="S72" s="261">
        <f t="shared" ref="S72:S134" si="5">P72+Q72+R72</f>
        <v>0</v>
      </c>
      <c r="T72" s="305">
        <v>0</v>
      </c>
      <c r="U72" s="267">
        <v>0</v>
      </c>
      <c r="V72" s="259">
        <v>0</v>
      </c>
      <c r="W72" s="259">
        <v>0</v>
      </c>
      <c r="X72" s="259">
        <v>0</v>
      </c>
      <c r="Y72" s="259">
        <v>0</v>
      </c>
      <c r="Z72" s="259">
        <v>0</v>
      </c>
      <c r="AA72" s="259">
        <v>0</v>
      </c>
      <c r="AB72" s="259">
        <v>0</v>
      </c>
      <c r="AC72" s="259">
        <v>0</v>
      </c>
      <c r="AD72" s="259">
        <v>0</v>
      </c>
      <c r="AE72" s="268">
        <v>0</v>
      </c>
      <c r="AG72" s="305">
        <v>0</v>
      </c>
      <c r="AH72" s="267">
        <v>0</v>
      </c>
      <c r="AI72" s="259">
        <v>0</v>
      </c>
      <c r="AJ72" s="259">
        <v>0</v>
      </c>
      <c r="AK72" s="259">
        <v>0</v>
      </c>
      <c r="AL72" s="259">
        <v>0</v>
      </c>
      <c r="AM72" s="259">
        <v>0</v>
      </c>
      <c r="AN72" s="259">
        <v>0</v>
      </c>
      <c r="AO72" s="259">
        <v>0</v>
      </c>
      <c r="AP72" s="259">
        <v>0</v>
      </c>
      <c r="AQ72" s="259">
        <v>0</v>
      </c>
      <c r="AR72" s="268">
        <v>0</v>
      </c>
      <c r="AS72" s="269">
        <v>0</v>
      </c>
      <c r="AT72" s="305">
        <v>0</v>
      </c>
      <c r="AU72" s="259">
        <v>0</v>
      </c>
      <c r="AV72" s="259">
        <v>0</v>
      </c>
      <c r="AW72" s="259">
        <v>0</v>
      </c>
      <c r="AX72" s="259">
        <v>0</v>
      </c>
      <c r="AY72" s="259">
        <v>0</v>
      </c>
      <c r="AZ72" s="259">
        <v>0</v>
      </c>
      <c r="BA72" s="259">
        <v>0</v>
      </c>
      <c r="BB72" s="259">
        <v>0</v>
      </c>
      <c r="BC72" s="259">
        <v>0</v>
      </c>
      <c r="BD72" s="259">
        <v>0</v>
      </c>
      <c r="BE72" s="268">
        <v>0</v>
      </c>
      <c r="BG72" s="305">
        <v>0</v>
      </c>
      <c r="BH72" s="336">
        <v>0</v>
      </c>
      <c r="BI72" s="336">
        <v>0</v>
      </c>
      <c r="BJ72" s="336">
        <v>0</v>
      </c>
      <c r="BK72" s="336">
        <v>0</v>
      </c>
      <c r="BL72" s="336">
        <v>0</v>
      </c>
      <c r="BM72" s="336">
        <v>0</v>
      </c>
      <c r="BN72" s="336">
        <v>0</v>
      </c>
      <c r="BO72" s="336">
        <v>0</v>
      </c>
      <c r="BP72" s="336">
        <v>0</v>
      </c>
      <c r="BQ72" s="336">
        <v>0</v>
      </c>
      <c r="BR72" s="268">
        <v>0</v>
      </c>
      <c r="BT72" s="389">
        <v>0</v>
      </c>
      <c r="BU72" s="307">
        <v>0</v>
      </c>
      <c r="BV72" s="307">
        <v>0</v>
      </c>
      <c r="BW72" s="307">
        <v>0</v>
      </c>
      <c r="BX72" s="307">
        <v>0</v>
      </c>
      <c r="BY72" s="307">
        <v>0</v>
      </c>
      <c r="BZ72" s="307">
        <v>0</v>
      </c>
      <c r="CA72" s="307">
        <v>0</v>
      </c>
      <c r="CB72" s="307">
        <v>0</v>
      </c>
      <c r="CC72" s="307">
        <v>0</v>
      </c>
      <c r="CD72" s="307">
        <v>0</v>
      </c>
      <c r="CE72" s="308">
        <v>0</v>
      </c>
      <c r="CF72" s="212"/>
      <c r="CG72" s="402">
        <v>0</v>
      </c>
      <c r="CH72" s="274">
        <v>0</v>
      </c>
      <c r="CI72" s="404">
        <v>0</v>
      </c>
      <c r="CJ72" s="404">
        <v>0</v>
      </c>
      <c r="CK72" s="404">
        <v>0</v>
      </c>
      <c r="CL72" s="405">
        <v>0</v>
      </c>
      <c r="CM72" s="405">
        <v>0</v>
      </c>
      <c r="CN72" s="405">
        <v>0</v>
      </c>
      <c r="CO72" s="276">
        <v>0</v>
      </c>
      <c r="CP72" s="276">
        <v>0</v>
      </c>
      <c r="CQ72" s="276">
        <v>0</v>
      </c>
      <c r="CR72" s="313">
        <v>0</v>
      </c>
      <c r="CS72" s="212"/>
      <c r="CT72" s="273">
        <v>0</v>
      </c>
      <c r="CU72" s="278">
        <v>0</v>
      </c>
      <c r="CV72" s="278">
        <v>0</v>
      </c>
      <c r="CW72" s="278">
        <v>0</v>
      </c>
      <c r="CX72" s="278">
        <v>0</v>
      </c>
      <c r="CY72" s="278">
        <v>0</v>
      </c>
      <c r="CZ72" s="278">
        <v>0</v>
      </c>
      <c r="DA72" s="278">
        <v>0</v>
      </c>
      <c r="DB72" s="278">
        <v>0</v>
      </c>
      <c r="DC72" s="278">
        <v>0</v>
      </c>
      <c r="DD72" s="278">
        <v>0</v>
      </c>
      <c r="DE72" s="278">
        <v>0</v>
      </c>
      <c r="DF72" s="390">
        <f t="shared" ref="DF72:DF135" si="6">DC72+DD72+DE72</f>
        <v>0</v>
      </c>
      <c r="DG72" s="312">
        <v>0</v>
      </c>
      <c r="DH72" s="281">
        <v>0</v>
      </c>
      <c r="DI72" s="278">
        <v>0</v>
      </c>
      <c r="DJ72" s="278">
        <v>0</v>
      </c>
      <c r="DK72" s="278">
        <v>0</v>
      </c>
      <c r="DL72" s="278">
        <v>0</v>
      </c>
      <c r="DM72" s="278">
        <v>0</v>
      </c>
      <c r="DN72" s="278">
        <v>0</v>
      </c>
      <c r="DO72" s="278">
        <v>0</v>
      </c>
      <c r="DP72" s="278">
        <v>0</v>
      </c>
      <c r="DQ72" s="278">
        <v>0</v>
      </c>
      <c r="DR72" s="282">
        <v>0</v>
      </c>
      <c r="DS72" s="226"/>
      <c r="DT72" s="312">
        <v>0</v>
      </c>
      <c r="DU72" s="274">
        <v>0</v>
      </c>
      <c r="DV72" s="274">
        <v>0</v>
      </c>
      <c r="DW72" s="278">
        <v>0</v>
      </c>
      <c r="DX72" s="276">
        <v>0</v>
      </c>
      <c r="DY72" s="276">
        <v>0</v>
      </c>
      <c r="DZ72" s="276">
        <v>0</v>
      </c>
      <c r="EA72" s="276">
        <v>0</v>
      </c>
      <c r="EB72" s="276">
        <v>0</v>
      </c>
      <c r="EC72" s="276">
        <v>0</v>
      </c>
      <c r="ED72" s="276">
        <v>0</v>
      </c>
      <c r="EE72" s="313">
        <v>0</v>
      </c>
      <c r="EF72" s="212"/>
      <c r="EG72" s="312">
        <v>0</v>
      </c>
      <c r="EH72" s="274">
        <v>0</v>
      </c>
      <c r="EI72" s="274">
        <v>0</v>
      </c>
      <c r="EJ72" s="278">
        <v>0</v>
      </c>
      <c r="EK72" s="276">
        <v>0</v>
      </c>
      <c r="EL72" s="276">
        <v>0</v>
      </c>
      <c r="EM72" s="276">
        <v>0</v>
      </c>
      <c r="EN72" s="276">
        <v>0</v>
      </c>
      <c r="EO72" s="276">
        <v>0</v>
      </c>
      <c r="EP72" s="276">
        <v>0</v>
      </c>
      <c r="EQ72" s="276">
        <v>0</v>
      </c>
      <c r="ER72" s="313">
        <v>0</v>
      </c>
      <c r="ES72" s="283"/>
      <c r="ET72" s="312">
        <v>0</v>
      </c>
      <c r="EU72" s="274">
        <v>0</v>
      </c>
      <c r="EV72" s="274">
        <v>0</v>
      </c>
      <c r="EW72" s="278">
        <v>0</v>
      </c>
      <c r="EX72" s="276">
        <v>0</v>
      </c>
      <c r="EY72" s="276">
        <v>0</v>
      </c>
      <c r="EZ72" s="276">
        <v>0</v>
      </c>
      <c r="FA72" s="276">
        <v>0</v>
      </c>
      <c r="FB72" s="276">
        <v>0</v>
      </c>
      <c r="FC72" s="276">
        <v>0</v>
      </c>
      <c r="FD72" s="276">
        <v>0</v>
      </c>
      <c r="FE72" s="313">
        <v>0</v>
      </c>
      <c r="FF72" s="212"/>
      <c r="FG72" s="312">
        <v>0</v>
      </c>
      <c r="FH72" s="274">
        <v>0</v>
      </c>
      <c r="FI72" s="274">
        <v>0</v>
      </c>
      <c r="FJ72" s="278">
        <v>0</v>
      </c>
      <c r="FK72" s="276">
        <v>0</v>
      </c>
      <c r="FL72" s="276">
        <v>0</v>
      </c>
      <c r="FM72" s="276">
        <v>0</v>
      </c>
      <c r="FN72" s="276">
        <v>0</v>
      </c>
      <c r="FO72" s="276">
        <v>0</v>
      </c>
      <c r="FP72" s="276">
        <v>0</v>
      </c>
      <c r="FQ72" s="276">
        <v>0</v>
      </c>
      <c r="FR72" s="313">
        <v>0</v>
      </c>
      <c r="FS72" s="283"/>
      <c r="FT72" s="286">
        <v>0</v>
      </c>
      <c r="FU72" s="260">
        <v>0</v>
      </c>
      <c r="FV72" s="260">
        <v>0</v>
      </c>
      <c r="FW72" s="260">
        <v>0</v>
      </c>
      <c r="FX72" s="287">
        <v>0</v>
      </c>
      <c r="FY72" s="327">
        <v>0</v>
      </c>
      <c r="FZ72" s="275">
        <v>0</v>
      </c>
      <c r="GA72" s="275">
        <v>0</v>
      </c>
      <c r="GB72" s="275">
        <v>0</v>
      </c>
      <c r="GC72" s="275">
        <v>0</v>
      </c>
      <c r="GD72" s="275">
        <v>0</v>
      </c>
      <c r="GE72" s="275">
        <v>0</v>
      </c>
      <c r="GF72" s="277">
        <v>0</v>
      </c>
      <c r="GG72" s="214">
        <v>0</v>
      </c>
      <c r="GH72" s="286">
        <v>0</v>
      </c>
      <c r="GI72" s="260">
        <v>0</v>
      </c>
      <c r="GJ72" s="260">
        <v>0</v>
      </c>
      <c r="GK72" s="260">
        <v>0</v>
      </c>
      <c r="GL72" s="291">
        <v>0</v>
      </c>
      <c r="GM72" s="275">
        <v>0</v>
      </c>
      <c r="GN72" s="275">
        <v>0</v>
      </c>
      <c r="GO72" s="275">
        <v>0</v>
      </c>
      <c r="GP72" s="275">
        <v>0</v>
      </c>
      <c r="GQ72" s="275">
        <v>0</v>
      </c>
      <c r="GR72" s="277">
        <v>0</v>
      </c>
      <c r="GS72" s="275">
        <v>0</v>
      </c>
      <c r="GT72" s="284">
        <v>0</v>
      </c>
      <c r="GU72" s="292">
        <v>0</v>
      </c>
      <c r="GV72" s="214">
        <v>0</v>
      </c>
      <c r="GW72" s="293">
        <v>0</v>
      </c>
      <c r="GX72" s="294"/>
      <c r="GY72" s="293">
        <v>0</v>
      </c>
      <c r="GZ72" s="293">
        <v>0</v>
      </c>
      <c r="HA72" s="293">
        <v>0</v>
      </c>
      <c r="HB72" s="293">
        <v>0</v>
      </c>
      <c r="HC72" s="295">
        <v>0</v>
      </c>
    </row>
    <row r="73" spans="1:211" ht="12.75" customHeight="1">
      <c r="B73" s="328" t="s">
        <v>257</v>
      </c>
      <c r="C73" s="297" t="s">
        <v>135</v>
      </c>
      <c r="D73" s="299" t="s">
        <v>255</v>
      </c>
      <c r="E73" s="403" t="s">
        <v>256</v>
      </c>
      <c r="F73" s="382" t="s">
        <v>182</v>
      </c>
      <c r="G73" s="301">
        <v>0</v>
      </c>
      <c r="H73" s="301">
        <v>0</v>
      </c>
      <c r="I73" s="258">
        <v>0</v>
      </c>
      <c r="J73" s="302">
        <v>0</v>
      </c>
      <c r="K73" s="404">
        <v>0</v>
      </c>
      <c r="L73" s="405">
        <v>0</v>
      </c>
      <c r="M73" s="261">
        <v>0</v>
      </c>
      <c r="N73" s="405">
        <v>0</v>
      </c>
      <c r="O73" s="261">
        <v>0</v>
      </c>
      <c r="P73" s="405">
        <v>0</v>
      </c>
      <c r="Q73" s="261">
        <v>0</v>
      </c>
      <c r="R73" s="303">
        <v>0</v>
      </c>
      <c r="S73" s="261">
        <f t="shared" si="5"/>
        <v>0</v>
      </c>
      <c r="T73" s="305">
        <v>0</v>
      </c>
      <c r="U73" s="267">
        <v>0</v>
      </c>
      <c r="V73" s="259">
        <v>0</v>
      </c>
      <c r="W73" s="259">
        <v>0</v>
      </c>
      <c r="X73" s="259">
        <v>0</v>
      </c>
      <c r="Y73" s="259">
        <v>0</v>
      </c>
      <c r="Z73" s="259">
        <v>0</v>
      </c>
      <c r="AA73" s="259">
        <v>0</v>
      </c>
      <c r="AB73" s="259">
        <v>0</v>
      </c>
      <c r="AC73" s="259">
        <v>0</v>
      </c>
      <c r="AD73" s="259">
        <v>0</v>
      </c>
      <c r="AE73" s="268">
        <v>0</v>
      </c>
      <c r="AG73" s="305">
        <v>0</v>
      </c>
      <c r="AH73" s="267">
        <v>0</v>
      </c>
      <c r="AI73" s="259">
        <v>0</v>
      </c>
      <c r="AJ73" s="259">
        <v>0</v>
      </c>
      <c r="AK73" s="259">
        <v>0</v>
      </c>
      <c r="AL73" s="259">
        <v>0</v>
      </c>
      <c r="AM73" s="259">
        <v>0</v>
      </c>
      <c r="AN73" s="259">
        <v>0</v>
      </c>
      <c r="AO73" s="259">
        <v>0</v>
      </c>
      <c r="AP73" s="259">
        <v>0</v>
      </c>
      <c r="AQ73" s="259">
        <v>0</v>
      </c>
      <c r="AR73" s="268">
        <v>0</v>
      </c>
      <c r="AS73" s="269">
        <v>0</v>
      </c>
      <c r="AT73" s="305">
        <v>0</v>
      </c>
      <c r="AU73" s="259">
        <v>0</v>
      </c>
      <c r="AV73" s="259">
        <v>0</v>
      </c>
      <c r="AW73" s="259">
        <v>0</v>
      </c>
      <c r="AX73" s="259">
        <v>0</v>
      </c>
      <c r="AY73" s="259">
        <v>0</v>
      </c>
      <c r="AZ73" s="259">
        <v>0</v>
      </c>
      <c r="BA73" s="259">
        <v>0</v>
      </c>
      <c r="BB73" s="259">
        <v>0</v>
      </c>
      <c r="BC73" s="259">
        <v>0</v>
      </c>
      <c r="BD73" s="259">
        <v>0</v>
      </c>
      <c r="BE73" s="268">
        <v>0</v>
      </c>
      <c r="BG73" s="305">
        <v>0</v>
      </c>
      <c r="BH73" s="259">
        <v>0</v>
      </c>
      <c r="BI73" s="259">
        <v>0</v>
      </c>
      <c r="BJ73" s="259">
        <v>0</v>
      </c>
      <c r="BK73" s="259">
        <v>0</v>
      </c>
      <c r="BL73" s="259">
        <v>0</v>
      </c>
      <c r="BM73" s="259">
        <v>0</v>
      </c>
      <c r="BN73" s="259">
        <v>0</v>
      </c>
      <c r="BO73" s="259">
        <v>0</v>
      </c>
      <c r="BP73" s="259">
        <v>0</v>
      </c>
      <c r="BQ73" s="259">
        <v>0</v>
      </c>
      <c r="BR73" s="268">
        <v>0</v>
      </c>
      <c r="BT73" s="389">
        <v>0</v>
      </c>
      <c r="BU73" s="307">
        <v>0</v>
      </c>
      <c r="BV73" s="307">
        <v>0</v>
      </c>
      <c r="BW73" s="307">
        <v>0</v>
      </c>
      <c r="BX73" s="307">
        <v>0</v>
      </c>
      <c r="BY73" s="307">
        <v>0</v>
      </c>
      <c r="BZ73" s="307">
        <v>0</v>
      </c>
      <c r="CA73" s="307">
        <v>0</v>
      </c>
      <c r="CB73" s="307">
        <v>0</v>
      </c>
      <c r="CC73" s="307">
        <v>0</v>
      </c>
      <c r="CD73" s="307">
        <v>0</v>
      </c>
      <c r="CE73" s="308">
        <v>0</v>
      </c>
      <c r="CF73" s="212"/>
      <c r="CG73" s="396">
        <v>0</v>
      </c>
      <c r="CH73" s="274">
        <v>0</v>
      </c>
      <c r="CI73" s="404">
        <v>0</v>
      </c>
      <c r="CJ73" s="404">
        <v>0</v>
      </c>
      <c r="CK73" s="404">
        <v>0</v>
      </c>
      <c r="CL73" s="405">
        <v>0</v>
      </c>
      <c r="CM73" s="405">
        <v>0</v>
      </c>
      <c r="CN73" s="405">
        <v>0</v>
      </c>
      <c r="CO73" s="276">
        <v>0</v>
      </c>
      <c r="CP73" s="276">
        <v>0</v>
      </c>
      <c r="CQ73" s="276">
        <v>0</v>
      </c>
      <c r="CR73" s="313">
        <v>0</v>
      </c>
      <c r="CS73" s="212"/>
      <c r="CT73" s="273">
        <v>0</v>
      </c>
      <c r="CU73" s="278">
        <v>0</v>
      </c>
      <c r="CV73" s="278">
        <v>0</v>
      </c>
      <c r="CW73" s="278">
        <v>0</v>
      </c>
      <c r="CX73" s="278">
        <v>0</v>
      </c>
      <c r="CY73" s="278">
        <v>0</v>
      </c>
      <c r="CZ73" s="278">
        <v>0</v>
      </c>
      <c r="DA73" s="278">
        <v>0</v>
      </c>
      <c r="DB73" s="278">
        <v>0</v>
      </c>
      <c r="DC73" s="278">
        <v>0</v>
      </c>
      <c r="DD73" s="278">
        <v>0</v>
      </c>
      <c r="DE73" s="278">
        <v>0</v>
      </c>
      <c r="DF73" s="390">
        <f t="shared" si="6"/>
        <v>0</v>
      </c>
      <c r="DG73" s="312">
        <v>0</v>
      </c>
      <c r="DH73" s="281">
        <v>0</v>
      </c>
      <c r="DI73" s="278">
        <v>0</v>
      </c>
      <c r="DJ73" s="278">
        <v>0</v>
      </c>
      <c r="DK73" s="278">
        <v>0</v>
      </c>
      <c r="DL73" s="278">
        <v>0</v>
      </c>
      <c r="DM73" s="278">
        <v>0</v>
      </c>
      <c r="DN73" s="278">
        <v>0</v>
      </c>
      <c r="DO73" s="278">
        <v>0</v>
      </c>
      <c r="DP73" s="278">
        <v>0</v>
      </c>
      <c r="DQ73" s="278">
        <v>0</v>
      </c>
      <c r="DR73" s="282">
        <v>0</v>
      </c>
      <c r="DS73" s="226"/>
      <c r="DT73" s="312">
        <v>0</v>
      </c>
      <c r="DU73" s="274">
        <v>0</v>
      </c>
      <c r="DV73" s="274">
        <v>0</v>
      </c>
      <c r="DW73" s="278">
        <v>0</v>
      </c>
      <c r="DX73" s="276">
        <v>0</v>
      </c>
      <c r="DY73" s="276">
        <v>0</v>
      </c>
      <c r="DZ73" s="276">
        <v>0</v>
      </c>
      <c r="EA73" s="276">
        <v>0</v>
      </c>
      <c r="EB73" s="276">
        <v>0</v>
      </c>
      <c r="EC73" s="276">
        <v>0</v>
      </c>
      <c r="ED73" s="276">
        <v>0</v>
      </c>
      <c r="EE73" s="313">
        <v>0</v>
      </c>
      <c r="EF73" s="212"/>
      <c r="EG73" s="312">
        <v>0</v>
      </c>
      <c r="EH73" s="274">
        <v>0</v>
      </c>
      <c r="EI73" s="274">
        <v>0</v>
      </c>
      <c r="EJ73" s="278">
        <v>0</v>
      </c>
      <c r="EK73" s="276">
        <v>0</v>
      </c>
      <c r="EL73" s="276">
        <v>0</v>
      </c>
      <c r="EM73" s="276">
        <v>0</v>
      </c>
      <c r="EN73" s="276">
        <v>0</v>
      </c>
      <c r="EO73" s="276">
        <v>0</v>
      </c>
      <c r="EP73" s="276">
        <v>0</v>
      </c>
      <c r="EQ73" s="276">
        <v>0</v>
      </c>
      <c r="ER73" s="313">
        <v>0</v>
      </c>
      <c r="ES73" s="283"/>
      <c r="ET73" s="312">
        <v>0</v>
      </c>
      <c r="EU73" s="274">
        <v>0</v>
      </c>
      <c r="EV73" s="274">
        <v>0</v>
      </c>
      <c r="EW73" s="278">
        <v>0</v>
      </c>
      <c r="EX73" s="276">
        <v>0</v>
      </c>
      <c r="EY73" s="276">
        <v>0</v>
      </c>
      <c r="EZ73" s="276">
        <v>0</v>
      </c>
      <c r="FA73" s="276">
        <v>0</v>
      </c>
      <c r="FB73" s="276">
        <v>0</v>
      </c>
      <c r="FC73" s="276">
        <v>0</v>
      </c>
      <c r="FD73" s="276">
        <v>0</v>
      </c>
      <c r="FE73" s="313">
        <v>0</v>
      </c>
      <c r="FF73" s="212"/>
      <c r="FG73" s="312">
        <v>0</v>
      </c>
      <c r="FH73" s="274">
        <v>0</v>
      </c>
      <c r="FI73" s="274">
        <v>0</v>
      </c>
      <c r="FJ73" s="278">
        <v>0</v>
      </c>
      <c r="FK73" s="276">
        <v>0</v>
      </c>
      <c r="FL73" s="276">
        <v>0</v>
      </c>
      <c r="FM73" s="276">
        <v>0</v>
      </c>
      <c r="FN73" s="276">
        <v>0</v>
      </c>
      <c r="FO73" s="276">
        <v>0</v>
      </c>
      <c r="FP73" s="276">
        <v>0</v>
      </c>
      <c r="FQ73" s="276">
        <v>0</v>
      </c>
      <c r="FR73" s="313">
        <v>0</v>
      </c>
      <c r="FS73" s="283"/>
      <c r="FT73" s="286">
        <v>0</v>
      </c>
      <c r="FU73" s="260">
        <v>0</v>
      </c>
      <c r="FV73" s="260">
        <v>0</v>
      </c>
      <c r="FW73" s="260">
        <v>0</v>
      </c>
      <c r="FX73" s="287">
        <v>0</v>
      </c>
      <c r="FY73" s="327">
        <v>0</v>
      </c>
      <c r="FZ73" s="275">
        <v>0</v>
      </c>
      <c r="GA73" s="275">
        <v>0</v>
      </c>
      <c r="GB73" s="275">
        <v>0</v>
      </c>
      <c r="GC73" s="275">
        <v>0</v>
      </c>
      <c r="GD73" s="275">
        <v>0</v>
      </c>
      <c r="GE73" s="275">
        <v>0</v>
      </c>
      <c r="GF73" s="277">
        <v>0</v>
      </c>
      <c r="GG73" s="214">
        <v>0</v>
      </c>
      <c r="GH73" s="286">
        <v>0</v>
      </c>
      <c r="GI73" s="260">
        <v>0</v>
      </c>
      <c r="GJ73" s="260">
        <v>0</v>
      </c>
      <c r="GK73" s="260">
        <v>0</v>
      </c>
      <c r="GL73" s="291">
        <v>0</v>
      </c>
      <c r="GM73" s="275">
        <v>0</v>
      </c>
      <c r="GN73" s="275">
        <v>0</v>
      </c>
      <c r="GO73" s="275">
        <v>0</v>
      </c>
      <c r="GP73" s="275">
        <v>0</v>
      </c>
      <c r="GQ73" s="275">
        <v>0</v>
      </c>
      <c r="GR73" s="277">
        <v>0</v>
      </c>
      <c r="GS73" s="275">
        <v>0</v>
      </c>
      <c r="GT73" s="284">
        <v>0</v>
      </c>
      <c r="GU73" s="292">
        <v>0</v>
      </c>
      <c r="GV73" s="214">
        <v>0</v>
      </c>
      <c r="GW73" s="293">
        <v>0</v>
      </c>
      <c r="GX73" s="294"/>
      <c r="GY73" s="293">
        <v>0</v>
      </c>
      <c r="GZ73" s="293">
        <v>0</v>
      </c>
      <c r="HA73" s="293">
        <v>0</v>
      </c>
      <c r="HB73" s="293">
        <v>0</v>
      </c>
      <c r="HC73" s="295">
        <v>0</v>
      </c>
    </row>
    <row r="74" spans="1:211" s="212" customFormat="1" ht="12.75" customHeight="1">
      <c r="A74" s="406"/>
      <c r="B74" s="328" t="s">
        <v>258</v>
      </c>
      <c r="C74" s="297" t="s">
        <v>135</v>
      </c>
      <c r="D74" s="299" t="s">
        <v>259</v>
      </c>
      <c r="E74" s="299" t="s">
        <v>260</v>
      </c>
      <c r="F74" s="382" t="s">
        <v>261</v>
      </c>
      <c r="G74" s="301">
        <v>0</v>
      </c>
      <c r="H74" s="301">
        <v>0</v>
      </c>
      <c r="I74" s="258">
        <v>0</v>
      </c>
      <c r="J74" s="302">
        <v>0</v>
      </c>
      <c r="K74" s="404">
        <v>0</v>
      </c>
      <c r="L74" s="405">
        <v>0</v>
      </c>
      <c r="M74" s="261">
        <v>0</v>
      </c>
      <c r="N74" s="405">
        <v>0</v>
      </c>
      <c r="O74" s="261">
        <v>0</v>
      </c>
      <c r="P74" s="405">
        <v>0</v>
      </c>
      <c r="Q74" s="261">
        <v>0</v>
      </c>
      <c r="R74" s="303">
        <v>0</v>
      </c>
      <c r="S74" s="261">
        <f t="shared" si="5"/>
        <v>0</v>
      </c>
      <c r="T74" s="305">
        <v>0</v>
      </c>
      <c r="U74" s="267">
        <v>0</v>
      </c>
      <c r="V74" s="259">
        <v>0</v>
      </c>
      <c r="W74" s="259">
        <v>0</v>
      </c>
      <c r="X74" s="259">
        <v>0</v>
      </c>
      <c r="Y74" s="259">
        <v>0</v>
      </c>
      <c r="Z74" s="259">
        <v>0</v>
      </c>
      <c r="AA74" s="259">
        <v>0</v>
      </c>
      <c r="AB74" s="259">
        <v>0</v>
      </c>
      <c r="AC74" s="259">
        <v>0</v>
      </c>
      <c r="AD74" s="259">
        <v>0</v>
      </c>
      <c r="AE74" s="268">
        <v>0</v>
      </c>
      <c r="AF74" s="209"/>
      <c r="AG74" s="305">
        <v>0</v>
      </c>
      <c r="AH74" s="267">
        <v>0</v>
      </c>
      <c r="AI74" s="259">
        <v>0</v>
      </c>
      <c r="AJ74" s="259">
        <v>0</v>
      </c>
      <c r="AK74" s="259">
        <v>0</v>
      </c>
      <c r="AL74" s="259">
        <v>0</v>
      </c>
      <c r="AM74" s="259">
        <v>0</v>
      </c>
      <c r="AN74" s="259">
        <v>0</v>
      </c>
      <c r="AO74" s="259">
        <v>0</v>
      </c>
      <c r="AP74" s="259">
        <v>0</v>
      </c>
      <c r="AQ74" s="259">
        <v>0</v>
      </c>
      <c r="AR74" s="268">
        <v>0</v>
      </c>
      <c r="AS74" s="269">
        <v>0</v>
      </c>
      <c r="AT74" s="351">
        <v>0</v>
      </c>
      <c r="AU74" s="259">
        <v>0</v>
      </c>
      <c r="AV74" s="259">
        <v>0</v>
      </c>
      <c r="AW74" s="259">
        <v>0</v>
      </c>
      <c r="AX74" s="336">
        <v>0</v>
      </c>
      <c r="AY74" s="336">
        <v>0</v>
      </c>
      <c r="AZ74" s="335">
        <v>0</v>
      </c>
      <c r="BA74" s="335">
        <v>0</v>
      </c>
      <c r="BB74" s="335">
        <v>0</v>
      </c>
      <c r="BC74" s="335">
        <v>0</v>
      </c>
      <c r="BD74" s="335">
        <v>0</v>
      </c>
      <c r="BE74" s="308">
        <v>0</v>
      </c>
      <c r="BF74" s="209"/>
      <c r="BG74" s="305">
        <v>0</v>
      </c>
      <c r="BH74" s="259">
        <v>0</v>
      </c>
      <c r="BI74" s="259">
        <v>0</v>
      </c>
      <c r="BJ74" s="259">
        <v>0</v>
      </c>
      <c r="BK74" s="259">
        <v>0</v>
      </c>
      <c r="BL74" s="259">
        <v>0</v>
      </c>
      <c r="BM74" s="259">
        <v>0</v>
      </c>
      <c r="BN74" s="259">
        <v>0</v>
      </c>
      <c r="BO74" s="259">
        <v>0</v>
      </c>
      <c r="BP74" s="259">
        <v>0</v>
      </c>
      <c r="BQ74" s="259">
        <v>0</v>
      </c>
      <c r="BR74" s="268">
        <v>0</v>
      </c>
      <c r="BS74" s="209"/>
      <c r="BT74" s="389">
        <v>0</v>
      </c>
      <c r="BU74" s="307">
        <v>0</v>
      </c>
      <c r="BV74" s="307">
        <v>0</v>
      </c>
      <c r="BW74" s="307">
        <v>0</v>
      </c>
      <c r="BX74" s="307">
        <v>0</v>
      </c>
      <c r="BY74" s="307">
        <v>0</v>
      </c>
      <c r="BZ74" s="307">
        <v>0</v>
      </c>
      <c r="CA74" s="307">
        <v>0</v>
      </c>
      <c r="CB74" s="307">
        <v>0</v>
      </c>
      <c r="CC74" s="307">
        <v>0</v>
      </c>
      <c r="CD74" s="307">
        <v>0</v>
      </c>
      <c r="CE74" s="308">
        <v>0</v>
      </c>
      <c r="CG74" s="407">
        <v>0</v>
      </c>
      <c r="CH74" s="329">
        <v>0</v>
      </c>
      <c r="CI74" s="329">
        <v>0</v>
      </c>
      <c r="CJ74" s="329">
        <v>0</v>
      </c>
      <c r="CK74" s="329">
        <v>0</v>
      </c>
      <c r="CL74" s="341">
        <v>0</v>
      </c>
      <c r="CM74" s="338">
        <v>0</v>
      </c>
      <c r="CN74" s="338">
        <v>0</v>
      </c>
      <c r="CO74" s="338">
        <v>0</v>
      </c>
      <c r="CP74" s="338">
        <v>0</v>
      </c>
      <c r="CQ74" s="338">
        <v>0</v>
      </c>
      <c r="CR74" s="339">
        <v>0</v>
      </c>
      <c r="CS74" s="390"/>
      <c r="CT74" s="273">
        <v>0</v>
      </c>
      <c r="CU74" s="278">
        <v>0</v>
      </c>
      <c r="CV74" s="278">
        <v>0</v>
      </c>
      <c r="CW74" s="278">
        <v>0</v>
      </c>
      <c r="CX74" s="278">
        <v>0</v>
      </c>
      <c r="CY74" s="278">
        <v>0</v>
      </c>
      <c r="CZ74" s="278">
        <v>0</v>
      </c>
      <c r="DA74" s="278">
        <v>0</v>
      </c>
      <c r="DB74" s="278">
        <v>0</v>
      </c>
      <c r="DC74" s="278">
        <v>0</v>
      </c>
      <c r="DD74" s="278">
        <v>0</v>
      </c>
      <c r="DE74" s="278">
        <v>0</v>
      </c>
      <c r="DF74" s="390">
        <f t="shared" si="6"/>
        <v>0</v>
      </c>
      <c r="DG74" s="312">
        <v>0</v>
      </c>
      <c r="DH74" s="281">
        <v>0</v>
      </c>
      <c r="DI74" s="278">
        <v>0</v>
      </c>
      <c r="DJ74" s="278">
        <v>0</v>
      </c>
      <c r="DK74" s="278">
        <v>0</v>
      </c>
      <c r="DL74" s="278">
        <v>0</v>
      </c>
      <c r="DM74" s="278">
        <v>0</v>
      </c>
      <c r="DN74" s="278">
        <v>0</v>
      </c>
      <c r="DO74" s="278">
        <v>0</v>
      </c>
      <c r="DP74" s="278">
        <v>0</v>
      </c>
      <c r="DQ74" s="278">
        <v>0</v>
      </c>
      <c r="DR74" s="282">
        <v>0</v>
      </c>
      <c r="DS74" s="226"/>
      <c r="DT74" s="312">
        <v>0</v>
      </c>
      <c r="DU74" s="329">
        <v>0</v>
      </c>
      <c r="DV74" s="342">
        <v>0</v>
      </c>
      <c r="DW74" s="342">
        <v>0</v>
      </c>
      <c r="DX74" s="338">
        <v>0</v>
      </c>
      <c r="DY74" s="341">
        <v>0</v>
      </c>
      <c r="DZ74" s="341">
        <v>0</v>
      </c>
      <c r="EA74" s="341">
        <v>0</v>
      </c>
      <c r="EB74" s="338">
        <v>0</v>
      </c>
      <c r="EC74" s="338">
        <v>0</v>
      </c>
      <c r="ED74" s="338">
        <v>0</v>
      </c>
      <c r="EE74" s="339">
        <v>0</v>
      </c>
      <c r="EG74" s="312">
        <v>0</v>
      </c>
      <c r="EH74" s="274">
        <v>0</v>
      </c>
      <c r="EI74" s="274">
        <v>0</v>
      </c>
      <c r="EJ74" s="278">
        <v>0</v>
      </c>
      <c r="EK74" s="276">
        <v>0</v>
      </c>
      <c r="EL74" s="276">
        <v>0</v>
      </c>
      <c r="EM74" s="276">
        <v>0</v>
      </c>
      <c r="EN74" s="276">
        <v>0</v>
      </c>
      <c r="EO74" s="276">
        <v>0</v>
      </c>
      <c r="EP74" s="276">
        <v>0</v>
      </c>
      <c r="EQ74" s="276">
        <v>0</v>
      </c>
      <c r="ER74" s="313">
        <v>0</v>
      </c>
      <c r="ES74" s="283"/>
      <c r="ET74" s="312">
        <v>0</v>
      </c>
      <c r="EU74" s="274">
        <v>0</v>
      </c>
      <c r="EV74" s="274">
        <v>0</v>
      </c>
      <c r="EW74" s="278">
        <v>0</v>
      </c>
      <c r="EX74" s="338">
        <v>0</v>
      </c>
      <c r="EY74" s="341">
        <v>0</v>
      </c>
      <c r="EZ74" s="341">
        <v>0</v>
      </c>
      <c r="FA74" s="341">
        <v>0</v>
      </c>
      <c r="FB74" s="338">
        <v>0</v>
      </c>
      <c r="FC74" s="338">
        <v>0</v>
      </c>
      <c r="FD74" s="338">
        <v>0</v>
      </c>
      <c r="FE74" s="339">
        <v>0</v>
      </c>
      <c r="FG74" s="312">
        <v>0</v>
      </c>
      <c r="FH74" s="274">
        <v>0</v>
      </c>
      <c r="FI74" s="274">
        <v>0</v>
      </c>
      <c r="FJ74" s="278">
        <v>0</v>
      </c>
      <c r="FK74" s="276">
        <v>0</v>
      </c>
      <c r="FL74" s="276">
        <v>0</v>
      </c>
      <c r="FM74" s="276">
        <v>0</v>
      </c>
      <c r="FN74" s="276">
        <v>0</v>
      </c>
      <c r="FO74" s="276">
        <v>0</v>
      </c>
      <c r="FP74" s="276">
        <v>0</v>
      </c>
      <c r="FQ74" s="276">
        <v>0</v>
      </c>
      <c r="FR74" s="313">
        <v>0</v>
      </c>
      <c r="FS74" s="283"/>
      <c r="FT74" s="408">
        <v>0</v>
      </c>
      <c r="FU74" s="409">
        <v>0</v>
      </c>
      <c r="FV74" s="409">
        <v>0</v>
      </c>
      <c r="FW74" s="409">
        <v>0</v>
      </c>
      <c r="FX74" s="410">
        <v>0</v>
      </c>
      <c r="FY74" s="411">
        <v>0</v>
      </c>
      <c r="FZ74" s="412">
        <v>0</v>
      </c>
      <c r="GA74" s="412">
        <v>0</v>
      </c>
      <c r="GB74" s="412">
        <v>0</v>
      </c>
      <c r="GC74" s="412">
        <v>0</v>
      </c>
      <c r="GD74" s="412">
        <v>0</v>
      </c>
      <c r="GE74" s="412">
        <v>0</v>
      </c>
      <c r="GF74" s="413">
        <v>0</v>
      </c>
      <c r="GG74" s="214">
        <v>0</v>
      </c>
      <c r="GH74" s="286">
        <v>0</v>
      </c>
      <c r="GI74" s="260">
        <v>0</v>
      </c>
      <c r="GJ74" s="260">
        <v>0</v>
      </c>
      <c r="GK74" s="409">
        <v>0</v>
      </c>
      <c r="GL74" s="414">
        <v>0</v>
      </c>
      <c r="GM74" s="275">
        <v>0</v>
      </c>
      <c r="GN74" s="275">
        <v>0</v>
      </c>
      <c r="GO74" s="275">
        <v>0</v>
      </c>
      <c r="GP74" s="412">
        <v>0</v>
      </c>
      <c r="GQ74" s="275">
        <v>0</v>
      </c>
      <c r="GR74" s="277">
        <v>0</v>
      </c>
      <c r="GS74" s="275">
        <v>0</v>
      </c>
      <c r="GT74" s="284">
        <v>0</v>
      </c>
      <c r="GU74" s="292">
        <v>0</v>
      </c>
      <c r="GV74" s="345">
        <v>0</v>
      </c>
      <c r="GW74" s="293">
        <v>0</v>
      </c>
      <c r="GX74" s="294"/>
      <c r="GY74" s="293">
        <v>0</v>
      </c>
      <c r="GZ74" s="293">
        <v>0</v>
      </c>
      <c r="HA74" s="293">
        <v>0</v>
      </c>
      <c r="HB74" s="293">
        <v>0</v>
      </c>
      <c r="HC74" s="295">
        <v>0</v>
      </c>
    </row>
    <row r="75" spans="1:211" s="212" customFormat="1" ht="12.75" customHeight="1">
      <c r="A75" s="406"/>
      <c r="B75" s="328" t="s">
        <v>262</v>
      </c>
      <c r="C75" s="297" t="s">
        <v>135</v>
      </c>
      <c r="D75" s="299" t="s">
        <v>263</v>
      </c>
      <c r="E75" s="299" t="s">
        <v>264</v>
      </c>
      <c r="F75" s="382" t="s">
        <v>265</v>
      </c>
      <c r="G75" s="301">
        <v>0</v>
      </c>
      <c r="H75" s="301">
        <v>0</v>
      </c>
      <c r="I75" s="258">
        <v>0</v>
      </c>
      <c r="J75" s="302">
        <v>0</v>
      </c>
      <c r="K75" s="404">
        <v>0</v>
      </c>
      <c r="L75" s="405">
        <v>0</v>
      </c>
      <c r="M75" s="261">
        <v>0</v>
      </c>
      <c r="N75" s="405">
        <v>0</v>
      </c>
      <c r="O75" s="261">
        <v>0</v>
      </c>
      <c r="P75" s="405">
        <v>0</v>
      </c>
      <c r="Q75" s="261">
        <v>0</v>
      </c>
      <c r="R75" s="303">
        <v>0</v>
      </c>
      <c r="S75" s="261">
        <f t="shared" si="5"/>
        <v>0</v>
      </c>
      <c r="T75" s="305">
        <v>0</v>
      </c>
      <c r="U75" s="267">
        <v>0</v>
      </c>
      <c r="V75" s="259">
        <v>0</v>
      </c>
      <c r="W75" s="259">
        <v>0</v>
      </c>
      <c r="X75" s="259">
        <v>30</v>
      </c>
      <c r="Y75" s="259">
        <v>30</v>
      </c>
      <c r="Z75" s="259">
        <v>30</v>
      </c>
      <c r="AA75" s="259">
        <v>30</v>
      </c>
      <c r="AB75" s="259">
        <v>30</v>
      </c>
      <c r="AC75" s="259">
        <v>30</v>
      </c>
      <c r="AD75" s="259">
        <v>30</v>
      </c>
      <c r="AE75" s="268">
        <v>30</v>
      </c>
      <c r="AF75" s="209"/>
      <c r="AG75" s="305">
        <v>0</v>
      </c>
      <c r="AH75" s="267">
        <v>0</v>
      </c>
      <c r="AI75" s="259">
        <v>0</v>
      </c>
      <c r="AJ75" s="259">
        <v>0</v>
      </c>
      <c r="AK75" s="259">
        <v>0</v>
      </c>
      <c r="AL75" s="259">
        <v>0</v>
      </c>
      <c r="AM75" s="259">
        <v>0</v>
      </c>
      <c r="AN75" s="259">
        <v>9</v>
      </c>
      <c r="AO75" s="259">
        <v>0</v>
      </c>
      <c r="AP75" s="259">
        <v>0</v>
      </c>
      <c r="AQ75" s="259">
        <v>0</v>
      </c>
      <c r="AR75" s="268">
        <v>0</v>
      </c>
      <c r="AS75" s="269">
        <v>0</v>
      </c>
      <c r="AT75" s="351">
        <v>0</v>
      </c>
      <c r="AU75" s="259">
        <v>0</v>
      </c>
      <c r="AV75" s="259">
        <v>0</v>
      </c>
      <c r="AW75" s="259">
        <v>0</v>
      </c>
      <c r="AX75" s="336">
        <v>0</v>
      </c>
      <c r="AY75" s="336">
        <v>0</v>
      </c>
      <c r="AZ75" s="335">
        <v>0</v>
      </c>
      <c r="BA75" s="335">
        <v>0</v>
      </c>
      <c r="BB75" s="335">
        <v>0</v>
      </c>
      <c r="BC75" s="335">
        <v>0</v>
      </c>
      <c r="BD75" s="335">
        <v>0</v>
      </c>
      <c r="BE75" s="308">
        <v>0</v>
      </c>
      <c r="BF75" s="209"/>
      <c r="BG75" s="305">
        <v>0</v>
      </c>
      <c r="BH75" s="259">
        <v>0</v>
      </c>
      <c r="BI75" s="259">
        <v>0</v>
      </c>
      <c r="BJ75" s="259">
        <v>0</v>
      </c>
      <c r="BK75" s="259">
        <v>173333.33333333331</v>
      </c>
      <c r="BL75" s="259">
        <v>173333.33333333331</v>
      </c>
      <c r="BM75" s="259">
        <v>173333.33333333331</v>
      </c>
      <c r="BN75" s="259">
        <v>173333.33333333331</v>
      </c>
      <c r="BO75" s="259">
        <v>173333.33333333331</v>
      </c>
      <c r="BP75" s="259">
        <v>173333.33333333331</v>
      </c>
      <c r="BQ75" s="259">
        <v>173333.33333333331</v>
      </c>
      <c r="BR75" s="268">
        <v>173333.33333333331</v>
      </c>
      <c r="BS75" s="209"/>
      <c r="BT75" s="389">
        <v>0</v>
      </c>
      <c r="BU75" s="307">
        <v>0</v>
      </c>
      <c r="BV75" s="307">
        <v>0</v>
      </c>
      <c r="BW75" s="307">
        <v>0</v>
      </c>
      <c r="BX75" s="307">
        <v>0</v>
      </c>
      <c r="BY75" s="307">
        <v>0</v>
      </c>
      <c r="BZ75" s="307">
        <v>0</v>
      </c>
      <c r="CA75" s="307">
        <v>160407.63547682978</v>
      </c>
      <c r="CB75" s="307">
        <v>0</v>
      </c>
      <c r="CC75" s="307">
        <v>0</v>
      </c>
      <c r="CD75" s="307">
        <v>0</v>
      </c>
      <c r="CE75" s="308">
        <v>0</v>
      </c>
      <c r="CG75" s="326">
        <v>0</v>
      </c>
      <c r="CH75" s="342">
        <v>0</v>
      </c>
      <c r="CI75" s="342">
        <v>0</v>
      </c>
      <c r="CJ75" s="342">
        <v>0</v>
      </c>
      <c r="CK75" s="342">
        <v>0</v>
      </c>
      <c r="CL75" s="415">
        <v>0</v>
      </c>
      <c r="CM75" s="412">
        <v>0</v>
      </c>
      <c r="CN75" s="412">
        <v>0</v>
      </c>
      <c r="CO75" s="412">
        <v>0</v>
      </c>
      <c r="CP75" s="412">
        <v>0</v>
      </c>
      <c r="CQ75" s="412">
        <v>0</v>
      </c>
      <c r="CR75" s="413">
        <v>0</v>
      </c>
      <c r="CS75" s="390"/>
      <c r="CT75" s="273">
        <v>0</v>
      </c>
      <c r="CU75" s="278">
        <v>0</v>
      </c>
      <c r="CV75" s="278">
        <v>0</v>
      </c>
      <c r="CW75" s="278">
        <v>0</v>
      </c>
      <c r="CX75" s="278">
        <v>0.52</v>
      </c>
      <c r="CY75" s="278">
        <v>0.52</v>
      </c>
      <c r="CZ75" s="278">
        <v>0.52</v>
      </c>
      <c r="DA75" s="278">
        <v>0.52</v>
      </c>
      <c r="DB75" s="278">
        <v>0.52</v>
      </c>
      <c r="DC75" s="278">
        <v>0.52</v>
      </c>
      <c r="DD75" s="278">
        <v>0.52</v>
      </c>
      <c r="DE75" s="278">
        <v>0.52</v>
      </c>
      <c r="DF75" s="390">
        <f t="shared" si="6"/>
        <v>1.56</v>
      </c>
      <c r="DG75" s="312">
        <v>0</v>
      </c>
      <c r="DH75" s="281">
        <v>0</v>
      </c>
      <c r="DI75" s="278">
        <v>0</v>
      </c>
      <c r="DJ75" s="278">
        <v>0</v>
      </c>
      <c r="DK75" s="278">
        <v>0</v>
      </c>
      <c r="DL75" s="278">
        <v>0</v>
      </c>
      <c r="DM75" s="278">
        <v>0</v>
      </c>
      <c r="DN75" s="278">
        <v>0.1443668719291468</v>
      </c>
      <c r="DO75" s="278">
        <v>0</v>
      </c>
      <c r="DP75" s="278">
        <v>0</v>
      </c>
      <c r="DQ75" s="278">
        <v>0</v>
      </c>
      <c r="DR75" s="282">
        <v>0</v>
      </c>
      <c r="DS75" s="226"/>
      <c r="DT75" s="312">
        <v>0</v>
      </c>
      <c r="DU75" s="329">
        <v>0</v>
      </c>
      <c r="DV75" s="342">
        <v>0</v>
      </c>
      <c r="DW75" s="342">
        <v>0</v>
      </c>
      <c r="DX75" s="338">
        <v>0</v>
      </c>
      <c r="DY75" s="341">
        <v>0</v>
      </c>
      <c r="DZ75" s="341">
        <v>0</v>
      </c>
      <c r="EA75" s="341">
        <v>0</v>
      </c>
      <c r="EB75" s="338">
        <v>0</v>
      </c>
      <c r="EC75" s="338">
        <v>0</v>
      </c>
      <c r="ED75" s="338">
        <v>0</v>
      </c>
      <c r="EE75" s="339">
        <v>0</v>
      </c>
      <c r="EG75" s="312">
        <v>0</v>
      </c>
      <c r="EH75" s="274">
        <v>0</v>
      </c>
      <c r="EI75" s="274">
        <v>0</v>
      </c>
      <c r="EJ75" s="278">
        <v>0</v>
      </c>
      <c r="EK75" s="276">
        <v>-0.51999999999999991</v>
      </c>
      <c r="EL75" s="276">
        <v>-0.51999999999999991</v>
      </c>
      <c r="EM75" s="276">
        <v>-0.51999999999999991</v>
      </c>
      <c r="EN75" s="276">
        <v>-0.51999999999999991</v>
      </c>
      <c r="EO75" s="276">
        <v>-0.51999999999999991</v>
      </c>
      <c r="EP75" s="276">
        <v>-0.51999999999999991</v>
      </c>
      <c r="EQ75" s="276">
        <v>-0.51999999999999991</v>
      </c>
      <c r="ER75" s="313">
        <v>-0.51999999999999991</v>
      </c>
      <c r="ES75" s="283"/>
      <c r="ET75" s="312">
        <v>0</v>
      </c>
      <c r="EU75" s="274">
        <v>0</v>
      </c>
      <c r="EV75" s="274">
        <v>0</v>
      </c>
      <c r="EW75" s="278">
        <v>0</v>
      </c>
      <c r="EX75" s="338">
        <v>0</v>
      </c>
      <c r="EY75" s="341">
        <v>0</v>
      </c>
      <c r="EZ75" s="341">
        <v>0</v>
      </c>
      <c r="FA75" s="341">
        <v>0</v>
      </c>
      <c r="FB75" s="338">
        <v>0</v>
      </c>
      <c r="FC75" s="338">
        <v>0</v>
      </c>
      <c r="FD75" s="338">
        <v>0</v>
      </c>
      <c r="FE75" s="339">
        <v>0</v>
      </c>
      <c r="FG75" s="312">
        <v>0</v>
      </c>
      <c r="FH75" s="274">
        <v>0</v>
      </c>
      <c r="FI75" s="274">
        <v>0</v>
      </c>
      <c r="FJ75" s="278">
        <v>0</v>
      </c>
      <c r="FK75" s="276">
        <v>0</v>
      </c>
      <c r="FL75" s="276">
        <v>0</v>
      </c>
      <c r="FM75" s="276">
        <v>0</v>
      </c>
      <c r="FN75" s="276">
        <v>-0.1443668719291468</v>
      </c>
      <c r="FO75" s="276">
        <v>0</v>
      </c>
      <c r="FP75" s="276">
        <v>0</v>
      </c>
      <c r="FQ75" s="276">
        <v>0</v>
      </c>
      <c r="FR75" s="313">
        <v>0</v>
      </c>
      <c r="FS75" s="283"/>
      <c r="FT75" s="408">
        <v>0</v>
      </c>
      <c r="FU75" s="409">
        <v>240</v>
      </c>
      <c r="FV75" s="409">
        <v>9</v>
      </c>
      <c r="FW75" s="409">
        <v>-240</v>
      </c>
      <c r="FX75" s="410">
        <v>-1</v>
      </c>
      <c r="FY75" s="411">
        <v>0</v>
      </c>
      <c r="FZ75" s="412">
        <v>4.16</v>
      </c>
      <c r="GA75" s="412">
        <v>0.1443668719291468</v>
      </c>
      <c r="GB75" s="412">
        <v>-4.16</v>
      </c>
      <c r="GC75" s="412">
        <v>-4.1599999999999993</v>
      </c>
      <c r="GD75" s="412">
        <v>0</v>
      </c>
      <c r="GE75" s="412">
        <v>-0.1443668719291468</v>
      </c>
      <c r="GF75" s="413">
        <v>0</v>
      </c>
      <c r="GG75" s="214">
        <v>0</v>
      </c>
      <c r="GH75" s="286">
        <v>0</v>
      </c>
      <c r="GI75" s="260">
        <v>30</v>
      </c>
      <c r="GJ75" s="260">
        <v>0</v>
      </c>
      <c r="GK75" s="409">
        <v>-30</v>
      </c>
      <c r="GL75" s="414">
        <v>-1</v>
      </c>
      <c r="GM75" s="275">
        <v>0</v>
      </c>
      <c r="GN75" s="275">
        <v>0.52</v>
      </c>
      <c r="GO75" s="275">
        <v>0</v>
      </c>
      <c r="GP75" s="412">
        <v>-0.52</v>
      </c>
      <c r="GQ75" s="275">
        <v>-0.51999999999999991</v>
      </c>
      <c r="GR75" s="277">
        <v>0</v>
      </c>
      <c r="GS75" s="275">
        <v>0</v>
      </c>
      <c r="GT75" s="284">
        <v>0</v>
      </c>
      <c r="GU75" s="292">
        <v>0</v>
      </c>
      <c r="GV75" s="345"/>
      <c r="GW75" s="293"/>
      <c r="GX75" s="294"/>
      <c r="GY75" s="293"/>
      <c r="GZ75" s="293"/>
      <c r="HA75" s="293"/>
      <c r="HB75" s="293"/>
      <c r="HC75" s="295"/>
    </row>
    <row r="76" spans="1:211" s="212" customFormat="1" ht="12.75" customHeight="1">
      <c r="A76" s="406"/>
      <c r="B76" s="328" t="s">
        <v>266</v>
      </c>
      <c r="C76" s="297" t="s">
        <v>135</v>
      </c>
      <c r="D76" s="299" t="s">
        <v>263</v>
      </c>
      <c r="E76" s="299" t="s">
        <v>267</v>
      </c>
      <c r="F76" s="382" t="s">
        <v>268</v>
      </c>
      <c r="G76" s="301">
        <v>0</v>
      </c>
      <c r="H76" s="301">
        <v>26.207999999999998</v>
      </c>
      <c r="I76" s="258">
        <v>29.995000000000001</v>
      </c>
      <c r="J76" s="302">
        <v>29.806999999999999</v>
      </c>
      <c r="K76" s="404">
        <v>29.664000000000001</v>
      </c>
      <c r="L76" s="405">
        <v>0</v>
      </c>
      <c r="M76" s="261">
        <v>56.261000000000003</v>
      </c>
      <c r="N76" s="405">
        <v>0</v>
      </c>
      <c r="O76" s="261">
        <v>0</v>
      </c>
      <c r="P76" s="405">
        <v>33.364999999999995</v>
      </c>
      <c r="Q76" s="261">
        <v>0</v>
      </c>
      <c r="R76" s="303">
        <v>0</v>
      </c>
      <c r="S76" s="261">
        <f t="shared" si="5"/>
        <v>33.364999999999995</v>
      </c>
      <c r="T76" s="305">
        <v>0</v>
      </c>
      <c r="U76" s="267">
        <v>15</v>
      </c>
      <c r="V76" s="259">
        <v>0</v>
      </c>
      <c r="W76" s="259">
        <v>15</v>
      </c>
      <c r="X76" s="259">
        <v>15</v>
      </c>
      <c r="Y76" s="259">
        <v>15</v>
      </c>
      <c r="Z76" s="259">
        <v>15</v>
      </c>
      <c r="AA76" s="259">
        <v>15</v>
      </c>
      <c r="AB76" s="259">
        <v>0</v>
      </c>
      <c r="AC76" s="259">
        <v>15</v>
      </c>
      <c r="AD76" s="259">
        <v>0</v>
      </c>
      <c r="AE76" s="268">
        <v>15</v>
      </c>
      <c r="AF76" s="209"/>
      <c r="AG76" s="305">
        <v>0</v>
      </c>
      <c r="AH76" s="267">
        <v>27</v>
      </c>
      <c r="AI76" s="259">
        <v>15</v>
      </c>
      <c r="AJ76" s="259">
        <v>29.54</v>
      </c>
      <c r="AK76" s="259">
        <v>30</v>
      </c>
      <c r="AL76" s="259">
        <v>0</v>
      </c>
      <c r="AM76" s="259">
        <v>58.88</v>
      </c>
      <c r="AN76" s="259">
        <v>2.6783999999999999</v>
      </c>
      <c r="AO76" s="259">
        <v>0</v>
      </c>
      <c r="AP76" s="259">
        <v>33.08</v>
      </c>
      <c r="AQ76" s="259">
        <v>0</v>
      </c>
      <c r="AR76" s="268">
        <v>0</v>
      </c>
      <c r="AS76" s="269">
        <v>0</v>
      </c>
      <c r="AT76" s="351">
        <v>0</v>
      </c>
      <c r="AU76" s="259">
        <v>107666.66666666667</v>
      </c>
      <c r="AV76" s="259">
        <v>107667.384564094</v>
      </c>
      <c r="AW76" s="259">
        <v>107670.27879357197</v>
      </c>
      <c r="AX76" s="336">
        <v>107666.66666666664</v>
      </c>
      <c r="AY76" s="336">
        <v>0</v>
      </c>
      <c r="AZ76" s="335">
        <v>107666.28392669876</v>
      </c>
      <c r="BA76" s="335">
        <v>0</v>
      </c>
      <c r="BB76" s="335">
        <v>0</v>
      </c>
      <c r="BC76" s="335">
        <v>107666.02127978421</v>
      </c>
      <c r="BD76" s="335">
        <v>0</v>
      </c>
      <c r="BE76" s="308">
        <v>0</v>
      </c>
      <c r="BF76" s="209"/>
      <c r="BG76" s="305">
        <v>0</v>
      </c>
      <c r="BH76" s="259">
        <v>89347.536959657169</v>
      </c>
      <c r="BI76" s="259">
        <v>107667.384564094</v>
      </c>
      <c r="BJ76" s="259">
        <v>89347.536959657169</v>
      </c>
      <c r="BK76" s="259">
        <v>89347.536959657169</v>
      </c>
      <c r="BL76" s="259">
        <v>89347.536959657169</v>
      </c>
      <c r="BM76" s="259">
        <v>89347.536959657169</v>
      </c>
      <c r="BN76" s="259">
        <v>89347.536959657169</v>
      </c>
      <c r="BO76" s="259">
        <v>0</v>
      </c>
      <c r="BP76" s="259">
        <v>89347.536959657169</v>
      </c>
      <c r="BQ76" s="259">
        <v>0</v>
      </c>
      <c r="BR76" s="268">
        <v>89347.536959657169</v>
      </c>
      <c r="BS76" s="209"/>
      <c r="BT76" s="389">
        <v>0</v>
      </c>
      <c r="BU76" s="307">
        <v>107662.34168681422</v>
      </c>
      <c r="BV76" s="307">
        <v>107662.34168681421</v>
      </c>
      <c r="BW76" s="307">
        <v>107662.34168681422</v>
      </c>
      <c r="BX76" s="307">
        <v>107662.34168681421</v>
      </c>
      <c r="BY76" s="307">
        <v>0</v>
      </c>
      <c r="BZ76" s="307">
        <v>107662.34168681422</v>
      </c>
      <c r="CA76" s="307">
        <v>107662.34168681421</v>
      </c>
      <c r="CB76" s="307">
        <v>0</v>
      </c>
      <c r="CC76" s="307">
        <v>107662.34168681422</v>
      </c>
      <c r="CD76" s="307">
        <v>0</v>
      </c>
      <c r="CE76" s="308">
        <v>0</v>
      </c>
      <c r="CG76" s="326">
        <v>0</v>
      </c>
      <c r="CH76" s="342">
        <v>0.2821728</v>
      </c>
      <c r="CI76" s="342">
        <v>0.32294831999999996</v>
      </c>
      <c r="CJ76" s="342">
        <v>0.32093279999999996</v>
      </c>
      <c r="CK76" s="342">
        <v>0.31938239999999996</v>
      </c>
      <c r="CL76" s="415">
        <v>0</v>
      </c>
      <c r="CM76" s="412">
        <v>0.60574127999999994</v>
      </c>
      <c r="CN76" s="412">
        <v>0</v>
      </c>
      <c r="CO76" s="412">
        <v>0</v>
      </c>
      <c r="CP76" s="412">
        <v>0.35922767999999999</v>
      </c>
      <c r="CQ76" s="412">
        <v>0</v>
      </c>
      <c r="CR76" s="413">
        <v>0</v>
      </c>
      <c r="CS76" s="390"/>
      <c r="CT76" s="273">
        <v>0</v>
      </c>
      <c r="CU76" s="278">
        <v>0.13402130543948576</v>
      </c>
      <c r="CV76" s="278">
        <v>0</v>
      </c>
      <c r="CW76" s="278">
        <v>0.13402130543948576</v>
      </c>
      <c r="CX76" s="278">
        <v>0.13402130543948576</v>
      </c>
      <c r="CY76" s="278">
        <v>0.13402130543948576</v>
      </c>
      <c r="CZ76" s="278">
        <v>0.13402130543948576</v>
      </c>
      <c r="DA76" s="278">
        <v>0.13402130543948576</v>
      </c>
      <c r="DB76" s="278">
        <v>0</v>
      </c>
      <c r="DC76" s="278">
        <v>0.13402130543948576</v>
      </c>
      <c r="DD76" s="278">
        <v>0</v>
      </c>
      <c r="DE76" s="278">
        <v>0.13402130543948576</v>
      </c>
      <c r="DF76" s="390">
        <f t="shared" si="6"/>
        <v>0.26804261087897152</v>
      </c>
      <c r="DG76" s="312">
        <v>0</v>
      </c>
      <c r="DH76" s="281">
        <v>0.29068832255439842</v>
      </c>
      <c r="DI76" s="278">
        <v>0.16149351253022132</v>
      </c>
      <c r="DJ76" s="278">
        <v>0.31803455734284919</v>
      </c>
      <c r="DK76" s="278">
        <v>0.32298702506044263</v>
      </c>
      <c r="DL76" s="278">
        <v>0</v>
      </c>
      <c r="DM76" s="278">
        <v>0.63391586785196219</v>
      </c>
      <c r="DN76" s="278">
        <v>2.8836281597396318E-2</v>
      </c>
      <c r="DO76" s="278">
        <v>0</v>
      </c>
      <c r="DP76" s="278">
        <v>0.35614702629998146</v>
      </c>
      <c r="DQ76" s="278">
        <v>0</v>
      </c>
      <c r="DR76" s="282">
        <v>0</v>
      </c>
      <c r="DS76" s="226"/>
      <c r="DT76" s="312">
        <v>0</v>
      </c>
      <c r="DU76" s="329">
        <v>4.8010775136130501E-2</v>
      </c>
      <c r="DV76" s="342">
        <v>0</v>
      </c>
      <c r="DW76" s="342">
        <v>5.4614596584349834E-2</v>
      </c>
      <c r="DX76" s="338">
        <v>5.4341866362872908E-2</v>
      </c>
      <c r="DY76" s="341">
        <v>0</v>
      </c>
      <c r="DZ76" s="341">
        <v>0.10306310231127269</v>
      </c>
      <c r="EA76" s="341">
        <v>0</v>
      </c>
      <c r="EB76" s="338">
        <v>0</v>
      </c>
      <c r="EC76" s="338">
        <v>6.1119622934103862E-2</v>
      </c>
      <c r="ED76" s="338">
        <v>0</v>
      </c>
      <c r="EE76" s="339">
        <v>0</v>
      </c>
      <c r="EG76" s="312">
        <v>0</v>
      </c>
      <c r="EH76" s="274">
        <v>0.10014071942438374</v>
      </c>
      <c r="EI76" s="274">
        <v>0.32294831999999996</v>
      </c>
      <c r="EJ76" s="278">
        <v>0.13229689797616437</v>
      </c>
      <c r="EK76" s="276">
        <v>0.13101922819764128</v>
      </c>
      <c r="EL76" s="276">
        <v>-0.13402130543948576</v>
      </c>
      <c r="EM76" s="276">
        <v>0.36865687224924143</v>
      </c>
      <c r="EN76" s="276">
        <v>-0.13402130543948576</v>
      </c>
      <c r="EO76" s="276">
        <v>0</v>
      </c>
      <c r="EP76" s="276">
        <v>0.16408675162641034</v>
      </c>
      <c r="EQ76" s="276">
        <v>0</v>
      </c>
      <c r="ER76" s="313">
        <v>-0.13402130543948576</v>
      </c>
      <c r="ES76" s="283"/>
      <c r="ET76" s="312">
        <v>0</v>
      </c>
      <c r="EU76" s="274">
        <v>1.1334907197296899E-5</v>
      </c>
      <c r="EV76" s="274">
        <v>1.5126110400728714E-5</v>
      </c>
      <c r="EW76" s="278">
        <v>2.3658134112810266E-5</v>
      </c>
      <c r="EX76" s="338">
        <v>1.2829620234259917E-5</v>
      </c>
      <c r="EY76" s="341">
        <v>0</v>
      </c>
      <c r="EZ76" s="341">
        <v>2.2179435814379558E-5</v>
      </c>
      <c r="FA76" s="341">
        <v>0</v>
      </c>
      <c r="FB76" s="338">
        <v>0</v>
      </c>
      <c r="FC76" s="338">
        <v>1.2276961944363041E-5</v>
      </c>
      <c r="FD76" s="338">
        <v>0</v>
      </c>
      <c r="FE76" s="339">
        <v>0</v>
      </c>
      <c r="FG76" s="312">
        <v>0</v>
      </c>
      <c r="FH76" s="274">
        <v>-8.5268574615957049E-3</v>
      </c>
      <c r="FI76" s="274">
        <v>0.16143968135937792</v>
      </c>
      <c r="FJ76" s="278">
        <v>2.8745845230379336E-3</v>
      </c>
      <c r="FK76" s="276">
        <v>-3.6174546806769414E-3</v>
      </c>
      <c r="FL76" s="276">
        <v>0</v>
      </c>
      <c r="FM76" s="276">
        <v>-2.8196767287776644E-2</v>
      </c>
      <c r="FN76" s="276">
        <v>-2.8836281597396318E-2</v>
      </c>
      <c r="FO76" s="276">
        <v>0</v>
      </c>
      <c r="FP76" s="276">
        <v>3.0683767380741689E-3</v>
      </c>
      <c r="FQ76" s="276">
        <v>0</v>
      </c>
      <c r="FR76" s="313">
        <v>0</v>
      </c>
      <c r="FS76" s="283"/>
      <c r="FT76" s="408">
        <v>205.3</v>
      </c>
      <c r="FU76" s="409">
        <v>120</v>
      </c>
      <c r="FV76" s="409">
        <v>196.17840000000001</v>
      </c>
      <c r="FW76" s="409">
        <v>85.300000000000011</v>
      </c>
      <c r="FX76" s="410">
        <v>0.71083333333333343</v>
      </c>
      <c r="FY76" s="416">
        <v>2.2104052799999998</v>
      </c>
      <c r="FZ76" s="412">
        <v>1.0721704435158861</v>
      </c>
      <c r="GA76" s="412">
        <v>2.1121025932372519</v>
      </c>
      <c r="GB76" s="412">
        <v>1.1382348364841137</v>
      </c>
      <c r="GC76" s="412">
        <v>0.81708487315538381</v>
      </c>
      <c r="GD76" s="412">
        <v>0.3211499633287298</v>
      </c>
      <c r="GE76" s="412">
        <v>9.8205281593044397E-2</v>
      </c>
      <c r="GF76" s="413">
        <v>9.7405169703838391E-5</v>
      </c>
      <c r="GG76" s="214">
        <v>0</v>
      </c>
      <c r="GH76" s="286">
        <v>0</v>
      </c>
      <c r="GI76" s="260">
        <v>15</v>
      </c>
      <c r="GJ76" s="260">
        <v>0</v>
      </c>
      <c r="GK76" s="409">
        <v>-15</v>
      </c>
      <c r="GL76" s="414">
        <v>-1</v>
      </c>
      <c r="GM76" s="275">
        <v>0</v>
      </c>
      <c r="GN76" s="275">
        <v>0.13402130543948576</v>
      </c>
      <c r="GO76" s="275">
        <v>0</v>
      </c>
      <c r="GP76" s="412">
        <v>-0.13402130543948576</v>
      </c>
      <c r="GQ76" s="275">
        <v>-0.13402130543948576</v>
      </c>
      <c r="GR76" s="277">
        <v>0</v>
      </c>
      <c r="GS76" s="275">
        <v>0</v>
      </c>
      <c r="GT76" s="284">
        <v>0</v>
      </c>
      <c r="GU76" s="292">
        <v>0</v>
      </c>
      <c r="GV76" s="345"/>
      <c r="GW76" s="293"/>
      <c r="GX76" s="294"/>
      <c r="GY76" s="293"/>
      <c r="GZ76" s="293"/>
      <c r="HA76" s="293"/>
      <c r="HB76" s="293"/>
      <c r="HC76" s="295"/>
    </row>
    <row r="77" spans="1:211" s="212" customFormat="1" ht="12.75" customHeight="1">
      <c r="A77" s="406"/>
      <c r="B77" s="328" t="s">
        <v>269</v>
      </c>
      <c r="C77" s="297" t="s">
        <v>135</v>
      </c>
      <c r="D77" s="299" t="s">
        <v>263</v>
      </c>
      <c r="E77" s="299" t="s">
        <v>270</v>
      </c>
      <c r="F77" s="382" t="s">
        <v>271</v>
      </c>
      <c r="G77" s="301">
        <v>0</v>
      </c>
      <c r="H77" s="301">
        <v>0</v>
      </c>
      <c r="I77" s="258">
        <v>0</v>
      </c>
      <c r="J77" s="302">
        <v>0</v>
      </c>
      <c r="K77" s="404">
        <v>0</v>
      </c>
      <c r="L77" s="405">
        <v>0</v>
      </c>
      <c r="M77" s="261">
        <v>0</v>
      </c>
      <c r="N77" s="405">
        <v>9.6229999999999993</v>
      </c>
      <c r="O77" s="261">
        <v>20.963000000000001</v>
      </c>
      <c r="P77" s="405">
        <v>6.2750000000000004</v>
      </c>
      <c r="Q77" s="261">
        <v>0</v>
      </c>
      <c r="R77" s="303">
        <v>0</v>
      </c>
      <c r="S77" s="261">
        <f t="shared" si="5"/>
        <v>6.2750000000000004</v>
      </c>
      <c r="T77" s="305">
        <v>0</v>
      </c>
      <c r="U77" s="267">
        <v>0</v>
      </c>
      <c r="V77" s="259">
        <v>15</v>
      </c>
      <c r="W77" s="259">
        <v>15</v>
      </c>
      <c r="X77" s="259">
        <v>0</v>
      </c>
      <c r="Y77" s="259">
        <v>15</v>
      </c>
      <c r="Z77" s="259">
        <v>15</v>
      </c>
      <c r="AA77" s="259">
        <v>0</v>
      </c>
      <c r="AB77" s="259">
        <v>15</v>
      </c>
      <c r="AC77" s="259">
        <v>15</v>
      </c>
      <c r="AD77" s="259">
        <v>15</v>
      </c>
      <c r="AE77" s="268">
        <v>15</v>
      </c>
      <c r="AF77" s="209"/>
      <c r="AG77" s="305">
        <v>0</v>
      </c>
      <c r="AH77" s="267">
        <v>0</v>
      </c>
      <c r="AI77" s="259">
        <v>0</v>
      </c>
      <c r="AJ77" s="259">
        <v>0</v>
      </c>
      <c r="AK77" s="259">
        <v>0</v>
      </c>
      <c r="AL77" s="259">
        <v>0</v>
      </c>
      <c r="AM77" s="259">
        <v>0</v>
      </c>
      <c r="AN77" s="259">
        <v>0</v>
      </c>
      <c r="AO77" s="259">
        <v>0</v>
      </c>
      <c r="AP77" s="259">
        <v>0</v>
      </c>
      <c r="AQ77" s="259">
        <v>0</v>
      </c>
      <c r="AR77" s="268">
        <v>0</v>
      </c>
      <c r="AS77" s="269">
        <v>0</v>
      </c>
      <c r="AT77" s="351">
        <v>0</v>
      </c>
      <c r="AU77" s="259">
        <v>0</v>
      </c>
      <c r="AV77" s="259">
        <v>0</v>
      </c>
      <c r="AW77" s="259">
        <v>0</v>
      </c>
      <c r="AX77" s="336">
        <v>0</v>
      </c>
      <c r="AY77" s="336">
        <v>0</v>
      </c>
      <c r="AZ77" s="335">
        <v>0</v>
      </c>
      <c r="BA77" s="335">
        <v>142997.02795386052</v>
      </c>
      <c r="BB77" s="335">
        <v>142998.63569145638</v>
      </c>
      <c r="BC77" s="335">
        <v>142995.44223107569</v>
      </c>
      <c r="BD77" s="335">
        <v>0</v>
      </c>
      <c r="BE77" s="308">
        <v>0</v>
      </c>
      <c r="BF77" s="209"/>
      <c r="BG77" s="305">
        <v>0</v>
      </c>
      <c r="BH77" s="259">
        <v>0</v>
      </c>
      <c r="BI77" s="259">
        <v>91114.601807368061</v>
      </c>
      <c r="BJ77" s="259">
        <v>91114.601807368061</v>
      </c>
      <c r="BK77" s="259">
        <v>0</v>
      </c>
      <c r="BL77" s="259">
        <v>91114.601807368061</v>
      </c>
      <c r="BM77" s="259">
        <v>91114.601807368061</v>
      </c>
      <c r="BN77" s="259">
        <v>142997.02795386052</v>
      </c>
      <c r="BO77" s="259">
        <v>91114.601807368061</v>
      </c>
      <c r="BP77" s="259">
        <v>91114.601807368061</v>
      </c>
      <c r="BQ77" s="259">
        <v>91114.601807368061</v>
      </c>
      <c r="BR77" s="268">
        <v>91114.601807368061</v>
      </c>
      <c r="BS77" s="209"/>
      <c r="BT77" s="389">
        <v>0</v>
      </c>
      <c r="BU77" s="307">
        <v>0</v>
      </c>
      <c r="BV77" s="307">
        <v>0</v>
      </c>
      <c r="BW77" s="307">
        <v>0</v>
      </c>
      <c r="BX77" s="307">
        <v>0</v>
      </c>
      <c r="BY77" s="307">
        <v>0</v>
      </c>
      <c r="BZ77" s="307">
        <v>0</v>
      </c>
      <c r="CA77" s="307">
        <v>0</v>
      </c>
      <c r="CB77" s="307">
        <v>0</v>
      </c>
      <c r="CC77" s="307">
        <v>0</v>
      </c>
      <c r="CD77" s="307">
        <v>0</v>
      </c>
      <c r="CE77" s="308">
        <v>0</v>
      </c>
      <c r="CG77" s="326">
        <v>0</v>
      </c>
      <c r="CH77" s="342">
        <v>0</v>
      </c>
      <c r="CI77" s="342">
        <v>0</v>
      </c>
      <c r="CJ77" s="342">
        <v>0</v>
      </c>
      <c r="CK77" s="342">
        <v>0</v>
      </c>
      <c r="CL77" s="415">
        <v>0</v>
      </c>
      <c r="CM77" s="412">
        <v>0</v>
      </c>
      <c r="CN77" s="412">
        <v>0.13760603999999999</v>
      </c>
      <c r="CO77" s="412">
        <v>0.29976804000000001</v>
      </c>
      <c r="CP77" s="412">
        <v>8.9729639999999999E-2</v>
      </c>
      <c r="CQ77" s="412">
        <v>0</v>
      </c>
      <c r="CR77" s="413">
        <v>0</v>
      </c>
      <c r="CS77" s="390"/>
      <c r="CT77" s="273">
        <v>0</v>
      </c>
      <c r="CU77" s="278">
        <v>0</v>
      </c>
      <c r="CV77" s="278">
        <v>0.13667190271105209</v>
      </c>
      <c r="CW77" s="278">
        <v>0.13667190271105209</v>
      </c>
      <c r="CX77" s="278">
        <v>0</v>
      </c>
      <c r="CY77" s="278">
        <v>0.13667190271105209</v>
      </c>
      <c r="CZ77" s="278">
        <v>0.13667190271105209</v>
      </c>
      <c r="DA77" s="278">
        <v>0</v>
      </c>
      <c r="DB77" s="278">
        <v>0.13667190271105209</v>
      </c>
      <c r="DC77" s="278">
        <v>0.13667190271105209</v>
      </c>
      <c r="DD77" s="278">
        <v>0.13667190271105209</v>
      </c>
      <c r="DE77" s="278">
        <v>0.13667190271105209</v>
      </c>
      <c r="DF77" s="390">
        <f t="shared" si="6"/>
        <v>0.41001570813315624</v>
      </c>
      <c r="DG77" s="312">
        <v>0</v>
      </c>
      <c r="DH77" s="281">
        <v>0</v>
      </c>
      <c r="DI77" s="278">
        <v>0</v>
      </c>
      <c r="DJ77" s="278">
        <v>0</v>
      </c>
      <c r="DK77" s="278">
        <v>0</v>
      </c>
      <c r="DL77" s="278">
        <v>0</v>
      </c>
      <c r="DM77" s="278">
        <v>0</v>
      </c>
      <c r="DN77" s="278">
        <v>0</v>
      </c>
      <c r="DO77" s="278">
        <v>0</v>
      </c>
      <c r="DP77" s="278">
        <v>0</v>
      </c>
      <c r="DQ77" s="278">
        <v>0</v>
      </c>
      <c r="DR77" s="282">
        <v>0</v>
      </c>
      <c r="DS77" s="226"/>
      <c r="DT77" s="312">
        <v>0</v>
      </c>
      <c r="DU77" s="329">
        <v>0</v>
      </c>
      <c r="DV77" s="342">
        <v>0</v>
      </c>
      <c r="DW77" s="342">
        <v>0</v>
      </c>
      <c r="DX77" s="338">
        <v>0</v>
      </c>
      <c r="DY77" s="341">
        <v>0</v>
      </c>
      <c r="DZ77" s="341">
        <v>0</v>
      </c>
      <c r="EA77" s="341">
        <v>0</v>
      </c>
      <c r="EB77" s="338">
        <v>0.10876450023121435</v>
      </c>
      <c r="EC77" s="338">
        <v>3.2555227365876543E-2</v>
      </c>
      <c r="ED77" s="338">
        <v>0</v>
      </c>
      <c r="EE77" s="339">
        <v>0</v>
      </c>
      <c r="EG77" s="312">
        <v>0</v>
      </c>
      <c r="EH77" s="274">
        <v>0</v>
      </c>
      <c r="EI77" s="274">
        <v>-0.13667190271105209</v>
      </c>
      <c r="EJ77" s="278">
        <v>-0.13667190271105209</v>
      </c>
      <c r="EK77" s="276">
        <v>0</v>
      </c>
      <c r="EL77" s="276">
        <v>-0.13667190271105209</v>
      </c>
      <c r="EM77" s="276">
        <v>-0.13667190271105209</v>
      </c>
      <c r="EN77" s="276">
        <v>0.13760603999999996</v>
      </c>
      <c r="EO77" s="276">
        <v>5.4331637057733584E-2</v>
      </c>
      <c r="EP77" s="276">
        <v>-7.9497490076928634E-2</v>
      </c>
      <c r="EQ77" s="276">
        <v>-0.13667190271105209</v>
      </c>
      <c r="ER77" s="313">
        <v>-0.13667190271105209</v>
      </c>
      <c r="ES77" s="283"/>
      <c r="ET77" s="312">
        <v>0</v>
      </c>
      <c r="EU77" s="274">
        <v>0</v>
      </c>
      <c r="EV77" s="274">
        <v>0</v>
      </c>
      <c r="EW77" s="278">
        <v>0</v>
      </c>
      <c r="EX77" s="338">
        <v>0</v>
      </c>
      <c r="EY77" s="341">
        <v>0</v>
      </c>
      <c r="EZ77" s="341">
        <v>0</v>
      </c>
      <c r="FA77" s="341">
        <v>0.13760603999999996</v>
      </c>
      <c r="FB77" s="338">
        <v>0.29976804000000001</v>
      </c>
      <c r="FC77" s="338">
        <v>8.9729639999999999E-2</v>
      </c>
      <c r="FD77" s="338">
        <v>0</v>
      </c>
      <c r="FE77" s="339">
        <v>0</v>
      </c>
      <c r="FG77" s="312">
        <v>0</v>
      </c>
      <c r="FH77" s="274">
        <v>0</v>
      </c>
      <c r="FI77" s="274">
        <v>0</v>
      </c>
      <c r="FJ77" s="278">
        <v>0</v>
      </c>
      <c r="FK77" s="276">
        <v>0</v>
      </c>
      <c r="FL77" s="276">
        <v>0</v>
      </c>
      <c r="FM77" s="276">
        <v>0</v>
      </c>
      <c r="FN77" s="276">
        <v>0</v>
      </c>
      <c r="FO77" s="276">
        <v>0</v>
      </c>
      <c r="FP77" s="276">
        <v>0</v>
      </c>
      <c r="FQ77" s="276">
        <v>0</v>
      </c>
      <c r="FR77" s="313">
        <v>0</v>
      </c>
      <c r="FS77" s="283"/>
      <c r="FT77" s="408">
        <v>36.860999999999997</v>
      </c>
      <c r="FU77" s="409">
        <v>120</v>
      </c>
      <c r="FV77" s="409">
        <v>0</v>
      </c>
      <c r="FW77" s="409">
        <v>-83.13900000000001</v>
      </c>
      <c r="FX77" s="410">
        <v>-0.69282500000000014</v>
      </c>
      <c r="FY77" s="416">
        <v>0.52710371999999994</v>
      </c>
      <c r="FZ77" s="412">
        <v>1.0933752216884167</v>
      </c>
      <c r="GA77" s="412">
        <v>0</v>
      </c>
      <c r="GB77" s="412">
        <v>-0.56627150168841678</v>
      </c>
      <c r="GC77" s="412">
        <v>-0.70759122928550766</v>
      </c>
      <c r="GD77" s="412">
        <v>0.14131972759709088</v>
      </c>
      <c r="GE77" s="412">
        <v>0</v>
      </c>
      <c r="GF77" s="413">
        <v>0.52710371999999994</v>
      </c>
      <c r="GG77" s="214">
        <v>0</v>
      </c>
      <c r="GH77" s="286">
        <v>0</v>
      </c>
      <c r="GI77" s="260">
        <v>15</v>
      </c>
      <c r="GJ77" s="260">
        <v>0</v>
      </c>
      <c r="GK77" s="409">
        <v>-15</v>
      </c>
      <c r="GL77" s="414">
        <v>-1</v>
      </c>
      <c r="GM77" s="275">
        <v>0</v>
      </c>
      <c r="GN77" s="275">
        <v>0.13667190271105209</v>
      </c>
      <c r="GO77" s="275">
        <v>0</v>
      </c>
      <c r="GP77" s="412">
        <v>-0.13667190271105209</v>
      </c>
      <c r="GQ77" s="275">
        <v>-0.13667190271105209</v>
      </c>
      <c r="GR77" s="277">
        <v>0</v>
      </c>
      <c r="GS77" s="275">
        <v>0</v>
      </c>
      <c r="GT77" s="284">
        <v>0</v>
      </c>
      <c r="GU77" s="292">
        <v>0</v>
      </c>
      <c r="GV77" s="345"/>
      <c r="GW77" s="293"/>
      <c r="GX77" s="294"/>
      <c r="GY77" s="293"/>
      <c r="GZ77" s="293"/>
      <c r="HA77" s="293"/>
      <c r="HB77" s="293"/>
      <c r="HC77" s="295"/>
    </row>
    <row r="78" spans="1:211" s="212" customFormat="1" ht="38.25">
      <c r="A78" s="406"/>
      <c r="B78" s="328"/>
      <c r="C78" s="297" t="s">
        <v>135</v>
      </c>
      <c r="D78" s="299" t="s">
        <v>272</v>
      </c>
      <c r="E78" s="299" t="s">
        <v>273</v>
      </c>
      <c r="F78" s="382" t="s">
        <v>274</v>
      </c>
      <c r="G78" s="301">
        <v>0</v>
      </c>
      <c r="H78" s="301">
        <v>0</v>
      </c>
      <c r="I78" s="258">
        <v>0</v>
      </c>
      <c r="J78" s="302">
        <v>0</v>
      </c>
      <c r="K78" s="404">
        <v>0</v>
      </c>
      <c r="L78" s="405">
        <v>0</v>
      </c>
      <c r="M78" s="261">
        <v>0</v>
      </c>
      <c r="N78" s="405">
        <v>0</v>
      </c>
      <c r="O78" s="261">
        <v>0</v>
      </c>
      <c r="P78" s="405">
        <v>0</v>
      </c>
      <c r="Q78" s="261">
        <v>0</v>
      </c>
      <c r="R78" s="303">
        <v>0</v>
      </c>
      <c r="S78" s="261">
        <f t="shared" si="5"/>
        <v>0</v>
      </c>
      <c r="T78" s="305">
        <v>0</v>
      </c>
      <c r="U78" s="267">
        <v>0</v>
      </c>
      <c r="V78" s="259">
        <v>0</v>
      </c>
      <c r="W78" s="259">
        <v>0</v>
      </c>
      <c r="X78" s="259">
        <v>0</v>
      </c>
      <c r="Y78" s="259">
        <v>0</v>
      </c>
      <c r="Z78" s="259">
        <v>0</v>
      </c>
      <c r="AA78" s="259">
        <v>0</v>
      </c>
      <c r="AB78" s="259">
        <v>0</v>
      </c>
      <c r="AC78" s="259">
        <v>0</v>
      </c>
      <c r="AD78" s="259">
        <v>0</v>
      </c>
      <c r="AE78" s="268">
        <v>0</v>
      </c>
      <c r="AF78" s="209"/>
      <c r="AG78" s="305">
        <v>0</v>
      </c>
      <c r="AH78" s="267">
        <v>0</v>
      </c>
      <c r="AI78" s="259">
        <v>0</v>
      </c>
      <c r="AJ78" s="259">
        <v>0</v>
      </c>
      <c r="AK78" s="259">
        <v>0</v>
      </c>
      <c r="AL78" s="259">
        <v>0</v>
      </c>
      <c r="AM78" s="259">
        <v>0</v>
      </c>
      <c r="AN78" s="259">
        <v>0</v>
      </c>
      <c r="AO78" s="259">
        <v>0</v>
      </c>
      <c r="AP78" s="259">
        <v>0</v>
      </c>
      <c r="AQ78" s="259">
        <v>0</v>
      </c>
      <c r="AR78" s="268">
        <v>0</v>
      </c>
      <c r="AS78" s="269">
        <v>0</v>
      </c>
      <c r="AT78" s="351">
        <v>0</v>
      </c>
      <c r="AU78" s="259">
        <v>0</v>
      </c>
      <c r="AV78" s="259">
        <v>0</v>
      </c>
      <c r="AW78" s="259">
        <v>0</v>
      </c>
      <c r="AX78" s="336">
        <v>0</v>
      </c>
      <c r="AY78" s="336">
        <v>0</v>
      </c>
      <c r="AZ78" s="335">
        <v>0</v>
      </c>
      <c r="BA78" s="335">
        <v>0</v>
      </c>
      <c r="BB78" s="335">
        <v>0</v>
      </c>
      <c r="BC78" s="335">
        <v>0</v>
      </c>
      <c r="BD78" s="335">
        <v>0</v>
      </c>
      <c r="BE78" s="308">
        <v>0</v>
      </c>
      <c r="BF78" s="209"/>
      <c r="BG78" s="305">
        <v>0</v>
      </c>
      <c r="BH78" s="259">
        <v>0</v>
      </c>
      <c r="BI78" s="259">
        <v>0</v>
      </c>
      <c r="BJ78" s="259">
        <v>0</v>
      </c>
      <c r="BK78" s="259">
        <v>0</v>
      </c>
      <c r="BL78" s="259">
        <v>0</v>
      </c>
      <c r="BM78" s="259">
        <v>0</v>
      </c>
      <c r="BN78" s="259">
        <v>0</v>
      </c>
      <c r="BO78" s="259">
        <v>0</v>
      </c>
      <c r="BP78" s="259">
        <v>0</v>
      </c>
      <c r="BQ78" s="259">
        <v>0</v>
      </c>
      <c r="BR78" s="268">
        <v>0</v>
      </c>
      <c r="BS78" s="209"/>
      <c r="BT78" s="389">
        <v>0</v>
      </c>
      <c r="BU78" s="307">
        <v>0</v>
      </c>
      <c r="BV78" s="307">
        <v>0</v>
      </c>
      <c r="BW78" s="307">
        <v>0</v>
      </c>
      <c r="BX78" s="307">
        <v>0</v>
      </c>
      <c r="BY78" s="307">
        <v>0</v>
      </c>
      <c r="BZ78" s="307">
        <v>0</v>
      </c>
      <c r="CA78" s="307">
        <v>0</v>
      </c>
      <c r="CB78" s="307">
        <v>0</v>
      </c>
      <c r="CC78" s="307">
        <v>0</v>
      </c>
      <c r="CD78" s="307">
        <v>0</v>
      </c>
      <c r="CE78" s="308">
        <v>0</v>
      </c>
      <c r="CG78" s="326">
        <v>0</v>
      </c>
      <c r="CH78" s="342">
        <v>0</v>
      </c>
      <c r="CI78" s="342">
        <v>0</v>
      </c>
      <c r="CJ78" s="342">
        <v>0</v>
      </c>
      <c r="CK78" s="342">
        <v>0</v>
      </c>
      <c r="CL78" s="415">
        <v>0</v>
      </c>
      <c r="CM78" s="412">
        <v>0</v>
      </c>
      <c r="CN78" s="412">
        <v>0</v>
      </c>
      <c r="CO78" s="412">
        <v>0</v>
      </c>
      <c r="CP78" s="412">
        <v>0</v>
      </c>
      <c r="CQ78" s="412">
        <v>0</v>
      </c>
      <c r="CR78" s="413">
        <v>0</v>
      </c>
      <c r="CS78" s="390"/>
      <c r="CT78" s="273">
        <v>0</v>
      </c>
      <c r="CU78" s="278">
        <v>0</v>
      </c>
      <c r="CV78" s="278">
        <v>0</v>
      </c>
      <c r="CW78" s="278">
        <v>0</v>
      </c>
      <c r="CX78" s="278">
        <v>0</v>
      </c>
      <c r="CY78" s="278">
        <v>0</v>
      </c>
      <c r="CZ78" s="278">
        <v>0</v>
      </c>
      <c r="DA78" s="278">
        <v>0</v>
      </c>
      <c r="DB78" s="278">
        <v>0</v>
      </c>
      <c r="DC78" s="278">
        <v>0</v>
      </c>
      <c r="DD78" s="278">
        <v>0</v>
      </c>
      <c r="DE78" s="278">
        <v>0</v>
      </c>
      <c r="DF78" s="390">
        <f t="shared" si="6"/>
        <v>0</v>
      </c>
      <c r="DG78" s="312">
        <v>0</v>
      </c>
      <c r="DH78" s="281">
        <v>0</v>
      </c>
      <c r="DI78" s="278">
        <v>0</v>
      </c>
      <c r="DJ78" s="278">
        <v>0</v>
      </c>
      <c r="DK78" s="278">
        <v>0</v>
      </c>
      <c r="DL78" s="278">
        <v>0</v>
      </c>
      <c r="DM78" s="278">
        <v>0</v>
      </c>
      <c r="DN78" s="278">
        <v>0</v>
      </c>
      <c r="DO78" s="278">
        <v>0</v>
      </c>
      <c r="DP78" s="278">
        <v>0</v>
      </c>
      <c r="DQ78" s="278">
        <v>0</v>
      </c>
      <c r="DR78" s="282">
        <v>0</v>
      </c>
      <c r="DS78" s="226"/>
      <c r="DT78" s="312">
        <v>0</v>
      </c>
      <c r="DU78" s="329">
        <v>0</v>
      </c>
      <c r="DV78" s="342">
        <v>0</v>
      </c>
      <c r="DW78" s="342">
        <v>0</v>
      </c>
      <c r="DX78" s="338">
        <v>0</v>
      </c>
      <c r="DY78" s="341">
        <v>0</v>
      </c>
      <c r="DZ78" s="341">
        <v>0</v>
      </c>
      <c r="EA78" s="341">
        <v>0</v>
      </c>
      <c r="EB78" s="338">
        <v>0</v>
      </c>
      <c r="EC78" s="338">
        <v>0</v>
      </c>
      <c r="ED78" s="338">
        <v>0</v>
      </c>
      <c r="EE78" s="339">
        <v>0</v>
      </c>
      <c r="EG78" s="312">
        <v>0</v>
      </c>
      <c r="EH78" s="274">
        <v>0</v>
      </c>
      <c r="EI78" s="274">
        <v>0</v>
      </c>
      <c r="EJ78" s="278">
        <v>0</v>
      </c>
      <c r="EK78" s="276">
        <v>0</v>
      </c>
      <c r="EL78" s="276">
        <v>0</v>
      </c>
      <c r="EM78" s="276">
        <v>0</v>
      </c>
      <c r="EN78" s="276">
        <v>0</v>
      </c>
      <c r="EO78" s="276">
        <v>0</v>
      </c>
      <c r="EP78" s="276">
        <v>0</v>
      </c>
      <c r="EQ78" s="276">
        <v>0</v>
      </c>
      <c r="ER78" s="313">
        <v>0</v>
      </c>
      <c r="ES78" s="283"/>
      <c r="ET78" s="312">
        <v>0</v>
      </c>
      <c r="EU78" s="274">
        <v>0</v>
      </c>
      <c r="EV78" s="274">
        <v>0</v>
      </c>
      <c r="EW78" s="278">
        <v>0</v>
      </c>
      <c r="EX78" s="338">
        <v>0</v>
      </c>
      <c r="EY78" s="341">
        <v>0</v>
      </c>
      <c r="EZ78" s="341">
        <v>0</v>
      </c>
      <c r="FA78" s="341">
        <v>0</v>
      </c>
      <c r="FB78" s="338">
        <v>0</v>
      </c>
      <c r="FC78" s="338">
        <v>0</v>
      </c>
      <c r="FD78" s="338">
        <v>0</v>
      </c>
      <c r="FE78" s="339">
        <v>0</v>
      </c>
      <c r="FG78" s="312">
        <v>0</v>
      </c>
      <c r="FH78" s="274">
        <v>0</v>
      </c>
      <c r="FI78" s="274">
        <v>0</v>
      </c>
      <c r="FJ78" s="278">
        <v>0</v>
      </c>
      <c r="FK78" s="276">
        <v>0</v>
      </c>
      <c r="FL78" s="276">
        <v>0</v>
      </c>
      <c r="FM78" s="276">
        <v>0</v>
      </c>
      <c r="FN78" s="276">
        <v>0</v>
      </c>
      <c r="FO78" s="276">
        <v>0</v>
      </c>
      <c r="FP78" s="276">
        <v>0</v>
      </c>
      <c r="FQ78" s="276">
        <v>0</v>
      </c>
      <c r="FR78" s="313">
        <v>0</v>
      </c>
      <c r="FS78" s="283"/>
      <c r="FT78" s="408">
        <v>0</v>
      </c>
      <c r="FU78" s="409">
        <v>0</v>
      </c>
      <c r="FV78" s="409">
        <v>0</v>
      </c>
      <c r="FW78" s="409">
        <v>0</v>
      </c>
      <c r="FX78" s="410">
        <v>0</v>
      </c>
      <c r="FY78" s="411">
        <v>0</v>
      </c>
      <c r="FZ78" s="412">
        <v>0</v>
      </c>
      <c r="GA78" s="412">
        <v>0</v>
      </c>
      <c r="GB78" s="412">
        <v>0</v>
      </c>
      <c r="GC78" s="412">
        <v>0</v>
      </c>
      <c r="GD78" s="412">
        <v>0</v>
      </c>
      <c r="GE78" s="412">
        <v>0</v>
      </c>
      <c r="GF78" s="413">
        <v>0</v>
      </c>
      <c r="GG78" s="214">
        <v>0</v>
      </c>
      <c r="GH78" s="286">
        <v>0</v>
      </c>
      <c r="GI78" s="260">
        <v>0</v>
      </c>
      <c r="GJ78" s="260">
        <v>0</v>
      </c>
      <c r="GK78" s="409">
        <v>0</v>
      </c>
      <c r="GL78" s="414">
        <v>0</v>
      </c>
      <c r="GM78" s="275">
        <v>0</v>
      </c>
      <c r="GN78" s="275">
        <v>0</v>
      </c>
      <c r="GO78" s="275">
        <v>0</v>
      </c>
      <c r="GP78" s="412">
        <v>0</v>
      </c>
      <c r="GQ78" s="275">
        <v>0</v>
      </c>
      <c r="GR78" s="277">
        <v>0</v>
      </c>
      <c r="GS78" s="275">
        <v>0</v>
      </c>
      <c r="GT78" s="284">
        <v>0</v>
      </c>
      <c r="GU78" s="292">
        <v>0</v>
      </c>
      <c r="GV78" s="345"/>
      <c r="GW78" s="293"/>
      <c r="GX78" s="294"/>
      <c r="GY78" s="293"/>
      <c r="GZ78" s="293"/>
      <c r="HA78" s="293"/>
      <c r="HB78" s="293"/>
      <c r="HC78" s="295"/>
    </row>
    <row r="79" spans="1:211" s="212" customFormat="1">
      <c r="A79" s="406"/>
      <c r="B79" s="328" t="s">
        <v>275</v>
      </c>
      <c r="C79" s="297" t="s">
        <v>135</v>
      </c>
      <c r="D79" s="299" t="s">
        <v>52</v>
      </c>
      <c r="E79" s="299" t="s">
        <v>276</v>
      </c>
      <c r="F79" s="382" t="s">
        <v>277</v>
      </c>
      <c r="G79" s="301">
        <v>0</v>
      </c>
      <c r="H79" s="301">
        <v>0</v>
      </c>
      <c r="I79" s="258">
        <v>43.958999999999996</v>
      </c>
      <c r="J79" s="302">
        <v>25.081</v>
      </c>
      <c r="K79" s="404">
        <v>0</v>
      </c>
      <c r="L79" s="405">
        <v>29.474000000000007</v>
      </c>
      <c r="M79" s="261">
        <v>29.723999999999997</v>
      </c>
      <c r="N79" s="405">
        <v>32.374999999999993</v>
      </c>
      <c r="O79" s="261">
        <v>60.514000000000003</v>
      </c>
      <c r="P79" s="405">
        <v>0</v>
      </c>
      <c r="Q79" s="261">
        <v>0</v>
      </c>
      <c r="R79" s="303">
        <v>63.302000000000007</v>
      </c>
      <c r="S79" s="261">
        <f t="shared" si="5"/>
        <v>63.302000000000007</v>
      </c>
      <c r="T79" s="305">
        <v>15</v>
      </c>
      <c r="U79" s="267">
        <v>15</v>
      </c>
      <c r="V79" s="259">
        <v>15</v>
      </c>
      <c r="W79" s="259">
        <v>15</v>
      </c>
      <c r="X79" s="259">
        <v>15</v>
      </c>
      <c r="Y79" s="259">
        <v>15</v>
      </c>
      <c r="Z79" s="259">
        <v>15</v>
      </c>
      <c r="AA79" s="259">
        <v>15</v>
      </c>
      <c r="AB79" s="259">
        <v>15</v>
      </c>
      <c r="AC79" s="259">
        <v>15</v>
      </c>
      <c r="AD79" s="259">
        <v>15</v>
      </c>
      <c r="AE79" s="268">
        <v>15</v>
      </c>
      <c r="AF79" s="209"/>
      <c r="AG79" s="305">
        <v>0</v>
      </c>
      <c r="AH79" s="267">
        <v>0</v>
      </c>
      <c r="AI79" s="259">
        <v>45</v>
      </c>
      <c r="AJ79" s="259">
        <v>26.3</v>
      </c>
      <c r="AK79" s="259">
        <v>0.41249999999999998</v>
      </c>
      <c r="AL79" s="259">
        <v>30</v>
      </c>
      <c r="AM79" s="259">
        <v>30</v>
      </c>
      <c r="AN79" s="259">
        <v>33.5</v>
      </c>
      <c r="AO79" s="259">
        <v>61.353750000000005</v>
      </c>
      <c r="AP79" s="259">
        <v>0</v>
      </c>
      <c r="AQ79" s="259">
        <v>0</v>
      </c>
      <c r="AR79" s="268">
        <v>63.9</v>
      </c>
      <c r="AS79" s="269">
        <v>1.6118527834061595E-2</v>
      </c>
      <c r="AT79" s="351">
        <v>0</v>
      </c>
      <c r="AU79" s="259">
        <v>0</v>
      </c>
      <c r="AV79" s="259">
        <v>201666.07520644239</v>
      </c>
      <c r="AW79" s="259">
        <v>198497.24891352019</v>
      </c>
      <c r="AX79" s="336">
        <v>0</v>
      </c>
      <c r="AY79" s="336">
        <v>203536.15050553027</v>
      </c>
      <c r="AZ79" s="335">
        <v>198185.10294711345</v>
      </c>
      <c r="BA79" s="335">
        <v>200494.08494208497</v>
      </c>
      <c r="BB79" s="335">
        <v>209611.19740886413</v>
      </c>
      <c r="BC79" s="335">
        <v>0</v>
      </c>
      <c r="BD79" s="335">
        <v>0</v>
      </c>
      <c r="BE79" s="308">
        <v>209930.89475845944</v>
      </c>
      <c r="BF79" s="209"/>
      <c r="BG79" s="305">
        <v>178563.80197249999</v>
      </c>
      <c r="BH79" s="259">
        <v>178563.80197249999</v>
      </c>
      <c r="BI79" s="259">
        <v>178563.80197249999</v>
      </c>
      <c r="BJ79" s="259">
        <v>178563.80197249999</v>
      </c>
      <c r="BK79" s="259">
        <v>178563.80197249999</v>
      </c>
      <c r="BL79" s="259">
        <v>178563.80197249999</v>
      </c>
      <c r="BM79" s="259">
        <v>178563.80197249999</v>
      </c>
      <c r="BN79" s="259">
        <v>178563.80197249999</v>
      </c>
      <c r="BO79" s="259">
        <v>178563.80197249999</v>
      </c>
      <c r="BP79" s="259">
        <v>178563.80197249999</v>
      </c>
      <c r="BQ79" s="259">
        <v>178563.80197249999</v>
      </c>
      <c r="BR79" s="268">
        <v>178563.80197249999</v>
      </c>
      <c r="BS79" s="209"/>
      <c r="BT79" s="389">
        <v>0</v>
      </c>
      <c r="BU79" s="307">
        <v>0</v>
      </c>
      <c r="BV79" s="307">
        <v>200448.58176308873</v>
      </c>
      <c r="BW79" s="307">
        <v>191704.94016957504</v>
      </c>
      <c r="BX79" s="307">
        <v>186877.33920391678</v>
      </c>
      <c r="BY79" s="307">
        <v>199315.21815113976</v>
      </c>
      <c r="BZ79" s="307">
        <v>196898.09820384864</v>
      </c>
      <c r="CA79" s="307">
        <v>200038.93311427505</v>
      </c>
      <c r="CB79" s="307">
        <v>207951.5439238484</v>
      </c>
      <c r="CC79" s="307">
        <v>0</v>
      </c>
      <c r="CD79" s="307">
        <v>0</v>
      </c>
      <c r="CE79" s="308">
        <v>208711.91600568002</v>
      </c>
      <c r="CG79" s="326">
        <v>0</v>
      </c>
      <c r="CH79" s="342">
        <v>0</v>
      </c>
      <c r="CI79" s="342">
        <v>0.88650390000000001</v>
      </c>
      <c r="CJ79" s="342">
        <v>0.49785094999999996</v>
      </c>
      <c r="CK79" s="342">
        <v>0</v>
      </c>
      <c r="CL79" s="415">
        <v>0.59990244999999998</v>
      </c>
      <c r="CM79" s="412">
        <v>0.58908539999999998</v>
      </c>
      <c r="CN79" s="412">
        <v>0.6490996</v>
      </c>
      <c r="CO79" s="412">
        <v>1.2684412000000003</v>
      </c>
      <c r="CP79" s="412">
        <v>0</v>
      </c>
      <c r="CQ79" s="412">
        <v>0</v>
      </c>
      <c r="CR79" s="413">
        <v>1.3289045500000001</v>
      </c>
      <c r="CS79" s="390"/>
      <c r="CT79" s="273">
        <v>0.26784570295874999</v>
      </c>
      <c r="CU79" s="278">
        <v>0.26784570295874999</v>
      </c>
      <c r="CV79" s="278">
        <v>0.26784570295874999</v>
      </c>
      <c r="CW79" s="278">
        <v>0.26784570295874999</v>
      </c>
      <c r="CX79" s="278">
        <v>0.26784570295874999</v>
      </c>
      <c r="CY79" s="278">
        <v>0.26784570295874999</v>
      </c>
      <c r="CZ79" s="278">
        <v>0.26784570295874999</v>
      </c>
      <c r="DA79" s="278">
        <v>0.26784570295874999</v>
      </c>
      <c r="DB79" s="278">
        <v>0.26784570295874999</v>
      </c>
      <c r="DC79" s="278">
        <v>0.26784570295874999</v>
      </c>
      <c r="DD79" s="278">
        <v>0.26784570295874999</v>
      </c>
      <c r="DE79" s="278">
        <v>0.26784570295874999</v>
      </c>
      <c r="DF79" s="390">
        <f t="shared" si="6"/>
        <v>0.80353710887624996</v>
      </c>
      <c r="DG79" s="312">
        <v>0</v>
      </c>
      <c r="DH79" s="281">
        <v>0</v>
      </c>
      <c r="DI79" s="278">
        <v>0.90201861793389926</v>
      </c>
      <c r="DJ79" s="278">
        <v>0.50418399264598235</v>
      </c>
      <c r="DK79" s="278">
        <v>7.7086902421615667E-3</v>
      </c>
      <c r="DL79" s="278">
        <v>0.5979456544534193</v>
      </c>
      <c r="DM79" s="278">
        <v>0.59069429461154588</v>
      </c>
      <c r="DN79" s="278">
        <v>0.67013042593282135</v>
      </c>
      <c r="DO79" s="278">
        <v>1.2758607038017815</v>
      </c>
      <c r="DP79" s="278">
        <v>0</v>
      </c>
      <c r="DQ79" s="278">
        <v>0</v>
      </c>
      <c r="DR79" s="282">
        <v>1.3336691432762953</v>
      </c>
      <c r="DS79" s="226"/>
      <c r="DT79" s="312">
        <v>0</v>
      </c>
      <c r="DU79" s="329">
        <v>0</v>
      </c>
      <c r="DV79" s="342">
        <v>0.10155528290908737</v>
      </c>
      <c r="DW79" s="342">
        <v>4.9995078272772761E-2</v>
      </c>
      <c r="DX79" s="338">
        <v>0</v>
      </c>
      <c r="DY79" s="341">
        <v>7.3603500066253463E-2</v>
      </c>
      <c r="DZ79" s="341">
        <v>5.8322355016941052E-2</v>
      </c>
      <c r="EA79" s="341">
        <v>7.099929111403136E-2</v>
      </c>
      <c r="EB79" s="338">
        <v>0.18788020874361397</v>
      </c>
      <c r="EC79" s="338">
        <v>0</v>
      </c>
      <c r="ED79" s="338">
        <v>0</v>
      </c>
      <c r="EE79" s="339">
        <v>0.19855997075368054</v>
      </c>
      <c r="EG79" s="312">
        <v>-0.26784570295874999</v>
      </c>
      <c r="EH79" s="274">
        <v>-0.26784570295874999</v>
      </c>
      <c r="EI79" s="274">
        <v>0.51710291413216269</v>
      </c>
      <c r="EJ79" s="278">
        <v>0.18001016876847722</v>
      </c>
      <c r="EK79" s="276">
        <v>-0.26784570295874999</v>
      </c>
      <c r="EL79" s="276">
        <v>0.25845324697499661</v>
      </c>
      <c r="EM79" s="276">
        <v>0.26291734202430889</v>
      </c>
      <c r="EN79" s="276">
        <v>0.3102546059272186</v>
      </c>
      <c r="EO79" s="276">
        <v>0.81271528829763651</v>
      </c>
      <c r="EP79" s="276">
        <v>-0.26784570295874999</v>
      </c>
      <c r="EQ79" s="276">
        <v>-0.26784570295874999</v>
      </c>
      <c r="ER79" s="313">
        <v>0.86249887628756972</v>
      </c>
      <c r="ES79" s="283"/>
      <c r="ET79" s="312">
        <v>0</v>
      </c>
      <c r="EU79" s="274">
        <v>0</v>
      </c>
      <c r="EV79" s="274">
        <v>5.3519794276383299E-3</v>
      </c>
      <c r="EW79" s="278">
        <v>1.7035789560688824E-2</v>
      </c>
      <c r="EX79" s="338">
        <v>0</v>
      </c>
      <c r="EY79" s="341">
        <v>1.2440776021330577E-2</v>
      </c>
      <c r="EZ79" s="341">
        <v>3.8254928988803311E-3</v>
      </c>
      <c r="FA79" s="341">
        <v>1.4735540425346309E-3</v>
      </c>
      <c r="FB79" s="338">
        <v>1.0043227099224207E-2</v>
      </c>
      <c r="FC79" s="338">
        <v>0</v>
      </c>
      <c r="FD79" s="338">
        <v>0</v>
      </c>
      <c r="FE79" s="339">
        <v>7.7163793008443171E-3</v>
      </c>
      <c r="FG79" s="312">
        <v>0</v>
      </c>
      <c r="FH79" s="274">
        <v>0</v>
      </c>
      <c r="FI79" s="274">
        <v>-2.0866697361537616E-2</v>
      </c>
      <c r="FJ79" s="278">
        <v>-2.3368832206671221E-2</v>
      </c>
      <c r="FK79" s="276">
        <v>-7.7086902421615667E-3</v>
      </c>
      <c r="FL79" s="276">
        <v>-1.0483980474749806E-2</v>
      </c>
      <c r="FM79" s="276">
        <v>-5.4343875104262886E-3</v>
      </c>
      <c r="FN79" s="276">
        <v>-2.2504379975356086E-2</v>
      </c>
      <c r="FO79" s="276">
        <v>-1.7462730901005214E-2</v>
      </c>
      <c r="FP79" s="276">
        <v>0</v>
      </c>
      <c r="FQ79" s="276">
        <v>0</v>
      </c>
      <c r="FR79" s="313">
        <v>-1.2480972577139496E-2</v>
      </c>
      <c r="FS79" s="283"/>
      <c r="FT79" s="408">
        <v>284.42900000000003</v>
      </c>
      <c r="FU79" s="409">
        <v>180</v>
      </c>
      <c r="FV79" s="409">
        <v>290.46624999999995</v>
      </c>
      <c r="FW79" s="409">
        <v>104.42900000000003</v>
      </c>
      <c r="FX79" s="410">
        <v>0.58016111111111124</v>
      </c>
      <c r="FY79" s="416">
        <v>5.8197880500000005</v>
      </c>
      <c r="FZ79" s="412">
        <v>3.2141484355050007</v>
      </c>
      <c r="GA79" s="412">
        <v>5.8822115228979071</v>
      </c>
      <c r="GB79" s="412">
        <v>2.6056396144949998</v>
      </c>
      <c r="GC79" s="412">
        <v>1.8647239276186203</v>
      </c>
      <c r="GD79" s="412">
        <v>0.74091568687638043</v>
      </c>
      <c r="GE79" s="412">
        <v>-0.12031067124904729</v>
      </c>
      <c r="GF79" s="413">
        <v>5.7887198351141221E-2</v>
      </c>
      <c r="GG79" s="214">
        <v>0</v>
      </c>
      <c r="GH79" s="286">
        <v>63.302000000000007</v>
      </c>
      <c r="GI79" s="260">
        <v>15</v>
      </c>
      <c r="GJ79" s="260">
        <v>63.9</v>
      </c>
      <c r="GK79" s="409">
        <v>48.302000000000007</v>
      </c>
      <c r="GL79" s="414">
        <v>3.220133333333334</v>
      </c>
      <c r="GM79" s="275">
        <v>1.3289045500000001</v>
      </c>
      <c r="GN79" s="275">
        <v>0.26784570295874999</v>
      </c>
      <c r="GO79" s="275">
        <v>1.3336691432762953</v>
      </c>
      <c r="GP79" s="412">
        <v>1.0610588470412501</v>
      </c>
      <c r="GQ79" s="275">
        <v>0.86249887628756972</v>
      </c>
      <c r="GR79" s="277">
        <v>0.19855997075368054</v>
      </c>
      <c r="GS79" s="275">
        <v>-1.2480972577139496E-2</v>
      </c>
      <c r="GT79" s="284">
        <v>7.7163793008443171E-3</v>
      </c>
      <c r="GU79" s="292">
        <v>-4.478273247171783E-2</v>
      </c>
      <c r="GV79" s="345">
        <v>0</v>
      </c>
      <c r="GW79" s="293">
        <v>1.3657108690323194</v>
      </c>
      <c r="GX79" s="294"/>
      <c r="GY79" s="293">
        <v>-6.2423472897906507E-2</v>
      </c>
      <c r="GZ79" s="293">
        <v>4.3715031594615539E-16</v>
      </c>
      <c r="HA79" s="293">
        <v>-4.7645932762951926E-3</v>
      </c>
      <c r="HB79" s="293">
        <v>7.7163793008443032E-3</v>
      </c>
      <c r="HC79" s="295">
        <v>1.3736872824717179</v>
      </c>
    </row>
    <row r="80" spans="1:211" s="212" customFormat="1" ht="12" customHeight="1">
      <c r="A80" s="406"/>
      <c r="B80" s="328" t="s">
        <v>278</v>
      </c>
      <c r="C80" s="297" t="s">
        <v>135</v>
      </c>
      <c r="D80" s="299" t="s">
        <v>52</v>
      </c>
      <c r="E80" s="299" t="s">
        <v>276</v>
      </c>
      <c r="F80" s="382" t="s">
        <v>279</v>
      </c>
      <c r="G80" s="301">
        <v>0</v>
      </c>
      <c r="H80" s="301">
        <v>0</v>
      </c>
      <c r="I80" s="258">
        <v>4.8</v>
      </c>
      <c r="J80" s="302">
        <v>0</v>
      </c>
      <c r="K80" s="404">
        <v>5</v>
      </c>
      <c r="L80" s="405">
        <v>9.8610000000000007</v>
      </c>
      <c r="M80" s="261">
        <v>10.014000000000001</v>
      </c>
      <c r="N80" s="405">
        <v>0</v>
      </c>
      <c r="O80" s="261">
        <v>9.6660000000000004</v>
      </c>
      <c r="P80" s="405">
        <v>0</v>
      </c>
      <c r="Q80" s="261">
        <v>0</v>
      </c>
      <c r="R80" s="303">
        <v>0</v>
      </c>
      <c r="S80" s="261">
        <f t="shared" si="5"/>
        <v>0</v>
      </c>
      <c r="T80" s="305">
        <v>10</v>
      </c>
      <c r="U80" s="267">
        <v>10</v>
      </c>
      <c r="V80" s="259">
        <v>10</v>
      </c>
      <c r="W80" s="259">
        <v>10</v>
      </c>
      <c r="X80" s="259">
        <v>10</v>
      </c>
      <c r="Y80" s="259">
        <v>10</v>
      </c>
      <c r="Z80" s="259">
        <v>10</v>
      </c>
      <c r="AA80" s="259">
        <v>10</v>
      </c>
      <c r="AB80" s="259">
        <v>10</v>
      </c>
      <c r="AC80" s="259">
        <v>10</v>
      </c>
      <c r="AD80" s="259">
        <v>10</v>
      </c>
      <c r="AE80" s="268">
        <v>10</v>
      </c>
      <c r="AF80" s="209"/>
      <c r="AG80" s="417">
        <v>0</v>
      </c>
      <c r="AH80" s="302">
        <v>0</v>
      </c>
      <c r="AI80" s="259">
        <v>5</v>
      </c>
      <c r="AJ80" s="259">
        <v>5</v>
      </c>
      <c r="AK80" s="259">
        <v>5</v>
      </c>
      <c r="AL80" s="259">
        <v>10</v>
      </c>
      <c r="AM80" s="259">
        <v>10</v>
      </c>
      <c r="AN80" s="259">
        <v>0</v>
      </c>
      <c r="AO80" s="259">
        <v>10</v>
      </c>
      <c r="AP80" s="259">
        <v>0</v>
      </c>
      <c r="AQ80" s="259">
        <v>0</v>
      </c>
      <c r="AR80" s="268">
        <v>0</v>
      </c>
      <c r="AS80" s="269">
        <v>0</v>
      </c>
      <c r="AT80" s="351">
        <v>0</v>
      </c>
      <c r="AU80" s="259">
        <v>0</v>
      </c>
      <c r="AV80" s="259">
        <v>197200</v>
      </c>
      <c r="AW80" s="259">
        <v>0</v>
      </c>
      <c r="AX80" s="336">
        <v>245599.99999999997</v>
      </c>
      <c r="AY80" s="336">
        <v>264983.47023628437</v>
      </c>
      <c r="AZ80" s="335">
        <v>225146.29518673854</v>
      </c>
      <c r="BA80" s="335">
        <v>0</v>
      </c>
      <c r="BB80" s="335">
        <v>224401.30353817501</v>
      </c>
      <c r="BC80" s="335">
        <v>0</v>
      </c>
      <c r="BD80" s="335">
        <v>0</v>
      </c>
      <c r="BE80" s="308">
        <v>0</v>
      </c>
      <c r="BF80" s="209"/>
      <c r="BG80" s="305">
        <v>194995.79215249998</v>
      </c>
      <c r="BH80" s="259">
        <v>194995.79215249998</v>
      </c>
      <c r="BI80" s="259">
        <v>194995.79215249998</v>
      </c>
      <c r="BJ80" s="259">
        <v>194995.79215249998</v>
      </c>
      <c r="BK80" s="259">
        <v>194995.79215249998</v>
      </c>
      <c r="BL80" s="259">
        <v>194995.79215249998</v>
      </c>
      <c r="BM80" s="259">
        <v>194995.79215249998</v>
      </c>
      <c r="BN80" s="259">
        <v>194995.79215249998</v>
      </c>
      <c r="BO80" s="259">
        <v>194995.79215249998</v>
      </c>
      <c r="BP80" s="259">
        <v>194995.79215249998</v>
      </c>
      <c r="BQ80" s="259">
        <v>194995.79215249998</v>
      </c>
      <c r="BR80" s="268">
        <v>194995.79215249998</v>
      </c>
      <c r="BS80" s="209"/>
      <c r="BT80" s="389">
        <v>0</v>
      </c>
      <c r="BU80" s="307">
        <v>0</v>
      </c>
      <c r="BV80" s="307">
        <v>195160.36500516042</v>
      </c>
      <c r="BW80" s="307">
        <v>235897.66535159005</v>
      </c>
      <c r="BX80" s="307">
        <v>243158.51569341618</v>
      </c>
      <c r="BY80" s="307">
        <v>260278.95207180019</v>
      </c>
      <c r="BZ80" s="307">
        <v>222789.88551788114</v>
      </c>
      <c r="CA80" s="307">
        <v>0</v>
      </c>
      <c r="CB80" s="307">
        <v>222789.88551788114</v>
      </c>
      <c r="CC80" s="307">
        <v>0</v>
      </c>
      <c r="CD80" s="307">
        <v>0</v>
      </c>
      <c r="CE80" s="308">
        <v>0</v>
      </c>
      <c r="CG80" s="326">
        <v>0</v>
      </c>
      <c r="CH80" s="342">
        <v>0</v>
      </c>
      <c r="CI80" s="342">
        <v>9.4656000000000004E-2</v>
      </c>
      <c r="CJ80" s="342">
        <v>0</v>
      </c>
      <c r="CK80" s="342">
        <v>0.12279999999999999</v>
      </c>
      <c r="CL80" s="415">
        <v>0.26130020000000004</v>
      </c>
      <c r="CM80" s="412">
        <v>0.22546150000000001</v>
      </c>
      <c r="CN80" s="412">
        <v>0</v>
      </c>
      <c r="CO80" s="412">
        <v>0.2169063</v>
      </c>
      <c r="CP80" s="412">
        <v>0</v>
      </c>
      <c r="CQ80" s="412">
        <v>0</v>
      </c>
      <c r="CR80" s="413">
        <v>0</v>
      </c>
      <c r="CS80" s="390"/>
      <c r="CT80" s="273">
        <v>0.19499579215249999</v>
      </c>
      <c r="CU80" s="278">
        <v>0.19499579215249999</v>
      </c>
      <c r="CV80" s="278">
        <v>0.19499579215249999</v>
      </c>
      <c r="CW80" s="278">
        <v>0.19499579215249999</v>
      </c>
      <c r="CX80" s="278">
        <v>0.19499579215249999</v>
      </c>
      <c r="CY80" s="278">
        <v>0.19499579215249999</v>
      </c>
      <c r="CZ80" s="278">
        <v>0.19499579215249999</v>
      </c>
      <c r="DA80" s="278">
        <v>0.19499579215249999</v>
      </c>
      <c r="DB80" s="278">
        <v>0.19499579215249999</v>
      </c>
      <c r="DC80" s="278">
        <v>0.19499579215249999</v>
      </c>
      <c r="DD80" s="278">
        <v>0.19499579215249999</v>
      </c>
      <c r="DE80" s="278">
        <v>0.19499579215249999</v>
      </c>
      <c r="DF80" s="390">
        <f t="shared" si="6"/>
        <v>0.58498737645749999</v>
      </c>
      <c r="DG80" s="312">
        <v>0</v>
      </c>
      <c r="DH80" s="281">
        <v>0</v>
      </c>
      <c r="DI80" s="278">
        <v>9.7580182502580215E-2</v>
      </c>
      <c r="DJ80" s="278">
        <v>0.11794883267579502</v>
      </c>
      <c r="DK80" s="278">
        <v>0.12157925784670809</v>
      </c>
      <c r="DL80" s="278">
        <v>0.26027895207180018</v>
      </c>
      <c r="DM80" s="278">
        <v>0.22278988551788115</v>
      </c>
      <c r="DN80" s="278">
        <v>0</v>
      </c>
      <c r="DO80" s="278">
        <v>0.22278988551788115</v>
      </c>
      <c r="DP80" s="278">
        <v>0</v>
      </c>
      <c r="DQ80" s="278">
        <v>0</v>
      </c>
      <c r="DR80" s="282">
        <v>0</v>
      </c>
      <c r="DS80" s="226"/>
      <c r="DT80" s="312">
        <v>0</v>
      </c>
      <c r="DU80" s="329">
        <v>0</v>
      </c>
      <c r="DV80" s="342">
        <v>1.0580197668000077E-3</v>
      </c>
      <c r="DW80" s="342">
        <v>0</v>
      </c>
      <c r="DX80" s="338">
        <v>2.5302103923749993E-2</v>
      </c>
      <c r="DY80" s="341">
        <v>6.9014849358419783E-2</v>
      </c>
      <c r="DZ80" s="341">
        <v>3.0192713738486497E-2</v>
      </c>
      <c r="EA80" s="341">
        <v>0</v>
      </c>
      <c r="EB80" s="338">
        <v>2.8423367305393483E-2</v>
      </c>
      <c r="EC80" s="338">
        <v>0</v>
      </c>
      <c r="ED80" s="338">
        <v>0</v>
      </c>
      <c r="EE80" s="339">
        <v>0</v>
      </c>
      <c r="EG80" s="312">
        <v>-0.19499579215249999</v>
      </c>
      <c r="EH80" s="274">
        <v>-0.19499579215249999</v>
      </c>
      <c r="EI80" s="274">
        <v>-0.10139781191929999</v>
      </c>
      <c r="EJ80" s="278">
        <v>-0.19499579215249999</v>
      </c>
      <c r="EK80" s="276">
        <v>-9.7497896076249993E-2</v>
      </c>
      <c r="EL80" s="276">
        <v>-2.7104415109197367E-3</v>
      </c>
      <c r="EM80" s="276">
        <v>2.7299410901352182E-4</v>
      </c>
      <c r="EN80" s="276">
        <v>-0.19499579215249999</v>
      </c>
      <c r="EO80" s="276">
        <v>-6.5128594578934924E-3</v>
      </c>
      <c r="EP80" s="276">
        <v>-0.19499579215249999</v>
      </c>
      <c r="EQ80" s="276">
        <v>-0.19499579215249999</v>
      </c>
      <c r="ER80" s="313">
        <v>-0.19499579215249999</v>
      </c>
      <c r="ES80" s="283"/>
      <c r="ET80" s="312">
        <v>0</v>
      </c>
      <c r="EU80" s="274">
        <v>0</v>
      </c>
      <c r="EV80" s="274">
        <v>9.7902479752299838E-4</v>
      </c>
      <c r="EW80" s="278">
        <v>0</v>
      </c>
      <c r="EX80" s="338">
        <v>1.220742153291896E-3</v>
      </c>
      <c r="EY80" s="341">
        <v>4.6391253619978493E-3</v>
      </c>
      <c r="EZ80" s="341">
        <v>2.3597086423938073E-3</v>
      </c>
      <c r="FA80" s="341">
        <v>0</v>
      </c>
      <c r="FB80" s="338">
        <v>1.5575966584160581E-3</v>
      </c>
      <c r="FC80" s="338">
        <v>0</v>
      </c>
      <c r="FD80" s="338">
        <v>0</v>
      </c>
      <c r="FE80" s="339">
        <v>0</v>
      </c>
      <c r="FG80" s="312">
        <v>0</v>
      </c>
      <c r="FH80" s="274">
        <v>0</v>
      </c>
      <c r="FI80" s="274">
        <v>-3.9032073001032119E-3</v>
      </c>
      <c r="FJ80" s="278">
        <v>-0.11794883267579502</v>
      </c>
      <c r="FK80" s="276">
        <v>0</v>
      </c>
      <c r="FL80" s="276">
        <v>-3.617877433798006E-3</v>
      </c>
      <c r="FM80" s="276">
        <v>3.119058397250586E-4</v>
      </c>
      <c r="FN80" s="276">
        <v>0</v>
      </c>
      <c r="FO80" s="276">
        <v>-7.4411821762972218E-3</v>
      </c>
      <c r="FP80" s="276">
        <v>0</v>
      </c>
      <c r="FQ80" s="276">
        <v>0</v>
      </c>
      <c r="FR80" s="313">
        <v>0</v>
      </c>
      <c r="FS80" s="283"/>
      <c r="FT80" s="408">
        <v>39.341000000000008</v>
      </c>
      <c r="FU80" s="409">
        <v>120</v>
      </c>
      <c r="FV80" s="409">
        <v>45</v>
      </c>
      <c r="FW80" s="409">
        <v>-80.658999999999992</v>
      </c>
      <c r="FX80" s="410">
        <v>-0.6721583333333333</v>
      </c>
      <c r="FY80" s="416">
        <v>0.92112400000000005</v>
      </c>
      <c r="FZ80" s="412">
        <v>2.3399495058300004</v>
      </c>
      <c r="GA80" s="412">
        <v>1.0429669961326458</v>
      </c>
      <c r="GB80" s="412">
        <v>-1.4188255058300003</v>
      </c>
      <c r="GC80" s="412">
        <v>-1.5728165599228499</v>
      </c>
      <c r="GD80" s="412">
        <v>0.15399105409284977</v>
      </c>
      <c r="GE80" s="412">
        <v>-0.13259919374626838</v>
      </c>
      <c r="GF80" s="413">
        <v>1.0756197613622608E-2</v>
      </c>
      <c r="GG80" s="214">
        <v>0</v>
      </c>
      <c r="GH80" s="286">
        <v>0</v>
      </c>
      <c r="GI80" s="260">
        <v>10</v>
      </c>
      <c r="GJ80" s="260">
        <v>0</v>
      </c>
      <c r="GK80" s="409">
        <v>-10</v>
      </c>
      <c r="GL80" s="414">
        <v>-1</v>
      </c>
      <c r="GM80" s="275">
        <v>0</v>
      </c>
      <c r="GN80" s="275">
        <v>0.19499579215249999</v>
      </c>
      <c r="GO80" s="275">
        <v>0</v>
      </c>
      <c r="GP80" s="412">
        <v>-0.19499579215249999</v>
      </c>
      <c r="GQ80" s="275">
        <v>-0.19499579215249999</v>
      </c>
      <c r="GR80" s="277">
        <v>0</v>
      </c>
      <c r="GS80" s="275">
        <v>0</v>
      </c>
      <c r="GT80" s="284">
        <v>0</v>
      </c>
      <c r="GU80" s="292">
        <v>0</v>
      </c>
      <c r="GV80" s="345">
        <v>0</v>
      </c>
      <c r="GW80" s="293">
        <v>0</v>
      </c>
      <c r="GX80" s="294"/>
      <c r="GY80" s="293">
        <v>-0.12184299613264571</v>
      </c>
      <c r="GZ80" s="293">
        <v>0</v>
      </c>
      <c r="HA80" s="293">
        <v>0</v>
      </c>
      <c r="HB80" s="293">
        <v>0</v>
      </c>
      <c r="HC80" s="295">
        <v>0</v>
      </c>
    </row>
    <row r="81" spans="1:211" s="212" customFormat="1" ht="12" customHeight="1">
      <c r="A81" s="406"/>
      <c r="B81" s="328" t="s">
        <v>280</v>
      </c>
      <c r="C81" s="297" t="s">
        <v>135</v>
      </c>
      <c r="D81" s="299" t="s">
        <v>52</v>
      </c>
      <c r="E81" s="299" t="s">
        <v>276</v>
      </c>
      <c r="F81" s="382" t="s">
        <v>277</v>
      </c>
      <c r="G81" s="301">
        <v>0</v>
      </c>
      <c r="H81" s="301">
        <v>0</v>
      </c>
      <c r="I81" s="258">
        <v>0</v>
      </c>
      <c r="J81" s="302">
        <v>18.557999999999996</v>
      </c>
      <c r="K81" s="404">
        <v>3.8759999999999999</v>
      </c>
      <c r="L81" s="405">
        <v>11.375</v>
      </c>
      <c r="M81" s="261">
        <v>14.005000000000001</v>
      </c>
      <c r="N81" s="405">
        <v>16.73</v>
      </c>
      <c r="O81" s="261">
        <v>18.799000000000003</v>
      </c>
      <c r="P81" s="405">
        <v>0</v>
      </c>
      <c r="Q81" s="261">
        <v>0</v>
      </c>
      <c r="R81" s="303">
        <v>18.774000000000004</v>
      </c>
      <c r="S81" s="261">
        <f t="shared" si="5"/>
        <v>18.774000000000004</v>
      </c>
      <c r="T81" s="305">
        <v>10</v>
      </c>
      <c r="U81" s="267">
        <v>10</v>
      </c>
      <c r="V81" s="259">
        <v>10</v>
      </c>
      <c r="W81" s="259">
        <v>10</v>
      </c>
      <c r="X81" s="259">
        <v>10</v>
      </c>
      <c r="Y81" s="259">
        <v>10</v>
      </c>
      <c r="Z81" s="259">
        <v>10</v>
      </c>
      <c r="AA81" s="259">
        <v>10</v>
      </c>
      <c r="AB81" s="259">
        <v>10</v>
      </c>
      <c r="AC81" s="259">
        <v>10</v>
      </c>
      <c r="AD81" s="259">
        <v>10</v>
      </c>
      <c r="AE81" s="268">
        <v>10</v>
      </c>
      <c r="AF81" s="209"/>
      <c r="AG81" s="417">
        <v>0</v>
      </c>
      <c r="AH81" s="302">
        <v>0</v>
      </c>
      <c r="AI81" s="259">
        <v>0</v>
      </c>
      <c r="AJ81" s="259">
        <v>24</v>
      </c>
      <c r="AK81" s="259">
        <v>5</v>
      </c>
      <c r="AL81" s="259">
        <v>11.4125</v>
      </c>
      <c r="AM81" s="259">
        <v>20</v>
      </c>
      <c r="AN81" s="259">
        <v>17.48</v>
      </c>
      <c r="AO81" s="259">
        <v>18.646249999999998</v>
      </c>
      <c r="AP81" s="259">
        <v>0</v>
      </c>
      <c r="AQ81" s="259">
        <v>0</v>
      </c>
      <c r="AR81" s="268">
        <v>18.93</v>
      </c>
      <c r="AS81" s="269">
        <v>4.7750192785412518E-3</v>
      </c>
      <c r="AT81" s="351">
        <v>0</v>
      </c>
      <c r="AU81" s="259">
        <v>0</v>
      </c>
      <c r="AV81" s="259">
        <v>0</v>
      </c>
      <c r="AW81" s="259">
        <v>265477.39519344765</v>
      </c>
      <c r="AX81" s="336">
        <v>282727.03818369453</v>
      </c>
      <c r="AY81" s="336">
        <v>265437.49450549448</v>
      </c>
      <c r="AZ81" s="335">
        <v>265419.2788289896</v>
      </c>
      <c r="BA81" s="335">
        <v>271144.29169157206</v>
      </c>
      <c r="BB81" s="335">
        <v>265463.13633703912</v>
      </c>
      <c r="BC81" s="335">
        <v>0</v>
      </c>
      <c r="BD81" s="335">
        <v>0</v>
      </c>
      <c r="BE81" s="308">
        <v>265445.45648236916</v>
      </c>
      <c r="BF81" s="209"/>
      <c r="BG81" s="305">
        <v>255653.37251250003</v>
      </c>
      <c r="BH81" s="259">
        <v>255653.37251250003</v>
      </c>
      <c r="BI81" s="259">
        <v>255653.37251250003</v>
      </c>
      <c r="BJ81" s="259">
        <v>255653.37251250003</v>
      </c>
      <c r="BK81" s="259">
        <v>255653.37251250003</v>
      </c>
      <c r="BL81" s="259">
        <v>255653.37251250003</v>
      </c>
      <c r="BM81" s="259">
        <v>255653.37251250003</v>
      </c>
      <c r="BN81" s="259">
        <v>255653.37251250003</v>
      </c>
      <c r="BO81" s="259">
        <v>255653.37251250003</v>
      </c>
      <c r="BP81" s="259">
        <v>255653.37251250003</v>
      </c>
      <c r="BQ81" s="259">
        <v>255653.37251250003</v>
      </c>
      <c r="BR81" s="268">
        <v>255653.37251250003</v>
      </c>
      <c r="BS81" s="209"/>
      <c r="BT81" s="389">
        <v>0</v>
      </c>
      <c r="BU81" s="307">
        <v>0</v>
      </c>
      <c r="BV81" s="307">
        <v>0</v>
      </c>
      <c r="BW81" s="307">
        <v>262377.79378523643</v>
      </c>
      <c r="BX81" s="307">
        <v>279977.80839150614</v>
      </c>
      <c r="BY81" s="307">
        <v>259333.14814814812</v>
      </c>
      <c r="BZ81" s="307">
        <v>267797.73318317719</v>
      </c>
      <c r="CA81" s="307">
        <v>268828.99813216616</v>
      </c>
      <c r="CB81" s="307">
        <v>263737.7081137342</v>
      </c>
      <c r="CC81" s="307">
        <v>0</v>
      </c>
      <c r="CD81" s="307">
        <v>0</v>
      </c>
      <c r="CE81" s="308">
        <v>263737.7081137342</v>
      </c>
      <c r="CG81" s="326">
        <v>0</v>
      </c>
      <c r="CH81" s="342">
        <v>0</v>
      </c>
      <c r="CI81" s="342">
        <v>0</v>
      </c>
      <c r="CJ81" s="342">
        <v>0.49267295</v>
      </c>
      <c r="CK81" s="342">
        <v>0.109585</v>
      </c>
      <c r="CL81" s="415">
        <v>0.30193514999999999</v>
      </c>
      <c r="CM81" s="412">
        <v>0.37171969999999999</v>
      </c>
      <c r="CN81" s="412">
        <v>0.45362440000000004</v>
      </c>
      <c r="CO81" s="412">
        <v>0.49904414999999996</v>
      </c>
      <c r="CP81" s="412">
        <v>0</v>
      </c>
      <c r="CQ81" s="412">
        <v>0</v>
      </c>
      <c r="CR81" s="413">
        <v>0.49834730000000005</v>
      </c>
      <c r="CS81" s="390"/>
      <c r="CT81" s="273">
        <v>0.25565337251250003</v>
      </c>
      <c r="CU81" s="278">
        <v>0.25565337251250003</v>
      </c>
      <c r="CV81" s="278">
        <v>0.25565337251250003</v>
      </c>
      <c r="CW81" s="278">
        <v>0.25565337251250003</v>
      </c>
      <c r="CX81" s="278">
        <v>0.25565337251250003</v>
      </c>
      <c r="CY81" s="278">
        <v>0.25565337251250003</v>
      </c>
      <c r="CZ81" s="278">
        <v>0.25565337251250003</v>
      </c>
      <c r="DA81" s="278">
        <v>0.25565337251250003</v>
      </c>
      <c r="DB81" s="278">
        <v>0.25565337251250003</v>
      </c>
      <c r="DC81" s="278">
        <v>0.25565337251250003</v>
      </c>
      <c r="DD81" s="278">
        <v>0.25565337251250003</v>
      </c>
      <c r="DE81" s="278">
        <v>0.25565337251250003</v>
      </c>
      <c r="DF81" s="390">
        <f t="shared" si="6"/>
        <v>0.76696011753750004</v>
      </c>
      <c r="DG81" s="312">
        <v>0</v>
      </c>
      <c r="DH81" s="281">
        <v>0</v>
      </c>
      <c r="DI81" s="278">
        <v>0</v>
      </c>
      <c r="DJ81" s="278">
        <v>0.62970670508456739</v>
      </c>
      <c r="DK81" s="278">
        <v>0.13998890419575308</v>
      </c>
      <c r="DL81" s="278">
        <v>0.29596395532407405</v>
      </c>
      <c r="DM81" s="278">
        <v>0.53559546636635436</v>
      </c>
      <c r="DN81" s="278">
        <v>0.46991308873502646</v>
      </c>
      <c r="DO81" s="278">
        <v>0.49177192399157155</v>
      </c>
      <c r="DP81" s="278">
        <v>0</v>
      </c>
      <c r="DQ81" s="278">
        <v>0</v>
      </c>
      <c r="DR81" s="282">
        <v>0.49925548145929882</v>
      </c>
      <c r="DS81" s="226"/>
      <c r="DT81" s="312">
        <v>0</v>
      </c>
      <c r="DU81" s="329">
        <v>0</v>
      </c>
      <c r="DV81" s="342">
        <v>0</v>
      </c>
      <c r="DW81" s="342">
        <v>1.823142129130258E-2</v>
      </c>
      <c r="DX81" s="338">
        <v>1.0493752814154987E-2</v>
      </c>
      <c r="DY81" s="341">
        <v>1.1129438767031185E-2</v>
      </c>
      <c r="DZ81" s="341">
        <v>1.3677151796243634E-2</v>
      </c>
      <c r="EA81" s="341">
        <v>2.5916307786587493E-2</v>
      </c>
      <c r="EB81" s="338">
        <v>1.8441375013751028E-2</v>
      </c>
      <c r="EC81" s="338">
        <v>0</v>
      </c>
      <c r="ED81" s="338">
        <v>0</v>
      </c>
      <c r="EE81" s="339">
        <v>1.8383658445032303E-2</v>
      </c>
      <c r="EG81" s="312">
        <v>-0.25565337251250003</v>
      </c>
      <c r="EH81" s="274">
        <v>-0.25565337251250003</v>
      </c>
      <c r="EI81" s="274">
        <v>-0.25565337251250003</v>
      </c>
      <c r="EJ81" s="278">
        <v>0.21878815619619746</v>
      </c>
      <c r="EK81" s="276">
        <v>-0.15656212532665503</v>
      </c>
      <c r="EL81" s="276">
        <v>3.5152338720468759E-2</v>
      </c>
      <c r="EM81" s="276">
        <v>0.10238917569125629</v>
      </c>
      <c r="EN81" s="276">
        <v>0.17205471970091252</v>
      </c>
      <c r="EO81" s="276">
        <v>0.22494940247374884</v>
      </c>
      <c r="EP81" s="276">
        <v>-0.25565337251250003</v>
      </c>
      <c r="EQ81" s="276">
        <v>-0.25565337251250003</v>
      </c>
      <c r="ER81" s="313">
        <v>0.22431026904246765</v>
      </c>
      <c r="ES81" s="283"/>
      <c r="ET81" s="312">
        <v>0</v>
      </c>
      <c r="EU81" s="274">
        <v>0</v>
      </c>
      <c r="EV81" s="274">
        <v>0</v>
      </c>
      <c r="EW81" s="278">
        <v>5.7522402933583875E-3</v>
      </c>
      <c r="EX81" s="338">
        <v>1.0656014674522189E-3</v>
      </c>
      <c r="EY81" s="341">
        <v>6.9436939814814923E-3</v>
      </c>
      <c r="EZ81" s="341">
        <v>-3.3310253230397205E-3</v>
      </c>
      <c r="FA81" s="341">
        <v>3.8734861248860618E-3</v>
      </c>
      <c r="FB81" s="338">
        <v>3.2436325169909125E-3</v>
      </c>
      <c r="FC81" s="338">
        <v>0</v>
      </c>
      <c r="FD81" s="338">
        <v>0</v>
      </c>
      <c r="FE81" s="339">
        <v>3.2061267872752724E-3</v>
      </c>
      <c r="FG81" s="312">
        <v>0</v>
      </c>
      <c r="FH81" s="274">
        <v>0</v>
      </c>
      <c r="FI81" s="274">
        <v>0</v>
      </c>
      <c r="FJ81" s="278">
        <v>-0.14278599537792577</v>
      </c>
      <c r="FK81" s="276">
        <v>-3.1469505663205291E-2</v>
      </c>
      <c r="FL81" s="276">
        <v>-9.7249930555554618E-4</v>
      </c>
      <c r="FM81" s="276">
        <v>-0.1605447410433147</v>
      </c>
      <c r="FN81" s="276">
        <v>-2.0162174859912462E-2</v>
      </c>
      <c r="FO81" s="276">
        <v>4.0285934914374112E-3</v>
      </c>
      <c r="FP81" s="276">
        <v>0</v>
      </c>
      <c r="FQ81" s="276">
        <v>0</v>
      </c>
      <c r="FR81" s="313">
        <v>-4.114308246574128E-3</v>
      </c>
      <c r="FS81" s="283"/>
      <c r="FT81" s="408">
        <v>102.117</v>
      </c>
      <c r="FU81" s="409">
        <v>120</v>
      </c>
      <c r="FV81" s="409">
        <v>115.46875</v>
      </c>
      <c r="FW81" s="409">
        <v>-17.882999999999996</v>
      </c>
      <c r="FX81" s="410">
        <v>-0.14902499999999996</v>
      </c>
      <c r="FY81" s="416">
        <v>2.7269286499999996</v>
      </c>
      <c r="FZ81" s="412">
        <v>3.0678404701500006</v>
      </c>
      <c r="GA81" s="412">
        <v>3.0621955251566457</v>
      </c>
      <c r="GB81" s="412">
        <v>-0.34091182015000099</v>
      </c>
      <c r="GC81" s="412">
        <v>-0.45718492606410366</v>
      </c>
      <c r="GD81" s="412">
        <v>0.1162731059141032</v>
      </c>
      <c r="GE81" s="412">
        <v>-0.35602063100505049</v>
      </c>
      <c r="GF81" s="413">
        <v>2.0753755848404623E-2</v>
      </c>
      <c r="GG81" s="214">
        <v>5.5511151231257827E-16</v>
      </c>
      <c r="GH81" s="286">
        <v>18.774000000000004</v>
      </c>
      <c r="GI81" s="260">
        <v>10</v>
      </c>
      <c r="GJ81" s="260">
        <v>18.93</v>
      </c>
      <c r="GK81" s="409">
        <v>8.7740000000000045</v>
      </c>
      <c r="GL81" s="414">
        <v>0.8774000000000004</v>
      </c>
      <c r="GM81" s="275">
        <v>0.49834730000000005</v>
      </c>
      <c r="GN81" s="275">
        <v>0.25565337251250003</v>
      </c>
      <c r="GO81" s="275">
        <v>0.49925548145929882</v>
      </c>
      <c r="GP81" s="412">
        <v>0.24269392748750002</v>
      </c>
      <c r="GQ81" s="275">
        <v>0.22431026904246765</v>
      </c>
      <c r="GR81" s="277">
        <v>1.8383658445032303E-2</v>
      </c>
      <c r="GS81" s="275">
        <v>-4.114308246574128E-3</v>
      </c>
      <c r="GT81" s="284">
        <v>3.2061267872752724E-3</v>
      </c>
      <c r="GU81" s="292">
        <v>-1.6213351602006307E-2</v>
      </c>
      <c r="GV81" s="345"/>
      <c r="GW81" s="293"/>
      <c r="GX81" s="294"/>
      <c r="GY81" s="293"/>
      <c r="GZ81" s="293"/>
      <c r="HA81" s="293"/>
      <c r="HB81" s="293"/>
      <c r="HC81" s="295"/>
    </row>
    <row r="82" spans="1:211" s="212" customFormat="1" ht="12" customHeight="1">
      <c r="A82" s="406"/>
      <c r="B82" s="328" t="s">
        <v>281</v>
      </c>
      <c r="C82" s="297" t="s">
        <v>135</v>
      </c>
      <c r="D82" s="299" t="s">
        <v>52</v>
      </c>
      <c r="E82" s="299" t="s">
        <v>276</v>
      </c>
      <c r="F82" s="382" t="s">
        <v>277</v>
      </c>
      <c r="G82" s="301">
        <v>0</v>
      </c>
      <c r="H82" s="301">
        <v>0</v>
      </c>
      <c r="I82" s="258">
        <v>0</v>
      </c>
      <c r="J82" s="302">
        <v>9.77</v>
      </c>
      <c r="K82" s="404">
        <v>10.356999999999999</v>
      </c>
      <c r="L82" s="405">
        <v>7.2270000000000003</v>
      </c>
      <c r="M82" s="261">
        <v>28.183999999999997</v>
      </c>
      <c r="N82" s="405">
        <v>5.25</v>
      </c>
      <c r="O82" s="261">
        <v>36.739000000000004</v>
      </c>
      <c r="P82" s="405">
        <v>0</v>
      </c>
      <c r="Q82" s="261">
        <v>0</v>
      </c>
      <c r="R82" s="303">
        <v>25.697000000000003</v>
      </c>
      <c r="S82" s="261">
        <f t="shared" si="5"/>
        <v>25.697000000000003</v>
      </c>
      <c r="T82" s="305">
        <v>6</v>
      </c>
      <c r="U82" s="267">
        <v>6</v>
      </c>
      <c r="V82" s="259">
        <v>6</v>
      </c>
      <c r="W82" s="259">
        <v>6</v>
      </c>
      <c r="X82" s="259">
        <v>6</v>
      </c>
      <c r="Y82" s="259">
        <v>6</v>
      </c>
      <c r="Z82" s="259">
        <v>6</v>
      </c>
      <c r="AA82" s="259">
        <v>6</v>
      </c>
      <c r="AB82" s="259">
        <v>6</v>
      </c>
      <c r="AC82" s="259">
        <v>6</v>
      </c>
      <c r="AD82" s="259">
        <v>6</v>
      </c>
      <c r="AE82" s="268">
        <v>6</v>
      </c>
      <c r="AF82" s="209"/>
      <c r="AG82" s="417">
        <v>0</v>
      </c>
      <c r="AH82" s="302">
        <v>0</v>
      </c>
      <c r="AI82" s="259">
        <v>0</v>
      </c>
      <c r="AJ82" s="259">
        <v>20</v>
      </c>
      <c r="AK82" s="259">
        <v>10</v>
      </c>
      <c r="AL82" s="259">
        <v>13</v>
      </c>
      <c r="AM82" s="259">
        <v>28</v>
      </c>
      <c r="AN82" s="259">
        <v>20</v>
      </c>
      <c r="AO82" s="259">
        <v>37.25</v>
      </c>
      <c r="AP82" s="259">
        <v>0</v>
      </c>
      <c r="AQ82" s="259">
        <v>0</v>
      </c>
      <c r="AR82" s="268">
        <v>26.25</v>
      </c>
      <c r="AS82" s="269">
        <v>6.6214609646966655E-3</v>
      </c>
      <c r="AT82" s="351">
        <v>0</v>
      </c>
      <c r="AU82" s="259">
        <v>0</v>
      </c>
      <c r="AV82" s="259">
        <v>0</v>
      </c>
      <c r="AW82" s="259">
        <v>251034.54452405323</v>
      </c>
      <c r="AX82" s="336">
        <v>258595.20131312159</v>
      </c>
      <c r="AY82" s="336">
        <v>251040.61159540611</v>
      </c>
      <c r="AZ82" s="335">
        <v>251042.16931592397</v>
      </c>
      <c r="BA82" s="335">
        <v>251066.66666666669</v>
      </c>
      <c r="BB82" s="335">
        <v>253270.31220229183</v>
      </c>
      <c r="BC82" s="335">
        <v>0</v>
      </c>
      <c r="BD82" s="335">
        <v>0</v>
      </c>
      <c r="BE82" s="308">
        <v>251047.126123672</v>
      </c>
      <c r="BF82" s="209"/>
      <c r="BG82" s="305">
        <v>241602.47138250005</v>
      </c>
      <c r="BH82" s="259">
        <v>241602.47138250005</v>
      </c>
      <c r="BI82" s="259">
        <v>241602.47138250005</v>
      </c>
      <c r="BJ82" s="259">
        <v>241602.47138250005</v>
      </c>
      <c r="BK82" s="259">
        <v>241602.47138250005</v>
      </c>
      <c r="BL82" s="259">
        <v>241602.47138250005</v>
      </c>
      <c r="BM82" s="259">
        <v>241602.47138250005</v>
      </c>
      <c r="BN82" s="259">
        <v>241602.47138250005</v>
      </c>
      <c r="BO82" s="259">
        <v>241602.47138250005</v>
      </c>
      <c r="BP82" s="259">
        <v>241602.47138250005</v>
      </c>
      <c r="BQ82" s="259">
        <v>241602.47138250005</v>
      </c>
      <c r="BR82" s="268">
        <v>241602.47138250005</v>
      </c>
      <c r="BS82" s="209"/>
      <c r="BT82" s="389">
        <v>0</v>
      </c>
      <c r="BU82" s="307">
        <v>0</v>
      </c>
      <c r="BV82" s="307">
        <v>0</v>
      </c>
      <c r="BW82" s="307">
        <v>247487.17576067281</v>
      </c>
      <c r="BX82" s="307">
        <v>257130.09774269018</v>
      </c>
      <c r="BY82" s="307">
        <v>249343.05508380418</v>
      </c>
      <c r="BZ82" s="307">
        <v>249343.05508380415</v>
      </c>
      <c r="CA82" s="307">
        <v>253236.57641324715</v>
      </c>
      <c r="CB82" s="307">
        <v>251433.53633451185</v>
      </c>
      <c r="CC82" s="307">
        <v>0</v>
      </c>
      <c r="CD82" s="307">
        <v>0</v>
      </c>
      <c r="CE82" s="308">
        <v>249343.05508380418</v>
      </c>
      <c r="CG82" s="326">
        <v>0</v>
      </c>
      <c r="CH82" s="342">
        <v>0</v>
      </c>
      <c r="CI82" s="342">
        <v>0</v>
      </c>
      <c r="CJ82" s="342">
        <v>0.24526075</v>
      </c>
      <c r="CK82" s="342">
        <v>0.26782705000000001</v>
      </c>
      <c r="CL82" s="415">
        <v>0.18142705000000001</v>
      </c>
      <c r="CM82" s="412">
        <v>0.70753725000000001</v>
      </c>
      <c r="CN82" s="412">
        <v>0.13181000000000001</v>
      </c>
      <c r="CO82" s="412">
        <v>0.93048980000000003</v>
      </c>
      <c r="CP82" s="412">
        <v>0</v>
      </c>
      <c r="CQ82" s="412">
        <v>0</v>
      </c>
      <c r="CR82" s="413">
        <v>0.64511580000000002</v>
      </c>
      <c r="CS82" s="390"/>
      <c r="CT82" s="273">
        <v>0.14496148282950003</v>
      </c>
      <c r="CU82" s="278">
        <v>0.14496148282950003</v>
      </c>
      <c r="CV82" s="278">
        <v>0.14496148282950003</v>
      </c>
      <c r="CW82" s="278">
        <v>0.14496148282950003</v>
      </c>
      <c r="CX82" s="278">
        <v>0.14496148282950003</v>
      </c>
      <c r="CY82" s="278">
        <v>0.14496148282950003</v>
      </c>
      <c r="CZ82" s="278">
        <v>0.14496148282950003</v>
      </c>
      <c r="DA82" s="278">
        <v>0.14496148282950003</v>
      </c>
      <c r="DB82" s="278">
        <v>0.14496148282950003</v>
      </c>
      <c r="DC82" s="278">
        <v>0.14496148282950003</v>
      </c>
      <c r="DD82" s="278">
        <v>0.14496148282950003</v>
      </c>
      <c r="DE82" s="278">
        <v>0.14496148282950003</v>
      </c>
      <c r="DF82" s="390">
        <f t="shared" si="6"/>
        <v>0.43488444848850005</v>
      </c>
      <c r="DG82" s="312">
        <v>0</v>
      </c>
      <c r="DH82" s="281">
        <v>0</v>
      </c>
      <c r="DI82" s="278">
        <v>0</v>
      </c>
      <c r="DJ82" s="278">
        <v>0.49497435152134561</v>
      </c>
      <c r="DK82" s="278">
        <v>0.25713009774269019</v>
      </c>
      <c r="DL82" s="278">
        <v>0.32414597160894543</v>
      </c>
      <c r="DM82" s="278">
        <v>0.69816055423465162</v>
      </c>
      <c r="DN82" s="278">
        <v>0.5064731528264943</v>
      </c>
      <c r="DO82" s="278">
        <v>0.93658992284605658</v>
      </c>
      <c r="DP82" s="278">
        <v>0</v>
      </c>
      <c r="DQ82" s="278">
        <v>0</v>
      </c>
      <c r="DR82" s="282">
        <v>0.65452551959498595</v>
      </c>
      <c r="DS82" s="226"/>
      <c r="DT82" s="312">
        <v>0</v>
      </c>
      <c r="DU82" s="329">
        <v>0</v>
      </c>
      <c r="DV82" s="342">
        <v>0</v>
      </c>
      <c r="DW82" s="342">
        <v>9.2151354592974553E-3</v>
      </c>
      <c r="DX82" s="338">
        <v>1.759937038914473E-2</v>
      </c>
      <c r="DY82" s="341">
        <v>6.8209439318672087E-3</v>
      </c>
      <c r="DZ82" s="341">
        <v>2.6604844655561958E-2</v>
      </c>
      <c r="EA82" s="341">
        <v>4.9687025241874835E-3</v>
      </c>
      <c r="EB82" s="338">
        <v>4.2866480387833007E-2</v>
      </c>
      <c r="EC82" s="338">
        <v>0</v>
      </c>
      <c r="ED82" s="338">
        <v>0</v>
      </c>
      <c r="EE82" s="339">
        <v>2.4269929288389565E-2</v>
      </c>
      <c r="EG82" s="312">
        <v>-0.14496148282950003</v>
      </c>
      <c r="EH82" s="274">
        <v>-0.14496148282950003</v>
      </c>
      <c r="EI82" s="274">
        <v>-0.14496148282950003</v>
      </c>
      <c r="EJ82" s="278">
        <v>9.1084131711202512E-2</v>
      </c>
      <c r="EK82" s="276">
        <v>0.10526619678135526</v>
      </c>
      <c r="EL82" s="276">
        <v>2.9644623238632765E-2</v>
      </c>
      <c r="EM82" s="276">
        <v>0.53597092251493805</v>
      </c>
      <c r="EN82" s="276">
        <v>-1.8120185353687503E-2</v>
      </c>
      <c r="EO82" s="276">
        <v>0.74266183678266706</v>
      </c>
      <c r="EP82" s="276">
        <v>-0.14496148282950003</v>
      </c>
      <c r="EQ82" s="276">
        <v>-0.14496148282950003</v>
      </c>
      <c r="ER82" s="313">
        <v>0.4758843878821104</v>
      </c>
      <c r="ES82" s="283"/>
      <c r="ET82" s="312">
        <v>0</v>
      </c>
      <c r="EU82" s="274">
        <v>0</v>
      </c>
      <c r="EV82" s="274">
        <v>0</v>
      </c>
      <c r="EW82" s="278">
        <v>3.465779281822672E-3</v>
      </c>
      <c r="EX82" s="338">
        <v>1.5174077678958139E-3</v>
      </c>
      <c r="EY82" s="341">
        <v>1.2268240909347134E-3</v>
      </c>
      <c r="EZ82" s="341">
        <v>4.7887835518064803E-3</v>
      </c>
      <c r="FA82" s="341">
        <v>-1.1392026169547446E-3</v>
      </c>
      <c r="FB82" s="338">
        <v>6.7481308606368402E-3</v>
      </c>
      <c r="FC82" s="338">
        <v>0</v>
      </c>
      <c r="FD82" s="338">
        <v>0</v>
      </c>
      <c r="FE82" s="339">
        <v>4.3789513511483386E-3</v>
      </c>
      <c r="FG82" s="312">
        <v>0</v>
      </c>
      <c r="FH82" s="274">
        <v>0</v>
      </c>
      <c r="FI82" s="274">
        <v>0</v>
      </c>
      <c r="FJ82" s="278">
        <v>-0.25317938080316826</v>
      </c>
      <c r="FK82" s="276">
        <v>9.1795444894140227E-3</v>
      </c>
      <c r="FL82" s="276">
        <v>-0.14394574569988017</v>
      </c>
      <c r="FM82" s="276">
        <v>4.5879122135419337E-3</v>
      </c>
      <c r="FN82" s="276">
        <v>-0.37352395020953955</v>
      </c>
      <c r="FO82" s="276">
        <v>-1.2848253706693447E-2</v>
      </c>
      <c r="FP82" s="276">
        <v>0</v>
      </c>
      <c r="FQ82" s="276">
        <v>0</v>
      </c>
      <c r="FR82" s="313">
        <v>-1.3788670946134304E-2</v>
      </c>
      <c r="FS82" s="283"/>
      <c r="FT82" s="408">
        <v>123.224</v>
      </c>
      <c r="FU82" s="409">
        <v>72</v>
      </c>
      <c r="FV82" s="409">
        <v>154.5</v>
      </c>
      <c r="FW82" s="409">
        <v>51.224000000000004</v>
      </c>
      <c r="FX82" s="410">
        <v>0.71144444444444455</v>
      </c>
      <c r="FY82" s="416">
        <v>3.1094677000000002</v>
      </c>
      <c r="FZ82" s="412">
        <v>1.7395377939540004</v>
      </c>
      <c r="GA82" s="412">
        <v>3.87199957037517</v>
      </c>
      <c r="GB82" s="412">
        <v>1.3699299060459997</v>
      </c>
      <c r="GC82" s="412">
        <v>1.2375844994097185</v>
      </c>
      <c r="GD82" s="412">
        <v>0.13234540663628139</v>
      </c>
      <c r="GE82" s="412">
        <v>-0.78351854466245974</v>
      </c>
      <c r="GF82" s="413">
        <v>2.0986674287290112E-2</v>
      </c>
      <c r="GG82" s="214">
        <v>0</v>
      </c>
      <c r="GH82" s="286">
        <v>25.697000000000003</v>
      </c>
      <c r="GI82" s="260">
        <v>6</v>
      </c>
      <c r="GJ82" s="260">
        <v>26.25</v>
      </c>
      <c r="GK82" s="409">
        <v>19.697000000000003</v>
      </c>
      <c r="GL82" s="414">
        <v>3.2828333333333339</v>
      </c>
      <c r="GM82" s="275">
        <v>0.64511580000000002</v>
      </c>
      <c r="GN82" s="275">
        <v>0.14496148282950003</v>
      </c>
      <c r="GO82" s="275">
        <v>0.65452551959498595</v>
      </c>
      <c r="GP82" s="412">
        <v>0.50015431717049996</v>
      </c>
      <c r="GQ82" s="275">
        <v>0.4758843878821104</v>
      </c>
      <c r="GR82" s="277">
        <v>2.4269929288389565E-2</v>
      </c>
      <c r="GS82" s="275">
        <v>-1.3788670946134304E-2</v>
      </c>
      <c r="GT82" s="284">
        <v>4.3789513511483386E-3</v>
      </c>
      <c r="GU82" s="292">
        <v>-2.9715510375392395E-2</v>
      </c>
      <c r="GV82" s="345"/>
      <c r="GW82" s="293">
        <v>0.67025065450188026</v>
      </c>
      <c r="GX82" s="294"/>
      <c r="GY82" s="293">
        <v>-0.76253187037516978</v>
      </c>
      <c r="GZ82" s="293">
        <v>0</v>
      </c>
      <c r="HA82" s="293">
        <v>-9.4097195949859325E-3</v>
      </c>
      <c r="HB82" s="293">
        <v>4.3789513511483715E-3</v>
      </c>
      <c r="HC82" s="295">
        <v>0.67483131037539246</v>
      </c>
    </row>
    <row r="83" spans="1:211" s="212" customFormat="1" ht="20.25" customHeight="1">
      <c r="A83" s="406"/>
      <c r="B83" s="299" t="s">
        <v>282</v>
      </c>
      <c r="C83" s="297" t="s">
        <v>135</v>
      </c>
      <c r="D83" s="299" t="s">
        <v>52</v>
      </c>
      <c r="E83" s="299" t="s">
        <v>283</v>
      </c>
      <c r="F83" s="382" t="s">
        <v>277</v>
      </c>
      <c r="G83" s="301">
        <v>0</v>
      </c>
      <c r="H83" s="301">
        <v>0</v>
      </c>
      <c r="I83" s="258">
        <v>0</v>
      </c>
      <c r="J83" s="302">
        <v>0</v>
      </c>
      <c r="K83" s="404">
        <v>0</v>
      </c>
      <c r="L83" s="405">
        <v>0</v>
      </c>
      <c r="M83" s="261">
        <v>7.7480000000000002</v>
      </c>
      <c r="N83" s="405">
        <v>0</v>
      </c>
      <c r="O83" s="261">
        <v>7.5939999999999994</v>
      </c>
      <c r="P83" s="405">
        <v>0</v>
      </c>
      <c r="Q83" s="261">
        <v>0</v>
      </c>
      <c r="R83" s="303">
        <v>7.516</v>
      </c>
      <c r="S83" s="261">
        <f t="shared" si="5"/>
        <v>7.516</v>
      </c>
      <c r="T83" s="305">
        <v>4</v>
      </c>
      <c r="U83" s="267">
        <v>4</v>
      </c>
      <c r="V83" s="259">
        <v>4</v>
      </c>
      <c r="W83" s="259">
        <v>4</v>
      </c>
      <c r="X83" s="259">
        <v>4</v>
      </c>
      <c r="Y83" s="259">
        <v>4</v>
      </c>
      <c r="Z83" s="259">
        <v>4</v>
      </c>
      <c r="AA83" s="259">
        <v>4</v>
      </c>
      <c r="AB83" s="259">
        <v>4</v>
      </c>
      <c r="AC83" s="259">
        <v>4</v>
      </c>
      <c r="AD83" s="259">
        <v>4</v>
      </c>
      <c r="AE83" s="268">
        <v>4</v>
      </c>
      <c r="AF83" s="209"/>
      <c r="AG83" s="417">
        <v>0</v>
      </c>
      <c r="AH83" s="302">
        <v>0</v>
      </c>
      <c r="AI83" s="259">
        <v>0</v>
      </c>
      <c r="AJ83" s="259">
        <v>0</v>
      </c>
      <c r="AK83" s="259">
        <v>0</v>
      </c>
      <c r="AL83" s="259">
        <v>0</v>
      </c>
      <c r="AM83" s="259">
        <v>7.5</v>
      </c>
      <c r="AN83" s="259">
        <v>0</v>
      </c>
      <c r="AO83" s="259">
        <v>7.5</v>
      </c>
      <c r="AP83" s="259">
        <v>0</v>
      </c>
      <c r="AQ83" s="259">
        <v>0</v>
      </c>
      <c r="AR83" s="268">
        <v>7.5</v>
      </c>
      <c r="AS83" s="269">
        <v>1.8918459899133328E-3</v>
      </c>
      <c r="AT83" s="351">
        <v>0</v>
      </c>
      <c r="AU83" s="259">
        <v>0</v>
      </c>
      <c r="AV83" s="259">
        <v>0</v>
      </c>
      <c r="AW83" s="259">
        <v>0</v>
      </c>
      <c r="AX83" s="336">
        <v>0</v>
      </c>
      <c r="AY83" s="336">
        <v>0</v>
      </c>
      <c r="AZ83" s="335">
        <v>219185.85441404235</v>
      </c>
      <c r="BA83" s="335">
        <v>0</v>
      </c>
      <c r="BB83" s="335">
        <v>221326.04687911514</v>
      </c>
      <c r="BC83" s="335">
        <v>0</v>
      </c>
      <c r="BD83" s="335">
        <v>0</v>
      </c>
      <c r="BE83" s="308">
        <v>221303.88504523685</v>
      </c>
      <c r="BF83" s="209"/>
      <c r="BG83" s="305">
        <v>213004.96172250001</v>
      </c>
      <c r="BH83" s="259">
        <v>213004.96172250001</v>
      </c>
      <c r="BI83" s="259">
        <v>213004.96172250001</v>
      </c>
      <c r="BJ83" s="259">
        <v>213004.96172250001</v>
      </c>
      <c r="BK83" s="259">
        <v>213004.96172250001</v>
      </c>
      <c r="BL83" s="259">
        <v>213004.96172250001</v>
      </c>
      <c r="BM83" s="259">
        <v>213004.96172250001</v>
      </c>
      <c r="BN83" s="259">
        <v>213004.96172250001</v>
      </c>
      <c r="BO83" s="259">
        <v>213004.96172250001</v>
      </c>
      <c r="BP83" s="259">
        <v>213004.96172250001</v>
      </c>
      <c r="BQ83" s="259">
        <v>213004.96172250001</v>
      </c>
      <c r="BR83" s="268">
        <v>213004.96172250001</v>
      </c>
      <c r="BS83" s="209"/>
      <c r="BT83" s="389">
        <v>0</v>
      </c>
      <c r="BU83" s="307">
        <v>0</v>
      </c>
      <c r="BV83" s="307">
        <v>0</v>
      </c>
      <c r="BW83" s="307">
        <v>0</v>
      </c>
      <c r="BX83" s="307">
        <v>0</v>
      </c>
      <c r="BY83" s="307">
        <v>0</v>
      </c>
      <c r="BZ83" s="307">
        <v>214964.88209703114</v>
      </c>
      <c r="CA83" s="307">
        <v>0</v>
      </c>
      <c r="CB83" s="307">
        <v>217689.15159320814</v>
      </c>
      <c r="CC83" s="307">
        <v>0</v>
      </c>
      <c r="CD83" s="307">
        <v>0</v>
      </c>
      <c r="CE83" s="308">
        <v>217689.15159320814</v>
      </c>
      <c r="CG83" s="326">
        <v>0</v>
      </c>
      <c r="CH83" s="342">
        <v>0</v>
      </c>
      <c r="CI83" s="342">
        <v>0</v>
      </c>
      <c r="CJ83" s="342">
        <v>0</v>
      </c>
      <c r="CK83" s="342">
        <v>0</v>
      </c>
      <c r="CL83" s="342">
        <v>0</v>
      </c>
      <c r="CM83" s="343">
        <v>0.16982520000000001</v>
      </c>
      <c r="CN83" s="343">
        <v>0</v>
      </c>
      <c r="CO83" s="343">
        <v>0.168075</v>
      </c>
      <c r="CP83" s="343">
        <v>0</v>
      </c>
      <c r="CQ83" s="343">
        <v>0</v>
      </c>
      <c r="CR83" s="344">
        <v>0.16633200000000001</v>
      </c>
      <c r="CS83" s="390"/>
      <c r="CT83" s="273">
        <v>8.5201984689000004E-2</v>
      </c>
      <c r="CU83" s="278">
        <v>8.5201984689000004E-2</v>
      </c>
      <c r="CV83" s="278">
        <v>8.5201984689000004E-2</v>
      </c>
      <c r="CW83" s="278">
        <v>8.5201984689000004E-2</v>
      </c>
      <c r="CX83" s="278">
        <v>8.5201984689000004E-2</v>
      </c>
      <c r="CY83" s="278">
        <v>8.5201984689000004E-2</v>
      </c>
      <c r="CZ83" s="278">
        <v>8.5201984689000004E-2</v>
      </c>
      <c r="DA83" s="278">
        <v>8.5201984689000004E-2</v>
      </c>
      <c r="DB83" s="278">
        <v>8.5201984689000004E-2</v>
      </c>
      <c r="DC83" s="278">
        <v>8.5201984689000004E-2</v>
      </c>
      <c r="DD83" s="278">
        <v>8.5201984689000004E-2</v>
      </c>
      <c r="DE83" s="278">
        <v>8.5201984689000004E-2</v>
      </c>
      <c r="DF83" s="390">
        <f t="shared" si="6"/>
        <v>0.25560595406700004</v>
      </c>
      <c r="DG83" s="312">
        <v>0</v>
      </c>
      <c r="DH83" s="281">
        <v>0</v>
      </c>
      <c r="DI83" s="278">
        <v>0</v>
      </c>
      <c r="DJ83" s="278">
        <v>0</v>
      </c>
      <c r="DK83" s="278">
        <v>0</v>
      </c>
      <c r="DL83" s="278">
        <v>0</v>
      </c>
      <c r="DM83" s="278">
        <v>0.16122366157277335</v>
      </c>
      <c r="DN83" s="278">
        <v>0</v>
      </c>
      <c r="DO83" s="278">
        <v>0.16326686369490609</v>
      </c>
      <c r="DP83" s="278">
        <v>0</v>
      </c>
      <c r="DQ83" s="278">
        <v>0</v>
      </c>
      <c r="DR83" s="282">
        <v>0.16326686369490609</v>
      </c>
      <c r="DS83" s="226"/>
      <c r="DT83" s="312">
        <v>0</v>
      </c>
      <c r="DU83" s="329">
        <v>0</v>
      </c>
      <c r="DV83" s="342">
        <v>0</v>
      </c>
      <c r="DW83" s="342">
        <v>0</v>
      </c>
      <c r="DX83" s="338">
        <v>0</v>
      </c>
      <c r="DY83" s="341">
        <v>0</v>
      </c>
      <c r="DZ83" s="341">
        <v>4.7889556574070022E-3</v>
      </c>
      <c r="EA83" s="341">
        <v>0</v>
      </c>
      <c r="EB83" s="338">
        <v>6.3190320679335247E-3</v>
      </c>
      <c r="EC83" s="338">
        <v>0</v>
      </c>
      <c r="ED83" s="338">
        <v>0</v>
      </c>
      <c r="EE83" s="339">
        <v>6.2374707693690079E-3</v>
      </c>
      <c r="EG83" s="312">
        <v>-8.5201984689000004E-2</v>
      </c>
      <c r="EH83" s="274">
        <v>-8.5201984689000004E-2</v>
      </c>
      <c r="EI83" s="274">
        <v>-8.5201984689000004E-2</v>
      </c>
      <c r="EJ83" s="278">
        <v>-8.5201984689000004E-2</v>
      </c>
      <c r="EK83" s="276">
        <v>-8.5201984689000004E-2</v>
      </c>
      <c r="EL83" s="276">
        <v>-8.5201984689000004E-2</v>
      </c>
      <c r="EM83" s="276">
        <v>7.9834259653593004E-2</v>
      </c>
      <c r="EN83" s="276">
        <v>-8.5201984689000004E-2</v>
      </c>
      <c r="EO83" s="276">
        <v>7.655398324306649E-2</v>
      </c>
      <c r="EP83" s="276">
        <v>-8.5201984689000004E-2</v>
      </c>
      <c r="EQ83" s="276">
        <v>-8.5201984689000004E-2</v>
      </c>
      <c r="ER83" s="313">
        <v>7.4892544541630995E-2</v>
      </c>
      <c r="ES83" s="283"/>
      <c r="ET83" s="312">
        <v>0</v>
      </c>
      <c r="EU83" s="274">
        <v>0</v>
      </c>
      <c r="EV83" s="274">
        <v>0</v>
      </c>
      <c r="EW83" s="278">
        <v>0</v>
      </c>
      <c r="EX83" s="338">
        <v>0</v>
      </c>
      <c r="EY83" s="341">
        <v>0</v>
      </c>
      <c r="EZ83" s="341">
        <v>3.270409351220287E-3</v>
      </c>
      <c r="FA83" s="341">
        <v>0</v>
      </c>
      <c r="FB83" s="338">
        <v>2.7618582801177739E-3</v>
      </c>
      <c r="FC83" s="338">
        <v>0</v>
      </c>
      <c r="FD83" s="338">
        <v>0</v>
      </c>
      <c r="FE83" s="339">
        <v>2.7168336625447796E-3</v>
      </c>
      <c r="FG83" s="312">
        <v>0</v>
      </c>
      <c r="FH83" s="274">
        <v>0</v>
      </c>
      <c r="FI83" s="274">
        <v>0</v>
      </c>
      <c r="FJ83" s="278">
        <v>0</v>
      </c>
      <c r="FK83" s="276">
        <v>0</v>
      </c>
      <c r="FL83" s="276">
        <v>0</v>
      </c>
      <c r="FM83" s="276">
        <v>5.331129076006377E-3</v>
      </c>
      <c r="FN83" s="276">
        <v>0</v>
      </c>
      <c r="FO83" s="276">
        <v>2.0462780249761439E-3</v>
      </c>
      <c r="FP83" s="276">
        <v>0</v>
      </c>
      <c r="FQ83" s="276">
        <v>0</v>
      </c>
      <c r="FR83" s="313">
        <v>3.483026425491333E-4</v>
      </c>
      <c r="FS83" s="283"/>
      <c r="FT83" s="408">
        <v>22.857999999999997</v>
      </c>
      <c r="FU83" s="409">
        <v>48</v>
      </c>
      <c r="FV83" s="409">
        <v>22.5</v>
      </c>
      <c r="FW83" s="409">
        <v>-25.142000000000003</v>
      </c>
      <c r="FX83" s="410">
        <v>-0.52379166666666677</v>
      </c>
      <c r="FY83" s="416">
        <v>0.50423220000000002</v>
      </c>
      <c r="FZ83" s="412">
        <v>1.0224238162679999</v>
      </c>
      <c r="GA83" s="412">
        <v>0.48775738896258547</v>
      </c>
      <c r="GB83" s="412">
        <v>-0.51819161626799992</v>
      </c>
      <c r="GC83" s="412">
        <v>-0.5355370747627094</v>
      </c>
      <c r="GD83" s="412">
        <v>1.7345458494709535E-2</v>
      </c>
      <c r="GE83" s="412">
        <v>7.7257097435316545E-3</v>
      </c>
      <c r="GF83" s="413">
        <v>8.7491012938828404E-3</v>
      </c>
      <c r="GG83" s="214">
        <v>0</v>
      </c>
      <c r="GH83" s="286">
        <v>7.516</v>
      </c>
      <c r="GI83" s="260">
        <v>4</v>
      </c>
      <c r="GJ83" s="260">
        <v>7.5</v>
      </c>
      <c r="GK83" s="409">
        <v>3.516</v>
      </c>
      <c r="GL83" s="414">
        <v>0.879</v>
      </c>
      <c r="GM83" s="275">
        <v>0.16633200000000001</v>
      </c>
      <c r="GN83" s="275">
        <v>8.5201984689000004E-2</v>
      </c>
      <c r="GO83" s="275">
        <v>0.16326686369490609</v>
      </c>
      <c r="GP83" s="412">
        <v>8.1130015311000003E-2</v>
      </c>
      <c r="GQ83" s="275">
        <v>7.4892544541630995E-2</v>
      </c>
      <c r="GR83" s="277">
        <v>6.2374707693690079E-3</v>
      </c>
      <c r="GS83" s="275">
        <v>3.483026425491333E-4</v>
      </c>
      <c r="GT83" s="284">
        <v>2.7168336625447796E-3</v>
      </c>
      <c r="GU83" s="292">
        <v>-3.6335735583427884E-3</v>
      </c>
      <c r="GV83" s="345"/>
      <c r="GW83" s="293"/>
      <c r="GX83" s="294"/>
      <c r="GY83" s="293"/>
      <c r="GZ83" s="293"/>
      <c r="HA83" s="293"/>
      <c r="HB83" s="293"/>
      <c r="HC83" s="295"/>
    </row>
    <row r="84" spans="1:211" s="212" customFormat="1" ht="12.75" customHeight="1">
      <c r="A84" s="406"/>
      <c r="B84" s="299" t="s">
        <v>284</v>
      </c>
      <c r="C84" s="297" t="s">
        <v>135</v>
      </c>
      <c r="D84" s="299" t="s">
        <v>52</v>
      </c>
      <c r="E84" s="299" t="s">
        <v>285</v>
      </c>
      <c r="F84" s="382" t="s">
        <v>277</v>
      </c>
      <c r="G84" s="301">
        <v>0</v>
      </c>
      <c r="H84" s="301">
        <v>0</v>
      </c>
      <c r="I84" s="258">
        <v>0</v>
      </c>
      <c r="J84" s="302">
        <v>0</v>
      </c>
      <c r="K84" s="404">
        <v>0</v>
      </c>
      <c r="L84" s="405">
        <v>0</v>
      </c>
      <c r="M84" s="261">
        <v>0</v>
      </c>
      <c r="N84" s="405">
        <v>0</v>
      </c>
      <c r="O84" s="261">
        <v>7.5090000000000003</v>
      </c>
      <c r="P84" s="405">
        <v>0</v>
      </c>
      <c r="Q84" s="261">
        <v>0</v>
      </c>
      <c r="R84" s="303">
        <v>7.5149999999999997</v>
      </c>
      <c r="S84" s="261">
        <f t="shared" si="5"/>
        <v>7.5149999999999997</v>
      </c>
      <c r="T84" s="305">
        <v>5</v>
      </c>
      <c r="U84" s="281">
        <v>5</v>
      </c>
      <c r="V84" s="259">
        <v>5</v>
      </c>
      <c r="W84" s="259">
        <v>5</v>
      </c>
      <c r="X84" s="259">
        <v>5</v>
      </c>
      <c r="Y84" s="259">
        <v>5</v>
      </c>
      <c r="Z84" s="259">
        <v>5</v>
      </c>
      <c r="AA84" s="259">
        <v>5</v>
      </c>
      <c r="AB84" s="259">
        <v>5</v>
      </c>
      <c r="AC84" s="259">
        <v>5</v>
      </c>
      <c r="AD84" s="259">
        <v>5</v>
      </c>
      <c r="AE84" s="268">
        <v>5</v>
      </c>
      <c r="AF84" s="209"/>
      <c r="AG84" s="417">
        <v>0</v>
      </c>
      <c r="AH84" s="302">
        <v>0</v>
      </c>
      <c r="AI84" s="259">
        <v>0</v>
      </c>
      <c r="AJ84" s="259">
        <v>0</v>
      </c>
      <c r="AK84" s="259">
        <v>0</v>
      </c>
      <c r="AL84" s="259">
        <v>0</v>
      </c>
      <c r="AM84" s="259">
        <v>0</v>
      </c>
      <c r="AN84" s="259">
        <v>0</v>
      </c>
      <c r="AO84" s="259">
        <v>7.5</v>
      </c>
      <c r="AP84" s="259">
        <v>0</v>
      </c>
      <c r="AQ84" s="259">
        <v>0</v>
      </c>
      <c r="AR84" s="268">
        <v>7.5</v>
      </c>
      <c r="AS84" s="269">
        <v>1.8918459899133328E-3</v>
      </c>
      <c r="AT84" s="351">
        <v>0</v>
      </c>
      <c r="AU84" s="259">
        <v>0</v>
      </c>
      <c r="AV84" s="259">
        <v>0</v>
      </c>
      <c r="AW84" s="259">
        <v>0</v>
      </c>
      <c r="AX84" s="336">
        <v>0</v>
      </c>
      <c r="AY84" s="336">
        <v>0</v>
      </c>
      <c r="AZ84" s="335">
        <v>0</v>
      </c>
      <c r="BA84" s="335">
        <v>0</v>
      </c>
      <c r="BB84" s="335">
        <v>314603.80876281793</v>
      </c>
      <c r="BC84" s="335">
        <v>0</v>
      </c>
      <c r="BD84" s="335">
        <v>0</v>
      </c>
      <c r="BE84" s="308">
        <v>314666.66666666663</v>
      </c>
      <c r="BF84" s="209"/>
      <c r="BG84" s="305">
        <v>304162.75869750004</v>
      </c>
      <c r="BH84" s="259">
        <v>304162.75869750004</v>
      </c>
      <c r="BI84" s="259">
        <v>304162.75869750004</v>
      </c>
      <c r="BJ84" s="259">
        <v>304162.75869750004</v>
      </c>
      <c r="BK84" s="259">
        <v>304162.75869750004</v>
      </c>
      <c r="BL84" s="259">
        <v>304162.75869750004</v>
      </c>
      <c r="BM84" s="259">
        <v>304162.75869750004</v>
      </c>
      <c r="BN84" s="259">
        <v>304162.75869750004</v>
      </c>
      <c r="BO84" s="259">
        <v>304162.75869750004</v>
      </c>
      <c r="BP84" s="259">
        <v>304162.75869750004</v>
      </c>
      <c r="BQ84" s="259">
        <v>304162.75869750004</v>
      </c>
      <c r="BR84" s="268">
        <v>304162.75869750004</v>
      </c>
      <c r="BS84" s="209"/>
      <c r="BT84" s="389">
        <v>0</v>
      </c>
      <c r="BU84" s="307">
        <v>0</v>
      </c>
      <c r="BV84" s="307">
        <v>0</v>
      </c>
      <c r="BW84" s="307">
        <v>0</v>
      </c>
      <c r="BX84" s="307">
        <v>0</v>
      </c>
      <c r="BY84" s="307">
        <v>0</v>
      </c>
      <c r="BZ84" s="307">
        <v>0</v>
      </c>
      <c r="CA84" s="307">
        <v>0</v>
      </c>
      <c r="CB84" s="307">
        <v>308200.56446881889</v>
      </c>
      <c r="CC84" s="307">
        <v>0</v>
      </c>
      <c r="CD84" s="307">
        <v>0</v>
      </c>
      <c r="CE84" s="308">
        <v>308200.56446881889</v>
      </c>
      <c r="CG84" s="326">
        <v>0</v>
      </c>
      <c r="CH84" s="342">
        <v>0</v>
      </c>
      <c r="CI84" s="342">
        <v>0</v>
      </c>
      <c r="CJ84" s="342">
        <v>0</v>
      </c>
      <c r="CK84" s="342">
        <v>0</v>
      </c>
      <c r="CL84" s="342">
        <v>0</v>
      </c>
      <c r="CM84" s="343">
        <v>0</v>
      </c>
      <c r="CN84" s="343">
        <v>0</v>
      </c>
      <c r="CO84" s="343">
        <v>0.236236</v>
      </c>
      <c r="CP84" s="343">
        <v>0</v>
      </c>
      <c r="CQ84" s="343">
        <v>0</v>
      </c>
      <c r="CR84" s="344">
        <v>0.23647199999999999</v>
      </c>
      <c r="CS84" s="390"/>
      <c r="CT84" s="273">
        <v>0.15208137934875002</v>
      </c>
      <c r="CU84" s="278">
        <v>0.15208137934875002</v>
      </c>
      <c r="CV84" s="278">
        <v>0.15208137934875002</v>
      </c>
      <c r="CW84" s="278">
        <v>0.15208137934875002</v>
      </c>
      <c r="CX84" s="278">
        <v>0.15208137934875002</v>
      </c>
      <c r="CY84" s="278">
        <v>0.15208137934875002</v>
      </c>
      <c r="CZ84" s="278">
        <v>0.15208137934875002</v>
      </c>
      <c r="DA84" s="278">
        <v>0.15208137934875002</v>
      </c>
      <c r="DB84" s="278">
        <v>0.15208137934875002</v>
      </c>
      <c r="DC84" s="278">
        <v>0.15208137934875002</v>
      </c>
      <c r="DD84" s="278">
        <v>0.15208137934875002</v>
      </c>
      <c r="DE84" s="278">
        <v>0.15208137934875002</v>
      </c>
      <c r="DF84" s="390">
        <f t="shared" si="6"/>
        <v>0.45624413804625008</v>
      </c>
      <c r="DG84" s="312">
        <v>0</v>
      </c>
      <c r="DH84" s="281">
        <v>0</v>
      </c>
      <c r="DI84" s="278">
        <v>0</v>
      </c>
      <c r="DJ84" s="278">
        <v>0</v>
      </c>
      <c r="DK84" s="278">
        <v>0</v>
      </c>
      <c r="DL84" s="278">
        <v>0</v>
      </c>
      <c r="DM84" s="278">
        <v>0</v>
      </c>
      <c r="DN84" s="278">
        <v>0</v>
      </c>
      <c r="DO84" s="278">
        <v>0.23115042335161418</v>
      </c>
      <c r="DP84" s="278">
        <v>0</v>
      </c>
      <c r="DQ84" s="278">
        <v>0</v>
      </c>
      <c r="DR84" s="282">
        <v>0.23115042335161418</v>
      </c>
      <c r="DS84" s="226"/>
      <c r="DT84" s="312">
        <v>0</v>
      </c>
      <c r="DU84" s="329">
        <v>0</v>
      </c>
      <c r="DV84" s="342">
        <v>0</v>
      </c>
      <c r="DW84" s="342">
        <v>0</v>
      </c>
      <c r="DX84" s="338">
        <v>0</v>
      </c>
      <c r="DY84" s="341">
        <v>0</v>
      </c>
      <c r="DZ84" s="341">
        <v>0</v>
      </c>
      <c r="EA84" s="341">
        <v>0</v>
      </c>
      <c r="EB84" s="338">
        <v>7.8401844940472025E-3</v>
      </c>
      <c r="EC84" s="338">
        <v>0</v>
      </c>
      <c r="ED84" s="338">
        <v>0</v>
      </c>
      <c r="EE84" s="339">
        <v>7.8936868388286858E-3</v>
      </c>
      <c r="EG84" s="312">
        <v>-0.15208137934875002</v>
      </c>
      <c r="EH84" s="274">
        <v>-0.15208137934875002</v>
      </c>
      <c r="EI84" s="274">
        <v>-0.15208137934875002</v>
      </c>
      <c r="EJ84" s="278">
        <v>-0.15208137934875002</v>
      </c>
      <c r="EK84" s="276">
        <v>-0.15208137934875002</v>
      </c>
      <c r="EL84" s="276">
        <v>-0.15208137934875002</v>
      </c>
      <c r="EM84" s="276">
        <v>-0.15208137934875002</v>
      </c>
      <c r="EN84" s="276">
        <v>-0.15208137934875002</v>
      </c>
      <c r="EO84" s="276">
        <v>7.6314436157202764E-2</v>
      </c>
      <c r="EP84" s="276">
        <v>-0.15208137934875002</v>
      </c>
      <c r="EQ84" s="276">
        <v>-0.15208137934875002</v>
      </c>
      <c r="ER84" s="313">
        <v>7.6496933812421244E-2</v>
      </c>
      <c r="ES84" s="283"/>
      <c r="ET84" s="312">
        <v>0</v>
      </c>
      <c r="EU84" s="274">
        <v>0</v>
      </c>
      <c r="EV84" s="274">
        <v>0</v>
      </c>
      <c r="EW84" s="278">
        <v>0</v>
      </c>
      <c r="EX84" s="338">
        <v>0</v>
      </c>
      <c r="EY84" s="341">
        <v>0</v>
      </c>
      <c r="EZ84" s="341">
        <v>0</v>
      </c>
      <c r="FA84" s="341">
        <v>0</v>
      </c>
      <c r="FB84" s="338">
        <v>4.8081961403638818E-3</v>
      </c>
      <c r="FC84" s="338">
        <v>0</v>
      </c>
      <c r="FD84" s="338">
        <v>0</v>
      </c>
      <c r="FE84" s="339">
        <v>4.8592758016825742E-3</v>
      </c>
      <c r="FG84" s="312">
        <v>0</v>
      </c>
      <c r="FH84" s="274">
        <v>0</v>
      </c>
      <c r="FI84" s="274">
        <v>0</v>
      </c>
      <c r="FJ84" s="278">
        <v>0</v>
      </c>
      <c r="FK84" s="276">
        <v>0</v>
      </c>
      <c r="FL84" s="276">
        <v>0</v>
      </c>
      <c r="FM84" s="276">
        <v>0</v>
      </c>
      <c r="FN84" s="276">
        <v>0</v>
      </c>
      <c r="FO84" s="276">
        <v>2.7738050802194751E-4</v>
      </c>
      <c r="FP84" s="276">
        <v>0</v>
      </c>
      <c r="FQ84" s="276">
        <v>0</v>
      </c>
      <c r="FR84" s="313">
        <v>4.6230084670321846E-4</v>
      </c>
      <c r="FS84" s="283"/>
      <c r="FT84" s="408">
        <v>15.024000000000001</v>
      </c>
      <c r="FU84" s="409">
        <v>60</v>
      </c>
      <c r="FV84" s="409">
        <v>15</v>
      </c>
      <c r="FW84" s="409">
        <v>-44.975999999999999</v>
      </c>
      <c r="FX84" s="410">
        <v>-0.74959999999999993</v>
      </c>
      <c r="FY84" s="416">
        <v>0.47270800000000002</v>
      </c>
      <c r="FZ84" s="412">
        <v>1.8249765521850005</v>
      </c>
      <c r="GA84" s="412">
        <v>0.46230084670322835</v>
      </c>
      <c r="GB84" s="412">
        <v>-1.3522685521850004</v>
      </c>
      <c r="GC84" s="412">
        <v>-1.3680024235178763</v>
      </c>
      <c r="GD84" s="412">
        <v>1.573387133287589E-2</v>
      </c>
      <c r="GE84" s="412">
        <v>7.3968135472516597E-4</v>
      </c>
      <c r="GF84" s="413">
        <v>9.6674719420464551E-3</v>
      </c>
      <c r="GG84" s="214">
        <v>0</v>
      </c>
      <c r="GH84" s="286">
        <v>7.5149999999999997</v>
      </c>
      <c r="GI84" s="260">
        <v>5</v>
      </c>
      <c r="GJ84" s="260">
        <v>7.5</v>
      </c>
      <c r="GK84" s="409">
        <v>2.5149999999999997</v>
      </c>
      <c r="GL84" s="414">
        <v>0.50299999999999989</v>
      </c>
      <c r="GM84" s="275">
        <v>0.23647199999999999</v>
      </c>
      <c r="GN84" s="275">
        <v>0.15208137934875002</v>
      </c>
      <c r="GO84" s="275">
        <v>0.23115042335161418</v>
      </c>
      <c r="GP84" s="412">
        <v>8.439062065124997E-2</v>
      </c>
      <c r="GQ84" s="275">
        <v>7.6496933812421244E-2</v>
      </c>
      <c r="GR84" s="277">
        <v>7.8936868388286858E-3</v>
      </c>
      <c r="GS84" s="275">
        <v>4.6230084670321846E-4</v>
      </c>
      <c r="GT84" s="284">
        <v>4.8592758016825742E-3</v>
      </c>
      <c r="GU84" s="292">
        <v>-5.1979574377534494E-3</v>
      </c>
      <c r="GV84" s="345"/>
      <c r="GW84" s="293"/>
      <c r="GX84" s="294"/>
      <c r="GY84" s="293"/>
      <c r="GZ84" s="293"/>
      <c r="HA84" s="293"/>
      <c r="HB84" s="293"/>
      <c r="HC84" s="295"/>
    </row>
    <row r="85" spans="1:211" s="212" customFormat="1" ht="12.75" customHeight="1">
      <c r="A85" s="406"/>
      <c r="B85" s="299" t="s">
        <v>286</v>
      </c>
      <c r="C85" s="297" t="s">
        <v>135</v>
      </c>
      <c r="D85" s="299" t="s">
        <v>52</v>
      </c>
      <c r="E85" s="299" t="s">
        <v>287</v>
      </c>
      <c r="F85" s="382" t="s">
        <v>277</v>
      </c>
      <c r="G85" s="301">
        <v>0</v>
      </c>
      <c r="H85" s="301">
        <v>0</v>
      </c>
      <c r="I85" s="258">
        <v>0</v>
      </c>
      <c r="J85" s="302">
        <v>0</v>
      </c>
      <c r="K85" s="404">
        <v>0</v>
      </c>
      <c r="L85" s="405">
        <v>0</v>
      </c>
      <c r="M85" s="261">
        <v>0</v>
      </c>
      <c r="N85" s="405">
        <v>0</v>
      </c>
      <c r="O85" s="261">
        <v>0</v>
      </c>
      <c r="P85" s="405">
        <v>0</v>
      </c>
      <c r="Q85" s="261">
        <v>0</v>
      </c>
      <c r="R85" s="303">
        <v>0</v>
      </c>
      <c r="S85" s="261">
        <f t="shared" si="5"/>
        <v>0</v>
      </c>
      <c r="T85" s="305">
        <v>0</v>
      </c>
      <c r="U85" s="267">
        <v>0</v>
      </c>
      <c r="V85" s="259">
        <v>0</v>
      </c>
      <c r="W85" s="259">
        <v>0</v>
      </c>
      <c r="X85" s="259">
        <v>0</v>
      </c>
      <c r="Y85" s="259">
        <v>0</v>
      </c>
      <c r="Z85" s="259">
        <v>0</v>
      </c>
      <c r="AA85" s="259">
        <v>0</v>
      </c>
      <c r="AB85" s="259">
        <v>0</v>
      </c>
      <c r="AC85" s="259">
        <v>0</v>
      </c>
      <c r="AD85" s="259">
        <v>0</v>
      </c>
      <c r="AE85" s="268">
        <v>0</v>
      </c>
      <c r="AF85" s="209"/>
      <c r="AG85" s="417">
        <v>0</v>
      </c>
      <c r="AH85" s="302">
        <v>0</v>
      </c>
      <c r="AI85" s="259">
        <v>0</v>
      </c>
      <c r="AJ85" s="259">
        <v>0</v>
      </c>
      <c r="AK85" s="259">
        <v>0</v>
      </c>
      <c r="AL85" s="259">
        <v>0</v>
      </c>
      <c r="AM85" s="259">
        <v>0</v>
      </c>
      <c r="AN85" s="259">
        <v>0</v>
      </c>
      <c r="AO85" s="259">
        <v>0</v>
      </c>
      <c r="AP85" s="259">
        <v>0</v>
      </c>
      <c r="AQ85" s="259">
        <v>0</v>
      </c>
      <c r="AR85" s="268">
        <v>0</v>
      </c>
      <c r="AS85" s="269">
        <v>0</v>
      </c>
      <c r="AT85" s="351">
        <v>0</v>
      </c>
      <c r="AU85" s="259">
        <v>0</v>
      </c>
      <c r="AV85" s="259">
        <v>0</v>
      </c>
      <c r="AW85" s="259">
        <v>0</v>
      </c>
      <c r="AX85" s="336">
        <v>0</v>
      </c>
      <c r="AY85" s="336">
        <v>0</v>
      </c>
      <c r="AZ85" s="335">
        <v>0</v>
      </c>
      <c r="BA85" s="335">
        <v>0</v>
      </c>
      <c r="BB85" s="335">
        <v>0</v>
      </c>
      <c r="BC85" s="335">
        <v>0</v>
      </c>
      <c r="BD85" s="335">
        <v>0</v>
      </c>
      <c r="BE85" s="308">
        <v>0</v>
      </c>
      <c r="BF85" s="209"/>
      <c r="BG85" s="305">
        <v>0</v>
      </c>
      <c r="BH85" s="259">
        <v>0</v>
      </c>
      <c r="BI85" s="259">
        <v>0</v>
      </c>
      <c r="BJ85" s="259">
        <v>0</v>
      </c>
      <c r="BK85" s="259">
        <v>0</v>
      </c>
      <c r="BL85" s="259">
        <v>0</v>
      </c>
      <c r="BM85" s="259">
        <v>0</v>
      </c>
      <c r="BN85" s="259">
        <v>0</v>
      </c>
      <c r="BO85" s="259">
        <v>0</v>
      </c>
      <c r="BP85" s="259">
        <v>0</v>
      </c>
      <c r="BQ85" s="259">
        <v>0</v>
      </c>
      <c r="BR85" s="268">
        <v>0</v>
      </c>
      <c r="BS85" s="209"/>
      <c r="BT85" s="389">
        <v>0</v>
      </c>
      <c r="BU85" s="307">
        <v>0</v>
      </c>
      <c r="BV85" s="307">
        <v>0</v>
      </c>
      <c r="BW85" s="307">
        <v>0</v>
      </c>
      <c r="BX85" s="307">
        <v>0</v>
      </c>
      <c r="BY85" s="307">
        <v>0</v>
      </c>
      <c r="BZ85" s="307">
        <v>0</v>
      </c>
      <c r="CA85" s="307">
        <v>0</v>
      </c>
      <c r="CB85" s="307">
        <v>0</v>
      </c>
      <c r="CC85" s="307">
        <v>0</v>
      </c>
      <c r="CD85" s="307">
        <v>0</v>
      </c>
      <c r="CE85" s="308">
        <v>0</v>
      </c>
      <c r="CG85" s="326">
        <v>0</v>
      </c>
      <c r="CH85" s="342">
        <v>0</v>
      </c>
      <c r="CI85" s="342">
        <v>0</v>
      </c>
      <c r="CJ85" s="342">
        <v>0</v>
      </c>
      <c r="CK85" s="342">
        <v>0</v>
      </c>
      <c r="CL85" s="342">
        <v>0</v>
      </c>
      <c r="CM85" s="343">
        <v>0</v>
      </c>
      <c r="CN85" s="343">
        <v>0</v>
      </c>
      <c r="CO85" s="343">
        <v>0</v>
      </c>
      <c r="CP85" s="343">
        <v>0</v>
      </c>
      <c r="CQ85" s="343">
        <v>0</v>
      </c>
      <c r="CR85" s="344">
        <v>0</v>
      </c>
      <c r="CS85" s="390"/>
      <c r="CT85" s="273">
        <v>0</v>
      </c>
      <c r="CU85" s="278">
        <v>0</v>
      </c>
      <c r="CV85" s="278">
        <v>0</v>
      </c>
      <c r="CW85" s="278">
        <v>0</v>
      </c>
      <c r="CX85" s="278">
        <v>0</v>
      </c>
      <c r="CY85" s="278">
        <v>0</v>
      </c>
      <c r="CZ85" s="278">
        <v>0</v>
      </c>
      <c r="DA85" s="278">
        <v>0</v>
      </c>
      <c r="DB85" s="278">
        <v>0</v>
      </c>
      <c r="DC85" s="278">
        <v>0</v>
      </c>
      <c r="DD85" s="278">
        <v>0</v>
      </c>
      <c r="DE85" s="278">
        <v>0</v>
      </c>
      <c r="DF85" s="390">
        <f t="shared" si="6"/>
        <v>0</v>
      </c>
      <c r="DG85" s="312">
        <v>0</v>
      </c>
      <c r="DH85" s="281">
        <v>0</v>
      </c>
      <c r="DI85" s="278">
        <v>0</v>
      </c>
      <c r="DJ85" s="278">
        <v>0</v>
      </c>
      <c r="DK85" s="278">
        <v>0</v>
      </c>
      <c r="DL85" s="278">
        <v>0</v>
      </c>
      <c r="DM85" s="278">
        <v>0</v>
      </c>
      <c r="DN85" s="278">
        <v>0</v>
      </c>
      <c r="DO85" s="278">
        <v>0</v>
      </c>
      <c r="DP85" s="278">
        <v>0</v>
      </c>
      <c r="DQ85" s="278">
        <v>0</v>
      </c>
      <c r="DR85" s="282">
        <v>0</v>
      </c>
      <c r="DS85" s="226"/>
      <c r="DT85" s="312">
        <v>0</v>
      </c>
      <c r="DU85" s="329">
        <v>0</v>
      </c>
      <c r="DV85" s="342">
        <v>0</v>
      </c>
      <c r="DW85" s="342">
        <v>0</v>
      </c>
      <c r="DX85" s="338">
        <v>0</v>
      </c>
      <c r="DY85" s="341">
        <v>0</v>
      </c>
      <c r="DZ85" s="341">
        <v>0</v>
      </c>
      <c r="EA85" s="341">
        <v>0</v>
      </c>
      <c r="EB85" s="338">
        <v>0</v>
      </c>
      <c r="EC85" s="338">
        <v>0</v>
      </c>
      <c r="ED85" s="338">
        <v>0</v>
      </c>
      <c r="EE85" s="339">
        <v>0</v>
      </c>
      <c r="EG85" s="312">
        <v>0</v>
      </c>
      <c r="EH85" s="274">
        <v>0</v>
      </c>
      <c r="EI85" s="274">
        <v>0</v>
      </c>
      <c r="EJ85" s="278">
        <v>0</v>
      </c>
      <c r="EK85" s="276">
        <v>0</v>
      </c>
      <c r="EL85" s="276">
        <v>0</v>
      </c>
      <c r="EM85" s="276">
        <v>0</v>
      </c>
      <c r="EN85" s="276">
        <v>0</v>
      </c>
      <c r="EO85" s="276">
        <v>0</v>
      </c>
      <c r="EP85" s="276">
        <v>0</v>
      </c>
      <c r="EQ85" s="276">
        <v>0</v>
      </c>
      <c r="ER85" s="313">
        <v>0</v>
      </c>
      <c r="ES85" s="283"/>
      <c r="ET85" s="312">
        <v>0</v>
      </c>
      <c r="EU85" s="274">
        <v>0</v>
      </c>
      <c r="EV85" s="274">
        <v>0</v>
      </c>
      <c r="EW85" s="278">
        <v>0</v>
      </c>
      <c r="EX85" s="338">
        <v>0</v>
      </c>
      <c r="EY85" s="341">
        <v>0</v>
      </c>
      <c r="EZ85" s="341">
        <v>0</v>
      </c>
      <c r="FA85" s="341">
        <v>0</v>
      </c>
      <c r="FB85" s="338">
        <v>0</v>
      </c>
      <c r="FC85" s="338">
        <v>0</v>
      </c>
      <c r="FD85" s="338">
        <v>0</v>
      </c>
      <c r="FE85" s="339">
        <v>0</v>
      </c>
      <c r="FG85" s="312">
        <v>0</v>
      </c>
      <c r="FH85" s="274">
        <v>0</v>
      </c>
      <c r="FI85" s="274">
        <v>0</v>
      </c>
      <c r="FJ85" s="278">
        <v>0</v>
      </c>
      <c r="FK85" s="276">
        <v>0</v>
      </c>
      <c r="FL85" s="276">
        <v>0</v>
      </c>
      <c r="FM85" s="276">
        <v>0</v>
      </c>
      <c r="FN85" s="276">
        <v>0</v>
      </c>
      <c r="FO85" s="276">
        <v>0</v>
      </c>
      <c r="FP85" s="276">
        <v>0</v>
      </c>
      <c r="FQ85" s="276">
        <v>0</v>
      </c>
      <c r="FR85" s="313">
        <v>0</v>
      </c>
      <c r="FS85" s="283"/>
      <c r="FT85" s="408">
        <v>0</v>
      </c>
      <c r="FU85" s="409">
        <v>0</v>
      </c>
      <c r="FV85" s="409">
        <v>0</v>
      </c>
      <c r="FW85" s="409">
        <v>0</v>
      </c>
      <c r="FX85" s="410">
        <v>0</v>
      </c>
      <c r="FY85" s="416">
        <v>0</v>
      </c>
      <c r="FZ85" s="412">
        <v>0</v>
      </c>
      <c r="GA85" s="412">
        <v>0</v>
      </c>
      <c r="GB85" s="412">
        <v>0</v>
      </c>
      <c r="GC85" s="412">
        <v>0</v>
      </c>
      <c r="GD85" s="412">
        <v>0</v>
      </c>
      <c r="GE85" s="412">
        <v>0</v>
      </c>
      <c r="GF85" s="413">
        <v>0</v>
      </c>
      <c r="GG85" s="214">
        <v>0</v>
      </c>
      <c r="GH85" s="286">
        <v>0</v>
      </c>
      <c r="GI85" s="260">
        <v>0</v>
      </c>
      <c r="GJ85" s="260">
        <v>0</v>
      </c>
      <c r="GK85" s="409">
        <v>0</v>
      </c>
      <c r="GL85" s="414">
        <v>0</v>
      </c>
      <c r="GM85" s="275">
        <v>0</v>
      </c>
      <c r="GN85" s="275">
        <v>0</v>
      </c>
      <c r="GO85" s="275">
        <v>0</v>
      </c>
      <c r="GP85" s="412">
        <v>0</v>
      </c>
      <c r="GQ85" s="275">
        <v>0</v>
      </c>
      <c r="GR85" s="277">
        <v>0</v>
      </c>
      <c r="GS85" s="275">
        <v>0</v>
      </c>
      <c r="GT85" s="284">
        <v>0</v>
      </c>
      <c r="GU85" s="292">
        <v>0</v>
      </c>
      <c r="GV85" s="345"/>
      <c r="GW85" s="293"/>
      <c r="GX85" s="294"/>
      <c r="GY85" s="293"/>
      <c r="GZ85" s="293"/>
      <c r="HA85" s="293"/>
      <c r="HB85" s="293"/>
      <c r="HC85" s="295"/>
    </row>
    <row r="86" spans="1:211" s="212" customFormat="1" ht="12.75" customHeight="1" thickBot="1">
      <c r="A86" s="406"/>
      <c r="B86" s="299" t="s">
        <v>288</v>
      </c>
      <c r="C86" s="299" t="s">
        <v>135</v>
      </c>
      <c r="D86" s="299" t="s">
        <v>28</v>
      </c>
      <c r="E86" s="299" t="s">
        <v>289</v>
      </c>
      <c r="F86" s="382" t="s">
        <v>271</v>
      </c>
      <c r="G86" s="301">
        <v>20.105</v>
      </c>
      <c r="H86" s="301">
        <v>7.12</v>
      </c>
      <c r="I86" s="258">
        <v>20.007000000000001</v>
      </c>
      <c r="J86" s="302">
        <v>11.468999999999999</v>
      </c>
      <c r="K86" s="404">
        <v>14.038</v>
      </c>
      <c r="L86" s="405">
        <v>0</v>
      </c>
      <c r="M86" s="261">
        <v>11.129</v>
      </c>
      <c r="N86" s="405">
        <v>0</v>
      </c>
      <c r="O86" s="261">
        <v>13.9</v>
      </c>
      <c r="P86" s="405">
        <v>0</v>
      </c>
      <c r="Q86" s="261">
        <v>5.9859999999999998</v>
      </c>
      <c r="R86" s="303">
        <v>7.5170000000000003</v>
      </c>
      <c r="S86" s="261">
        <f t="shared" si="5"/>
        <v>13.503</v>
      </c>
      <c r="T86" s="305">
        <v>10.833333333333332</v>
      </c>
      <c r="U86" s="267">
        <v>10.833333333333332</v>
      </c>
      <c r="V86" s="259">
        <v>10.833333333333332</v>
      </c>
      <c r="W86" s="259">
        <v>10.833333333333332</v>
      </c>
      <c r="X86" s="259">
        <v>10.833333333333332</v>
      </c>
      <c r="Y86" s="259">
        <v>10.833333333333332</v>
      </c>
      <c r="Z86" s="259">
        <v>10.833333333333332</v>
      </c>
      <c r="AA86" s="259">
        <v>10.833333333333332</v>
      </c>
      <c r="AB86" s="259">
        <v>10.833333333333332</v>
      </c>
      <c r="AC86" s="259">
        <v>10.833333333333332</v>
      </c>
      <c r="AD86" s="259">
        <v>10.833333333333332</v>
      </c>
      <c r="AE86" s="268">
        <v>10.833333333333332</v>
      </c>
      <c r="AF86" s="209"/>
      <c r="AG86" s="418">
        <v>0</v>
      </c>
      <c r="AH86" s="302">
        <v>14.3</v>
      </c>
      <c r="AI86" s="259">
        <v>20.5</v>
      </c>
      <c r="AJ86" s="259">
        <v>13.5</v>
      </c>
      <c r="AK86" s="259">
        <v>15.2712</v>
      </c>
      <c r="AL86" s="259">
        <v>6</v>
      </c>
      <c r="AM86" s="259">
        <v>12</v>
      </c>
      <c r="AN86" s="259">
        <v>0</v>
      </c>
      <c r="AO86" s="259">
        <v>13.5</v>
      </c>
      <c r="AP86" s="259">
        <v>0</v>
      </c>
      <c r="AQ86" s="259">
        <v>6</v>
      </c>
      <c r="AR86" s="268">
        <v>7.5</v>
      </c>
      <c r="AS86" s="269">
        <v>1.8918459899133328E-3</v>
      </c>
      <c r="AT86" s="351">
        <v>212799.75130564533</v>
      </c>
      <c r="AU86" s="259">
        <v>173330.89887640451</v>
      </c>
      <c r="AV86" s="259">
        <v>266445.6140350877</v>
      </c>
      <c r="AW86" s="259">
        <v>230350.67224692652</v>
      </c>
      <c r="AX86" s="336">
        <v>251365.80709502782</v>
      </c>
      <c r="AY86" s="336">
        <v>0</v>
      </c>
      <c r="AZ86" s="335">
        <v>320678.19211070181</v>
      </c>
      <c r="BA86" s="335">
        <v>0</v>
      </c>
      <c r="BB86" s="335">
        <v>235488.17266187049</v>
      </c>
      <c r="BC86" s="335">
        <v>0</v>
      </c>
      <c r="BD86" s="335">
        <v>320661.30972268624</v>
      </c>
      <c r="BE86" s="308">
        <v>173328.72156445391</v>
      </c>
      <c r="BF86" s="209"/>
      <c r="BG86" s="305">
        <v>181492.9730447644</v>
      </c>
      <c r="BH86" s="259">
        <v>181492.9730447644</v>
      </c>
      <c r="BI86" s="259">
        <v>181492.9730447644</v>
      </c>
      <c r="BJ86" s="259">
        <v>181492.9730447644</v>
      </c>
      <c r="BK86" s="259">
        <v>181492.9730447644</v>
      </c>
      <c r="BL86" s="259">
        <v>181492.9730447644</v>
      </c>
      <c r="BM86" s="259">
        <v>181492.9730447644</v>
      </c>
      <c r="BN86" s="259">
        <v>181492.9730447644</v>
      </c>
      <c r="BO86" s="259">
        <v>181492.9730447644</v>
      </c>
      <c r="BP86" s="259">
        <v>181492.9730447644</v>
      </c>
      <c r="BQ86" s="259">
        <v>181492.9730447644</v>
      </c>
      <c r="BR86" s="268">
        <v>181492.9730447644</v>
      </c>
      <c r="BS86" s="209"/>
      <c r="BT86" s="389">
        <v>0</v>
      </c>
      <c r="BU86" s="307">
        <v>243393.93939393939</v>
      </c>
      <c r="BV86" s="307">
        <v>266764.22764227644</v>
      </c>
      <c r="BW86" s="307">
        <v>238814.81481481483</v>
      </c>
      <c r="BX86" s="307">
        <v>248308.24034784434</v>
      </c>
      <c r="BY86" s="307">
        <v>320666.66666666669</v>
      </c>
      <c r="BZ86" s="307">
        <v>320666.66666666669</v>
      </c>
      <c r="CA86" s="307">
        <v>0</v>
      </c>
      <c r="CB86" s="307">
        <v>238814.81481481483</v>
      </c>
      <c r="CC86" s="307">
        <v>0</v>
      </c>
      <c r="CD86" s="307">
        <v>320666.66666666669</v>
      </c>
      <c r="CE86" s="308">
        <v>173333.33333333331</v>
      </c>
      <c r="CG86" s="326">
        <v>0.42783389999999999</v>
      </c>
      <c r="CH86" s="342">
        <v>0.1234116</v>
      </c>
      <c r="CI86" s="342">
        <v>0.53307773999999997</v>
      </c>
      <c r="CJ86" s="342">
        <v>0.26418918600000002</v>
      </c>
      <c r="CK86" s="342">
        <v>0.35286732000000004</v>
      </c>
      <c r="CL86" s="342">
        <v>5.2000000000000002E-6</v>
      </c>
      <c r="CM86" s="343">
        <v>0.35688276000000002</v>
      </c>
      <c r="CN86" s="343">
        <v>0</v>
      </c>
      <c r="CO86" s="343">
        <v>0.32732855999999999</v>
      </c>
      <c r="CP86" s="343">
        <v>0</v>
      </c>
      <c r="CQ86" s="343">
        <v>0.19194786</v>
      </c>
      <c r="CR86" s="344">
        <v>0.1302912</v>
      </c>
      <c r="CS86" s="390"/>
      <c r="CT86" s="273">
        <v>0.19661738746516139</v>
      </c>
      <c r="CU86" s="278">
        <v>0.19661738746516139</v>
      </c>
      <c r="CV86" s="278">
        <v>0.19661738746516139</v>
      </c>
      <c r="CW86" s="278">
        <v>0.19661738746516139</v>
      </c>
      <c r="CX86" s="278">
        <v>0.19661738746516139</v>
      </c>
      <c r="CY86" s="278">
        <v>0.19661738746516139</v>
      </c>
      <c r="CZ86" s="278">
        <v>0.19661738746516139</v>
      </c>
      <c r="DA86" s="278">
        <v>0.19661738746516139</v>
      </c>
      <c r="DB86" s="278">
        <v>0.19661738746516139</v>
      </c>
      <c r="DC86" s="278">
        <v>0.19661738746516139</v>
      </c>
      <c r="DD86" s="278">
        <v>0.19661738746516139</v>
      </c>
      <c r="DE86" s="278">
        <v>0.19661738746516139</v>
      </c>
      <c r="DF86" s="390">
        <f t="shared" si="6"/>
        <v>0.58985216239548421</v>
      </c>
      <c r="DG86" s="312">
        <v>0</v>
      </c>
      <c r="DH86" s="281">
        <v>0.34805333333333333</v>
      </c>
      <c r="DI86" s="278">
        <v>0.54686666666666672</v>
      </c>
      <c r="DJ86" s="278">
        <v>0.32240000000000002</v>
      </c>
      <c r="DK86" s="278">
        <v>0.37919648000000006</v>
      </c>
      <c r="DL86" s="278">
        <v>0.19239999999999999</v>
      </c>
      <c r="DM86" s="278">
        <v>0.38479999999999998</v>
      </c>
      <c r="DN86" s="278">
        <v>0</v>
      </c>
      <c r="DO86" s="278">
        <v>0.32240000000000002</v>
      </c>
      <c r="DP86" s="278">
        <v>0</v>
      </c>
      <c r="DQ86" s="278">
        <v>0.19239999999999999</v>
      </c>
      <c r="DR86" s="282">
        <v>0.13</v>
      </c>
      <c r="DS86" s="226"/>
      <c r="DT86" s="312">
        <v>6.2942277693501122E-2</v>
      </c>
      <c r="DU86" s="329">
        <v>-5.8113968078722412E-3</v>
      </c>
      <c r="DV86" s="342">
        <v>0.16996474882933985</v>
      </c>
      <c r="DW86" s="342">
        <v>5.6034895214959732E-2</v>
      </c>
      <c r="DX86" s="338">
        <v>9.8087484439759801E-2</v>
      </c>
      <c r="DY86" s="341">
        <v>0</v>
      </c>
      <c r="DZ86" s="341">
        <v>0.15489923029848174</v>
      </c>
      <c r="EA86" s="341">
        <v>0</v>
      </c>
      <c r="EB86" s="338">
        <v>7.5053327467777459E-2</v>
      </c>
      <c r="EC86" s="338">
        <v>0</v>
      </c>
      <c r="ED86" s="338">
        <v>8.3306166335404011E-2</v>
      </c>
      <c r="EE86" s="339">
        <v>-6.1370678377493928E-3</v>
      </c>
      <c r="EG86" s="312">
        <v>0.16827423484133744</v>
      </c>
      <c r="EH86" s="274">
        <v>-6.7394390657289152E-2</v>
      </c>
      <c r="EI86" s="274">
        <v>0.16649560370549873</v>
      </c>
      <c r="EJ86" s="278">
        <v>1.1536903319878868E-2</v>
      </c>
      <c r="EK86" s="276">
        <v>5.816244809507886E-2</v>
      </c>
      <c r="EL86" s="276">
        <v>-0.19661738746516141</v>
      </c>
      <c r="EM86" s="276">
        <v>5.3661422363568811E-3</v>
      </c>
      <c r="EN86" s="276">
        <v>-0.19661738746516141</v>
      </c>
      <c r="EO86" s="276">
        <v>5.5657845067061111E-2</v>
      </c>
      <c r="EP86" s="276">
        <v>-0.19661738746516141</v>
      </c>
      <c r="EQ86" s="276">
        <v>-8.7975693800565455E-2</v>
      </c>
      <c r="ER86" s="313">
        <v>-6.0189119627412004E-2</v>
      </c>
      <c r="ES86" s="283"/>
      <c r="ET86" s="312">
        <v>0.42783389999999993</v>
      </c>
      <c r="EU86" s="274">
        <v>-4.9884884848484842E-2</v>
      </c>
      <c r="EV86" s="274">
        <v>-6.37450243902522E-4</v>
      </c>
      <c r="EW86" s="278">
        <v>-9.7075251111111028E-3</v>
      </c>
      <c r="EX86" s="338">
        <v>4.2922121996961625E-3</v>
      </c>
      <c r="EY86" s="341">
        <v>0</v>
      </c>
      <c r="EZ86" s="341">
        <v>1.2826666666693166E-5</v>
      </c>
      <c r="FA86" s="341">
        <v>0</v>
      </c>
      <c r="FB86" s="338">
        <v>-4.6240325925926426E-3</v>
      </c>
      <c r="FC86" s="338">
        <v>0</v>
      </c>
      <c r="FD86" s="338">
        <v>-3.2066666666922395E-6</v>
      </c>
      <c r="FE86" s="339">
        <v>-3.4666666666478563E-6</v>
      </c>
      <c r="FG86" s="312">
        <v>0</v>
      </c>
      <c r="FH86" s="274">
        <v>-0.17475684848484851</v>
      </c>
      <c r="FI86" s="274">
        <v>-1.3151476422764189E-2</v>
      </c>
      <c r="FJ86" s="278">
        <v>-4.8503288888888905E-2</v>
      </c>
      <c r="FK86" s="276">
        <v>-3.062137219969617E-2</v>
      </c>
      <c r="FL86" s="276">
        <v>-0.19239999999999999</v>
      </c>
      <c r="FM86" s="276">
        <v>-2.793006666666668E-2</v>
      </c>
      <c r="FN86" s="276">
        <v>0</v>
      </c>
      <c r="FO86" s="276">
        <v>9.5525925925926021E-3</v>
      </c>
      <c r="FP86" s="276">
        <v>0</v>
      </c>
      <c r="FQ86" s="276">
        <v>-4.4893333333334085E-4</v>
      </c>
      <c r="FR86" s="313">
        <v>2.9466666666667267E-4</v>
      </c>
      <c r="FS86" s="283"/>
      <c r="FT86" s="408">
        <v>111.27100000000002</v>
      </c>
      <c r="FU86" s="409">
        <v>129.99999999999997</v>
      </c>
      <c r="FV86" s="409">
        <v>108.5712</v>
      </c>
      <c r="FW86" s="409">
        <v>-18.728999999999957</v>
      </c>
      <c r="FX86" s="410">
        <v>-0.14406923076923048</v>
      </c>
      <c r="FY86" s="411">
        <v>2.7078353260000001</v>
      </c>
      <c r="FZ86" s="412">
        <v>2.3594086495819364</v>
      </c>
      <c r="GA86" s="412">
        <v>2.81851648</v>
      </c>
      <c r="GB86" s="412">
        <v>0.34842667641806369</v>
      </c>
      <c r="GC86" s="412">
        <v>-0.33991818921553896</v>
      </c>
      <c r="GD86" s="412">
        <v>0.68833966563360205</v>
      </c>
      <c r="GE86" s="412">
        <v>-0.47796472673693852</v>
      </c>
      <c r="GF86" s="413">
        <v>0.36727837273693825</v>
      </c>
      <c r="GG86" s="214">
        <v>-5.2000000005936187E-6</v>
      </c>
      <c r="GH86" s="286">
        <v>7.5170000000000003</v>
      </c>
      <c r="GI86" s="260">
        <v>10.833333333333332</v>
      </c>
      <c r="GJ86" s="260">
        <v>7.5</v>
      </c>
      <c r="GK86" s="409">
        <v>-3.3163333333333318</v>
      </c>
      <c r="GL86" s="414">
        <v>-0.30612307692307683</v>
      </c>
      <c r="GM86" s="275">
        <v>0.1302912</v>
      </c>
      <c r="GN86" s="275">
        <v>0.19661738746516139</v>
      </c>
      <c r="GO86" s="275">
        <v>0.13</v>
      </c>
      <c r="GP86" s="412">
        <v>-6.632618746516139E-2</v>
      </c>
      <c r="GQ86" s="275">
        <v>-6.0189119627412004E-2</v>
      </c>
      <c r="GR86" s="277">
        <v>-6.1370678377493928E-3</v>
      </c>
      <c r="GS86" s="275">
        <v>2.9466666666667267E-4</v>
      </c>
      <c r="GT86" s="284">
        <v>-3.4666666666478563E-6</v>
      </c>
      <c r="GU86" s="292">
        <v>-2.82853971362857E-3</v>
      </c>
      <c r="GV86" s="345"/>
      <c r="GW86" s="293"/>
      <c r="GX86" s="294"/>
      <c r="GY86" s="293"/>
      <c r="GZ86" s="293"/>
      <c r="HA86" s="293"/>
      <c r="HB86" s="293"/>
      <c r="HC86" s="295"/>
    </row>
    <row r="87" spans="1:211" s="381" customFormat="1" ht="12.75" customHeight="1" thickBot="1">
      <c r="A87" s="352"/>
      <c r="B87" s="419"/>
      <c r="C87" s="420"/>
      <c r="D87" s="1078" t="s">
        <v>290</v>
      </c>
      <c r="E87" s="1079"/>
      <c r="F87" s="1080"/>
      <c r="G87" s="356">
        <v>325.08700000000005</v>
      </c>
      <c r="H87" s="356">
        <v>260.05</v>
      </c>
      <c r="I87" s="356">
        <v>648.24199999999985</v>
      </c>
      <c r="J87" s="356">
        <v>616.14200000000005</v>
      </c>
      <c r="K87" s="356">
        <v>530.35199999999986</v>
      </c>
      <c r="L87" s="356">
        <v>484.30200000000008</v>
      </c>
      <c r="M87" s="356">
        <v>492.58099999999996</v>
      </c>
      <c r="N87" s="356">
        <v>308.68099999999998</v>
      </c>
      <c r="O87" s="356">
        <v>430.315</v>
      </c>
      <c r="P87" s="356">
        <v>497.59059999999999</v>
      </c>
      <c r="Q87" s="356">
        <v>548.66800000000012</v>
      </c>
      <c r="R87" s="356">
        <v>789.67200000000014</v>
      </c>
      <c r="S87" s="261">
        <f t="shared" si="5"/>
        <v>1835.9306000000001</v>
      </c>
      <c r="T87" s="422">
        <v>352.66833333333335</v>
      </c>
      <c r="U87" s="422">
        <v>295.58033333333333</v>
      </c>
      <c r="V87" s="422">
        <v>453.75133333333332</v>
      </c>
      <c r="W87" s="422">
        <v>413.22533333333331</v>
      </c>
      <c r="X87" s="422">
        <v>580.83333333333337</v>
      </c>
      <c r="Y87" s="422">
        <v>507.11133333333333</v>
      </c>
      <c r="Z87" s="422">
        <v>607.50533333333328</v>
      </c>
      <c r="AA87" s="422">
        <v>322.83333333333331</v>
      </c>
      <c r="AB87" s="422">
        <v>517.6583333333333</v>
      </c>
      <c r="AC87" s="422">
        <v>588.37333333333345</v>
      </c>
      <c r="AD87" s="422">
        <v>364.5333333333333</v>
      </c>
      <c r="AE87" s="422">
        <v>417.98433333333327</v>
      </c>
      <c r="AF87" s="423"/>
      <c r="AG87" s="422">
        <v>0</v>
      </c>
      <c r="AH87" s="424">
        <v>308.96559999999999</v>
      </c>
      <c r="AI87" s="425">
        <v>623.24936000000002</v>
      </c>
      <c r="AJ87" s="422">
        <v>672.66099999999994</v>
      </c>
      <c r="AK87" s="422">
        <v>505.24150000000003</v>
      </c>
      <c r="AL87" s="422">
        <v>564.10670000000005</v>
      </c>
      <c r="AM87" s="422">
        <v>511.255</v>
      </c>
      <c r="AN87" s="422">
        <v>387.52187700000002</v>
      </c>
      <c r="AO87" s="422">
        <v>388.267</v>
      </c>
      <c r="AP87" s="422">
        <v>491.20069999999993</v>
      </c>
      <c r="AQ87" s="422">
        <v>289.08789999999999</v>
      </c>
      <c r="AR87" s="424">
        <v>841.99170000000004</v>
      </c>
      <c r="AS87" s="426">
        <v>0.21238914949137461</v>
      </c>
      <c r="AT87" s="422">
        <v>148365.03898956274</v>
      </c>
      <c r="AU87" s="422">
        <v>144135.41761199769</v>
      </c>
      <c r="AV87" s="422">
        <v>143013.76245291115</v>
      </c>
      <c r="AW87" s="422">
        <v>152501.05803532299</v>
      </c>
      <c r="AX87" s="422">
        <v>141795.3145458111</v>
      </c>
      <c r="AY87" s="422">
        <v>155346.6470714554</v>
      </c>
      <c r="AZ87" s="422">
        <v>163056.85988700335</v>
      </c>
      <c r="BA87" s="422">
        <v>159284.05862362764</v>
      </c>
      <c r="BB87" s="422">
        <v>181896.42094744544</v>
      </c>
      <c r="BC87" s="422">
        <v>114501.06022903167</v>
      </c>
      <c r="BD87" s="422">
        <v>33982.106264626316</v>
      </c>
      <c r="BE87" s="427"/>
      <c r="BF87" s="360"/>
      <c r="BG87" s="422">
        <v>152400.73227869219</v>
      </c>
      <c r="BH87" s="425">
        <v>150693.83674793821</v>
      </c>
      <c r="BI87" s="425">
        <v>146730.44591890281</v>
      </c>
      <c r="BJ87" s="425">
        <v>144862.67006926687</v>
      </c>
      <c r="BK87" s="425">
        <v>143287.55814868942</v>
      </c>
      <c r="BL87" s="425">
        <v>145982.63746762736</v>
      </c>
      <c r="BM87" s="425">
        <v>145312.44426919491</v>
      </c>
      <c r="BN87" s="425">
        <v>150644.40720854513</v>
      </c>
      <c r="BO87" s="425">
        <v>148903.12733385127</v>
      </c>
      <c r="BP87" s="425">
        <v>141861.12920765183</v>
      </c>
      <c r="BQ87" s="425">
        <v>151701.83209746677</v>
      </c>
      <c r="BR87" s="427">
        <v>143775.00682340038</v>
      </c>
      <c r="BS87" s="360"/>
      <c r="BT87" s="428">
        <v>0</v>
      </c>
      <c r="BU87" s="429">
        <v>151884.31926964916</v>
      </c>
      <c r="BV87" s="429">
        <v>144959.68105607267</v>
      </c>
      <c r="BW87" s="429">
        <v>157005.24225913864</v>
      </c>
      <c r="BX87" s="429">
        <v>144228.38712042218</v>
      </c>
      <c r="BY87" s="429">
        <v>157922.49453977216</v>
      </c>
      <c r="BZ87" s="429">
        <v>163513.34541475817</v>
      </c>
      <c r="CA87" s="429">
        <v>158282.29290824683</v>
      </c>
      <c r="CB87" s="429">
        <v>191354.53367248713</v>
      </c>
      <c r="CC87" s="429">
        <v>130070.67742767</v>
      </c>
      <c r="CD87" s="429">
        <v>104133.21991691696</v>
      </c>
      <c r="CE87" s="430">
        <v>132759.83160902211</v>
      </c>
      <c r="CF87" s="361"/>
      <c r="CG87" s="431">
        <v>4.8231545429999994</v>
      </c>
      <c r="CH87" s="431">
        <v>3.748241535</v>
      </c>
      <c r="CI87" s="431">
        <v>9.2707527400000007</v>
      </c>
      <c r="CJ87" s="431">
        <v>9.3962306899999977</v>
      </c>
      <c r="CK87" s="431">
        <v>7.5201428659999987</v>
      </c>
      <c r="CL87" s="431">
        <v>7.5234691870000008</v>
      </c>
      <c r="CM87" s="431">
        <v>8.0318711099999991</v>
      </c>
      <c r="CN87" s="431">
        <v>4.91679625</v>
      </c>
      <c r="CO87" s="431">
        <v>7.8272758379999985</v>
      </c>
      <c r="CP87" s="431">
        <v>5.6974651260000009</v>
      </c>
      <c r="CQ87" s="431">
        <v>1.8644894279999997</v>
      </c>
      <c r="CR87" s="432">
        <v>9.0416286780000004</v>
      </c>
      <c r="CS87" s="433"/>
      <c r="CT87" s="431">
        <v>5.3746912251505909</v>
      </c>
      <c r="CU87" s="431">
        <v>4.4542134497234489</v>
      </c>
      <c r="CV87" s="431">
        <v>6.6579135476296711</v>
      </c>
      <c r="CW87" s="431">
        <v>5.9860925126929487</v>
      </c>
      <c r="CX87" s="431">
        <v>8.3226190024697111</v>
      </c>
      <c r="CY87" s="431">
        <v>7.4029449929725128</v>
      </c>
      <c r="CZ87" s="431">
        <v>8.8278084893238677</v>
      </c>
      <c r="DA87" s="431">
        <v>4.8633036127158649</v>
      </c>
      <c r="DB87" s="431">
        <v>7.7080944723762563</v>
      </c>
      <c r="DC87" s="431">
        <v>8.3467305462336814</v>
      </c>
      <c r="DD87" s="431">
        <v>5.5300374527263214</v>
      </c>
      <c r="DE87" s="431">
        <v>6.0095700377074452</v>
      </c>
      <c r="DF87" s="390">
        <f t="shared" si="6"/>
        <v>19.886338036667446</v>
      </c>
      <c r="DG87" s="431">
        <v>0</v>
      </c>
      <c r="DH87" s="432">
        <v>4.6927029833738709</v>
      </c>
      <c r="DI87" s="425">
        <v>9.0346028444001423</v>
      </c>
      <c r="DJ87" s="431">
        <v>10.561130326327445</v>
      </c>
      <c r="DK87" s="431">
        <v>7.2870166651302792</v>
      </c>
      <c r="DL87" s="431">
        <v>8.9085137250598887</v>
      </c>
      <c r="DM87" s="431">
        <v>8.3597015410022184</v>
      </c>
      <c r="DN87" s="431">
        <v>6.13378512436676</v>
      </c>
      <c r="DO87" s="431">
        <v>7.4296650725415567</v>
      </c>
      <c r="DP87" s="431">
        <v>6.3890807801945693</v>
      </c>
      <c r="DQ87" s="431">
        <v>3.0103653866019697</v>
      </c>
      <c r="DR87" s="432">
        <v>11.178267630819427</v>
      </c>
      <c r="DS87" s="371"/>
      <c r="DT87" s="431">
        <v>0.21063533645620758</v>
      </c>
      <c r="DU87" s="431">
        <v>0.24754933906256171</v>
      </c>
      <c r="DV87" s="431">
        <v>0.71588828686362593</v>
      </c>
      <c r="DW87" s="431">
        <v>0.96856280819973639</v>
      </c>
      <c r="DX87" s="431">
        <v>0.19037194541750815</v>
      </c>
      <c r="DY87" s="431">
        <v>0.44278616763627332</v>
      </c>
      <c r="DZ87" s="431">
        <v>0.80334533318407542</v>
      </c>
      <c r="EA87" s="431">
        <v>0.52729835020403271</v>
      </c>
      <c r="EB87" s="431">
        <v>0.72317881847134224</v>
      </c>
      <c r="EC87" s="431">
        <v>0.55366512884110886</v>
      </c>
      <c r="ED87" s="431">
        <v>0.28363242098815378</v>
      </c>
      <c r="EE87" s="431">
        <v>0.7491353220677015</v>
      </c>
      <c r="EF87" s="431"/>
      <c r="EG87" s="431">
        <v>-0.76217201860679906</v>
      </c>
      <c r="EH87" s="431">
        <v>-0.95352125378601016</v>
      </c>
      <c r="EI87" s="431">
        <v>1.8969509055067011</v>
      </c>
      <c r="EJ87" s="431">
        <v>2.9598884771993892</v>
      </c>
      <c r="EK87" s="431">
        <v>-0.9440386610411029</v>
      </c>
      <c r="EL87" s="431">
        <v>-0.32226717360878643</v>
      </c>
      <c r="EM87" s="431">
        <v>-1.5992827125079427</v>
      </c>
      <c r="EN87" s="431">
        <v>-0.47380571291989815</v>
      </c>
      <c r="EO87" s="431">
        <v>-0.60399745284759998</v>
      </c>
      <c r="EP87" s="431">
        <v>-3.2029305490747881</v>
      </c>
      <c r="EQ87" s="431">
        <v>-3.9491804457144752</v>
      </c>
      <c r="ER87" s="431">
        <v>2.2829233182248543</v>
      </c>
      <c r="ES87" s="372"/>
      <c r="ET87" s="431">
        <v>4.8231545429999994</v>
      </c>
      <c r="EU87" s="431">
        <v>-0.14178472579230506</v>
      </c>
      <c r="EV87" s="431">
        <v>7.7565023481760758E-3</v>
      </c>
      <c r="EW87" s="431">
        <v>-0.21316337514440795</v>
      </c>
      <c r="EX87" s="431">
        <v>0.37402148964293774</v>
      </c>
      <c r="EY87" s="431">
        <v>6.3753139787851576E-2</v>
      </c>
      <c r="EZ87" s="431">
        <v>0.10998592256301919</v>
      </c>
      <c r="FA87" s="431">
        <v>0.390529989804828</v>
      </c>
      <c r="FB87" s="431">
        <v>0.54277389854126534</v>
      </c>
      <c r="FC87" s="431">
        <v>0.44144910599542603</v>
      </c>
      <c r="FD87" s="431">
        <v>0.39560610972084687</v>
      </c>
      <c r="FE87" s="431">
        <v>0.55367692412914216</v>
      </c>
      <c r="FF87" s="431"/>
      <c r="FG87" s="431">
        <v>0</v>
      </c>
      <c r="FH87" s="431">
        <v>-0.80267672258156542</v>
      </c>
      <c r="FI87" s="431">
        <v>0.22839339325168084</v>
      </c>
      <c r="FJ87" s="431">
        <v>-0.95173626118303523</v>
      </c>
      <c r="FK87" s="431">
        <v>-0.14089528877321766</v>
      </c>
      <c r="FL87" s="431">
        <v>-1.4488028778477384</v>
      </c>
      <c r="FM87" s="431">
        <v>-0.4378163535652394</v>
      </c>
      <c r="FN87" s="431">
        <v>-1.6075188641715892</v>
      </c>
      <c r="FO87" s="431">
        <v>-0.14516313308282389</v>
      </c>
      <c r="FP87" s="431">
        <v>-1.1330647601899941</v>
      </c>
      <c r="FQ87" s="433">
        <v>-1.5414820683228161</v>
      </c>
      <c r="FR87" s="433">
        <v>-2.6903158769485676</v>
      </c>
      <c r="FS87" s="372"/>
      <c r="FT87" s="431">
        <v>5931.6825999999992</v>
      </c>
      <c r="FU87" s="431">
        <v>5422.058</v>
      </c>
      <c r="FV87" s="431">
        <v>5583.5483369999984</v>
      </c>
      <c r="FW87" s="431">
        <v>509.62460000000033</v>
      </c>
      <c r="FX87" s="434">
        <v>9.3990990136955443E-2</v>
      </c>
      <c r="FY87" s="431">
        <v>79.661517990999997</v>
      </c>
      <c r="FZ87" s="431">
        <v>79.484019341722345</v>
      </c>
      <c r="GA87" s="431">
        <v>82.984832079818119</v>
      </c>
      <c r="GB87" s="431">
        <v>0.17749864927767156</v>
      </c>
      <c r="GC87" s="431">
        <v>-5.6714332791764566</v>
      </c>
      <c r="GD87" s="431">
        <v>5.8489267284541349</v>
      </c>
      <c r="GE87" s="431">
        <v>-10.671078813414908</v>
      </c>
      <c r="GF87" s="432">
        <v>7.3477595245967784</v>
      </c>
      <c r="GG87" s="214">
        <v>-5.1999999932661467E-6</v>
      </c>
      <c r="GH87" s="431">
        <v>789.67200000000014</v>
      </c>
      <c r="GI87" s="431">
        <v>417.98433333333327</v>
      </c>
      <c r="GJ87" s="431">
        <v>841.99170000000004</v>
      </c>
      <c r="GK87" s="431">
        <v>265.23366666666681</v>
      </c>
      <c r="GL87" s="435">
        <v>0.63455408615793463</v>
      </c>
      <c r="GM87" s="431">
        <v>9.0416286780000004</v>
      </c>
      <c r="GN87" s="431">
        <v>6.0095700377074452</v>
      </c>
      <c r="GO87" s="431">
        <v>11.178267630819427</v>
      </c>
      <c r="GP87" s="431">
        <v>3.0320586402925542</v>
      </c>
      <c r="GQ87" s="431">
        <v>2.2829233182248543</v>
      </c>
      <c r="GR87" s="431">
        <v>0.7491353220677015</v>
      </c>
      <c r="GS87" s="431">
        <v>-2.6903158769485676</v>
      </c>
      <c r="GT87" s="431">
        <v>0.55367692412914216</v>
      </c>
      <c r="GU87" s="432">
        <v>0</v>
      </c>
      <c r="GV87" s="214">
        <v>0</v>
      </c>
      <c r="GW87" s="432">
        <v>10.618169275731381</v>
      </c>
      <c r="GX87" s="294"/>
      <c r="GY87" s="293">
        <v>-3.3233140888181225</v>
      </c>
      <c r="GZ87" s="293">
        <v>-5.2000000074770014E-6</v>
      </c>
      <c r="HA87" s="293">
        <v>-2.1366389528194265</v>
      </c>
      <c r="HB87" s="293">
        <v>0.55367692412914105</v>
      </c>
      <c r="HC87" s="432">
        <v>6.7565811603376602</v>
      </c>
    </row>
    <row r="88" spans="1:211" s="381" customFormat="1" ht="13.5" customHeight="1" thickBot="1">
      <c r="A88" s="352"/>
      <c r="B88" s="436"/>
      <c r="C88" s="437"/>
      <c r="D88" s="1081" t="s">
        <v>291</v>
      </c>
      <c r="E88" s="1082"/>
      <c r="F88" s="1083"/>
      <c r="G88" s="355">
        <v>1610.0199999999998</v>
      </c>
      <c r="H88" s="355">
        <v>2083.8530000000001</v>
      </c>
      <c r="I88" s="438">
        <v>2369.9030000000002</v>
      </c>
      <c r="J88" s="438">
        <v>1938.3810000000001</v>
      </c>
      <c r="K88" s="357">
        <v>1667.1009999999992</v>
      </c>
      <c r="L88" s="357">
        <v>1177.453</v>
      </c>
      <c r="M88" s="357">
        <v>1431.797</v>
      </c>
      <c r="N88" s="357">
        <v>1166.327</v>
      </c>
      <c r="O88" s="357">
        <v>1260.518</v>
      </c>
      <c r="P88" s="357">
        <v>1406.2346</v>
      </c>
      <c r="Q88" s="357">
        <v>1595.8670000000002</v>
      </c>
      <c r="R88" s="357">
        <v>1960.8710000000001</v>
      </c>
      <c r="S88" s="261">
        <f t="shared" si="5"/>
        <v>4962.9726000000001</v>
      </c>
      <c r="T88" s="356">
        <v>1662.0464896427245</v>
      </c>
      <c r="U88" s="356">
        <v>2472.6269212634661</v>
      </c>
      <c r="V88" s="356">
        <v>1869.3040036149171</v>
      </c>
      <c r="W88" s="356">
        <v>2466.0151860425894</v>
      </c>
      <c r="X88" s="356">
        <v>2074.8148922420237</v>
      </c>
      <c r="Y88" s="356">
        <v>2025.4541815708662</v>
      </c>
      <c r="Z88" s="356">
        <v>1736.1005802496666</v>
      </c>
      <c r="AA88" s="356">
        <v>1964.6867433673906</v>
      </c>
      <c r="AB88" s="356">
        <v>1596.5691137089443</v>
      </c>
      <c r="AC88" s="356">
        <v>2275.9692695811746</v>
      </c>
      <c r="AD88" s="356">
        <v>1501.9231605865439</v>
      </c>
      <c r="AE88" s="356">
        <v>1831.9514581296958</v>
      </c>
      <c r="AF88" s="360"/>
      <c r="AG88" s="356">
        <v>0</v>
      </c>
      <c r="AH88" s="356">
        <v>2350.3422999999998</v>
      </c>
      <c r="AI88" s="357">
        <v>2550.13636</v>
      </c>
      <c r="AJ88" s="357">
        <v>1949.1079</v>
      </c>
      <c r="AK88" s="357">
        <v>1624.1333999999999</v>
      </c>
      <c r="AL88" s="357">
        <v>1416.8292000000001</v>
      </c>
      <c r="AM88" s="357">
        <v>1538.1727000000001</v>
      </c>
      <c r="AN88" s="357">
        <v>1094.5218770000001</v>
      </c>
      <c r="AO88" s="357">
        <v>1205.2670000000001</v>
      </c>
      <c r="AP88" s="357">
        <v>1442.9907000000001</v>
      </c>
      <c r="AQ88" s="357">
        <v>1348.9278999999999</v>
      </c>
      <c r="AR88" s="355">
        <v>1917.1647</v>
      </c>
      <c r="AS88" s="439">
        <v>0.48359737995978636</v>
      </c>
      <c r="AT88" s="356">
        <v>123811.48986969107</v>
      </c>
      <c r="AU88" s="356">
        <v>121614.1492226179</v>
      </c>
      <c r="AV88" s="356">
        <v>117256.49610553679</v>
      </c>
      <c r="AW88" s="356">
        <v>129238.70911858915</v>
      </c>
      <c r="AX88" s="356">
        <v>127640.89416897962</v>
      </c>
      <c r="AY88" s="356">
        <v>136116.73040877219</v>
      </c>
      <c r="AZ88" s="356">
        <v>129486.75148083144</v>
      </c>
      <c r="BA88" s="356">
        <v>128275.42674567252</v>
      </c>
      <c r="BB88" s="356">
        <v>139710.4615086813</v>
      </c>
      <c r="BC88" s="356">
        <v>119771.42752709967</v>
      </c>
      <c r="BD88" s="356">
        <v>87561.84156950422</v>
      </c>
      <c r="BE88" s="355"/>
      <c r="BF88" s="360"/>
      <c r="BG88" s="356">
        <v>122011.9446258419</v>
      </c>
      <c r="BH88" s="357">
        <v>117876.47485460002</v>
      </c>
      <c r="BI88" s="357">
        <v>120296.76981603364</v>
      </c>
      <c r="BJ88" s="357">
        <v>114664.12518813564</v>
      </c>
      <c r="BK88" s="357">
        <v>117895.64826545278</v>
      </c>
      <c r="BL88" s="357">
        <v>116209.15496307335</v>
      </c>
      <c r="BM88" s="357">
        <v>122384.62598837524</v>
      </c>
      <c r="BN88" s="357">
        <v>116289.78331607989</v>
      </c>
      <c r="BO88" s="357">
        <v>124903.02761680048</v>
      </c>
      <c r="BP88" s="357">
        <v>119080.75763580232</v>
      </c>
      <c r="BQ88" s="357">
        <v>131394.72979295359</v>
      </c>
      <c r="BR88" s="355">
        <v>122374.36596417264</v>
      </c>
      <c r="BS88" s="360"/>
      <c r="BT88" s="428">
        <v>0</v>
      </c>
      <c r="BU88" s="429">
        <v>121561.25542683894</v>
      </c>
      <c r="BV88" s="429">
        <v>118459.87050754791</v>
      </c>
      <c r="BW88" s="429">
        <v>133955.32173205976</v>
      </c>
      <c r="BX88" s="429">
        <v>128836.07158556972</v>
      </c>
      <c r="BY88" s="429">
        <v>137039.45280986858</v>
      </c>
      <c r="BZ88" s="429">
        <v>131598.62775088806</v>
      </c>
      <c r="CA88" s="429">
        <v>131444.57900140539</v>
      </c>
      <c r="CB88" s="429">
        <v>141551.14939329395</v>
      </c>
      <c r="CC88" s="429">
        <v>124255.55007344134</v>
      </c>
      <c r="CD88" s="429">
        <v>106247.78254448502</v>
      </c>
      <c r="CE88" s="430">
        <v>116189.56198703418</v>
      </c>
      <c r="CF88" s="361"/>
      <c r="CG88" s="362">
        <v>19.933897492</v>
      </c>
      <c r="CH88" s="362">
        <v>25.342600969999999</v>
      </c>
      <c r="CI88" s="362">
        <v>27.788652188999997</v>
      </c>
      <c r="CJ88" s="362">
        <v>25.051385821999997</v>
      </c>
      <c r="CK88" s="362">
        <v>21.279026231</v>
      </c>
      <c r="CL88" s="362">
        <v>16.027105257000002</v>
      </c>
      <c r="CM88" s="362">
        <v>18.539874231000002</v>
      </c>
      <c r="CN88" s="362">
        <v>14.961109364999999</v>
      </c>
      <c r="CO88" s="362">
        <v>17.610755151999996</v>
      </c>
      <c r="CP88" s="362">
        <v>16.842672547999999</v>
      </c>
      <c r="CQ88" s="362">
        <v>13.973705341999999</v>
      </c>
      <c r="CR88" s="363">
        <v>21.238186802000001</v>
      </c>
      <c r="CS88" s="361"/>
      <c r="CT88" s="362">
        <v>20.278952425986301</v>
      </c>
      <c r="CU88" s="362">
        <v>29.146454510912001</v>
      </c>
      <c r="CV88" s="362">
        <v>22.487123343905381</v>
      </c>
      <c r="CW88" s="362">
        <v>28.276347400823109</v>
      </c>
      <c r="CX88" s="362">
        <v>24.461164675168892</v>
      </c>
      <c r="CY88" s="362">
        <v>23.537631885677371</v>
      </c>
      <c r="CZ88" s="368">
        <v>21.247202019205666</v>
      </c>
      <c r="DA88" s="362">
        <v>22.847299567016851</v>
      </c>
      <c r="DB88" s="362">
        <v>19.941631610171893</v>
      </c>
      <c r="DC88" s="362">
        <v>27.102414497752989</v>
      </c>
      <c r="DD88" s="362">
        <v>19.734478785504777</v>
      </c>
      <c r="DE88" s="363">
        <v>22.418389816576308</v>
      </c>
      <c r="DF88" s="390">
        <f t="shared" si="6"/>
        <v>69.255283099834074</v>
      </c>
      <c r="DG88" s="362">
        <v>0</v>
      </c>
      <c r="DH88" s="362">
        <v>28.571056067080406</v>
      </c>
      <c r="DI88" s="368">
        <v>30.20888229821896</v>
      </c>
      <c r="DJ88" s="368">
        <v>26.109337583499936</v>
      </c>
      <c r="DK88" s="368">
        <v>20.924696698691474</v>
      </c>
      <c r="DL88" s="368">
        <v>19.416149829304388</v>
      </c>
      <c r="DM88" s="368">
        <v>20.242141656387844</v>
      </c>
      <c r="DN88" s="368">
        <v>14.386896733009303</v>
      </c>
      <c r="DO88" s="368">
        <v>17.060692917580724</v>
      </c>
      <c r="DP88" s="368">
        <v>17.929960317936018</v>
      </c>
      <c r="DQ88" s="368">
        <v>14.332059818738882</v>
      </c>
      <c r="DR88" s="367">
        <v>22.275452675000381</v>
      </c>
      <c r="DS88" s="371"/>
      <c r="DT88" s="362">
        <v>0.78655532295252328</v>
      </c>
      <c r="DU88" s="368">
        <v>0.6374289363582295</v>
      </c>
      <c r="DV88" s="368">
        <v>1.1395950450566326</v>
      </c>
      <c r="DW88" s="368">
        <v>1.6849346374075767</v>
      </c>
      <c r="DX88" s="368">
        <v>1.0523392463365333</v>
      </c>
      <c r="DY88" s="368">
        <v>0.79062785639158739</v>
      </c>
      <c r="DZ88" s="368">
        <v>1.0483985293711644</v>
      </c>
      <c r="EA88" s="368">
        <v>1.3008507502851945</v>
      </c>
      <c r="EB88" s="368">
        <v>1.3977765093653027</v>
      </c>
      <c r="EC88" s="368">
        <v>1.2218017001650718</v>
      </c>
      <c r="ED88" s="368">
        <v>0.79441059779699996</v>
      </c>
      <c r="EE88" s="367">
        <v>0.13857967488046485</v>
      </c>
      <c r="EF88" s="361"/>
      <c r="EG88" s="362">
        <v>-1.1643467141310715</v>
      </c>
      <c r="EH88" s="368">
        <v>-4.5782658509101593</v>
      </c>
      <c r="EI88" s="368">
        <v>5.2370117350629144</v>
      </c>
      <c r="EJ88" s="368">
        <v>-4.8706407647785976</v>
      </c>
      <c r="EK88" s="368">
        <v>-4.6978382073763836</v>
      </c>
      <c r="EL88" s="368">
        <v>-8.3011596850689546</v>
      </c>
      <c r="EM88" s="368">
        <v>-3.7557263175768281</v>
      </c>
      <c r="EN88" s="368">
        <v>-9.1870409523020449</v>
      </c>
      <c r="EO88" s="368">
        <v>-3.7252294502594623</v>
      </c>
      <c r="EP88" s="368">
        <v>-11.280293353458509</v>
      </c>
      <c r="EQ88" s="368">
        <v>-6.5551840413017741</v>
      </c>
      <c r="ER88" s="368">
        <v>-1.3176436054249336</v>
      </c>
      <c r="ES88" s="372"/>
      <c r="ET88" s="362">
        <v>19.933897492</v>
      </c>
      <c r="EU88" s="368">
        <v>-0.10879328955758878</v>
      </c>
      <c r="EV88" s="368">
        <v>0.27706692634974134</v>
      </c>
      <c r="EW88" s="368">
        <v>-0.40119820679812312</v>
      </c>
      <c r="EX88" s="368">
        <v>0.3707995146184509</v>
      </c>
      <c r="EY88" s="368">
        <v>0.1188342878039037</v>
      </c>
      <c r="EZ88" s="368">
        <v>0.14346014488241834</v>
      </c>
      <c r="FA88" s="368">
        <v>0.74574334197852965</v>
      </c>
      <c r="FB88" s="368">
        <v>0.96873206733604555</v>
      </c>
      <c r="FC88" s="368">
        <v>0.40376019499281385</v>
      </c>
      <c r="FD88" s="368">
        <v>0.70960152568275325</v>
      </c>
      <c r="FE88" s="368">
        <v>0.55384069332962538</v>
      </c>
      <c r="FF88" s="361"/>
      <c r="FG88" s="362">
        <v>0</v>
      </c>
      <c r="FH88" s="368">
        <v>-3.1196618075228129</v>
      </c>
      <c r="FI88" s="368">
        <v>-2.6972970355687078</v>
      </c>
      <c r="FJ88" s="368">
        <v>-0.65675355470181185</v>
      </c>
      <c r="FK88" s="368">
        <v>-1.6469982309926842E-2</v>
      </c>
      <c r="FL88" s="368">
        <v>-3.507884060108287</v>
      </c>
      <c r="FM88" s="368">
        <v>-1.8457275702702627</v>
      </c>
      <c r="FN88" s="368">
        <v>-0.1715307099878336</v>
      </c>
      <c r="FO88" s="368">
        <v>-0.4186698329167694</v>
      </c>
      <c r="FP88" s="368">
        <v>-1.491047964928832</v>
      </c>
      <c r="FQ88" s="368">
        <v>-1.0679560024216341</v>
      </c>
      <c r="FR88" s="368">
        <v>-1.5911065663300081</v>
      </c>
      <c r="FS88" s="372"/>
      <c r="FT88" s="440">
        <v>19668.3256</v>
      </c>
      <c r="FU88" s="440">
        <v>23477.462000000003</v>
      </c>
      <c r="FV88" s="441">
        <v>18437.594037000003</v>
      </c>
      <c r="FW88" s="442">
        <v>-3809.1364000000012</v>
      </c>
      <c r="FX88" s="443">
        <v>-0.16224651540272969</v>
      </c>
      <c r="FY88" s="444">
        <v>238.58897140099998</v>
      </c>
      <c r="FZ88" s="444">
        <v>281.47909053870154</v>
      </c>
      <c r="GA88" s="444">
        <v>231.45732659544828</v>
      </c>
      <c r="GB88" s="444">
        <v>-42.890119137701539</v>
      </c>
      <c r="GC88" s="444">
        <v>-54.302622522587846</v>
      </c>
      <c r="GD88" s="444">
        <v>11.412498184886314</v>
      </c>
      <c r="GE88" s="444">
        <v>-16.584105087066888</v>
      </c>
      <c r="GF88" s="444">
        <v>23.715744692618568</v>
      </c>
      <c r="GG88" s="214">
        <v>-5.1999999968188604E-6</v>
      </c>
      <c r="GH88" s="442">
        <v>1960.8710000000001</v>
      </c>
      <c r="GI88" s="442">
        <v>1831.9514581296958</v>
      </c>
      <c r="GJ88" s="442">
        <v>1917.1647</v>
      </c>
      <c r="GK88" s="442">
        <v>22.465541870304548</v>
      </c>
      <c r="GL88" s="445">
        <v>1.226317529900078E-2</v>
      </c>
      <c r="GM88" s="446">
        <v>21.238186802000001</v>
      </c>
      <c r="GN88" s="444">
        <v>22.418389816576308</v>
      </c>
      <c r="GO88" s="444">
        <v>22.275452675000381</v>
      </c>
      <c r="GP88" s="444">
        <v>-1.1802030145763123</v>
      </c>
      <c r="GQ88" s="444">
        <v>-1.3176436054249336</v>
      </c>
      <c r="GR88" s="367">
        <v>0.13857967488046485</v>
      </c>
      <c r="GS88" s="367">
        <v>-1.5911065663300081</v>
      </c>
      <c r="GT88" s="367">
        <v>0.55384069332962538</v>
      </c>
      <c r="GU88" s="447">
        <v>0</v>
      </c>
      <c r="GV88" s="214">
        <v>0</v>
      </c>
      <c r="GW88" s="447">
        <v>21.7623590910129</v>
      </c>
      <c r="GX88" s="294"/>
      <c r="GY88" s="293">
        <v>7.1316448055517014</v>
      </c>
      <c r="GZ88" s="293">
        <v>-5.2000000216878561E-6</v>
      </c>
      <c r="HA88" s="293">
        <v>-1.0372658730003792</v>
      </c>
      <c r="HB88" s="293">
        <v>0.55384069332962893</v>
      </c>
      <c r="HC88" s="447">
        <v>17.90778809875043</v>
      </c>
    </row>
    <row r="89" spans="1:211" ht="15" customHeight="1">
      <c r="B89" s="328" t="s">
        <v>292</v>
      </c>
      <c r="C89" s="297" t="s">
        <v>135</v>
      </c>
      <c r="D89" s="299" t="s">
        <v>72</v>
      </c>
      <c r="E89" s="299" t="s">
        <v>293</v>
      </c>
      <c r="F89" s="382" t="s">
        <v>144</v>
      </c>
      <c r="G89" s="304">
        <v>0</v>
      </c>
      <c r="H89" s="304">
        <v>0</v>
      </c>
      <c r="I89" s="448">
        <v>0</v>
      </c>
      <c r="J89" s="259">
        <v>0</v>
      </c>
      <c r="K89" s="259">
        <v>0</v>
      </c>
      <c r="L89" s="260">
        <v>0</v>
      </c>
      <c r="M89" s="260">
        <v>0</v>
      </c>
      <c r="N89" s="260">
        <v>0</v>
      </c>
      <c r="O89" s="260">
        <v>0</v>
      </c>
      <c r="P89" s="449">
        <v>0</v>
      </c>
      <c r="Q89" s="260">
        <v>0</v>
      </c>
      <c r="R89" s="262">
        <v>0</v>
      </c>
      <c r="S89" s="261">
        <f t="shared" si="5"/>
        <v>0</v>
      </c>
      <c r="T89" s="270">
        <v>0</v>
      </c>
      <c r="U89" s="448">
        <v>0</v>
      </c>
      <c r="V89" s="259">
        <v>0</v>
      </c>
      <c r="W89" s="259">
        <v>0</v>
      </c>
      <c r="X89" s="259">
        <v>0</v>
      </c>
      <c r="Y89" s="259">
        <v>0</v>
      </c>
      <c r="Z89" s="259">
        <v>0</v>
      </c>
      <c r="AA89" s="259">
        <v>0</v>
      </c>
      <c r="AB89" s="259">
        <v>0</v>
      </c>
      <c r="AC89" s="259">
        <v>0</v>
      </c>
      <c r="AD89" s="259">
        <v>0</v>
      </c>
      <c r="AE89" s="268">
        <v>0</v>
      </c>
      <c r="AG89" s="270">
        <v>0</v>
      </c>
      <c r="AH89" s="448">
        <v>0</v>
      </c>
      <c r="AI89" s="259">
        <v>0</v>
      </c>
      <c r="AJ89" s="259">
        <v>0</v>
      </c>
      <c r="AK89" s="259">
        <v>0</v>
      </c>
      <c r="AL89" s="259">
        <v>0</v>
      </c>
      <c r="AM89" s="259">
        <v>0</v>
      </c>
      <c r="AN89" s="259">
        <v>0</v>
      </c>
      <c r="AO89" s="259">
        <v>0</v>
      </c>
      <c r="AP89" s="259">
        <v>0</v>
      </c>
      <c r="AQ89" s="259">
        <v>0</v>
      </c>
      <c r="AR89" s="268">
        <v>0</v>
      </c>
      <c r="AS89" s="269">
        <v>0</v>
      </c>
      <c r="AT89" s="270">
        <v>0</v>
      </c>
      <c r="AU89" s="259">
        <v>0</v>
      </c>
      <c r="AV89" s="259">
        <v>0</v>
      </c>
      <c r="AW89" s="259">
        <v>0</v>
      </c>
      <c r="AX89" s="259">
        <v>0</v>
      </c>
      <c r="AY89" s="259">
        <v>0</v>
      </c>
      <c r="AZ89" s="259">
        <v>0</v>
      </c>
      <c r="BA89" s="259">
        <v>0</v>
      </c>
      <c r="BB89" s="259">
        <v>0</v>
      </c>
      <c r="BC89" s="259">
        <v>0</v>
      </c>
      <c r="BD89" s="259">
        <v>0</v>
      </c>
      <c r="BE89" s="268">
        <v>0</v>
      </c>
      <c r="BG89" s="270">
        <v>0</v>
      </c>
      <c r="BH89" s="259">
        <v>0</v>
      </c>
      <c r="BI89" s="259">
        <v>0</v>
      </c>
      <c r="BJ89" s="259">
        <v>0</v>
      </c>
      <c r="BK89" s="259">
        <v>0</v>
      </c>
      <c r="BL89" s="259">
        <v>0</v>
      </c>
      <c r="BM89" s="259">
        <v>0</v>
      </c>
      <c r="BN89" s="259">
        <v>0</v>
      </c>
      <c r="BO89" s="259">
        <v>0</v>
      </c>
      <c r="BP89" s="259">
        <v>0</v>
      </c>
      <c r="BQ89" s="259">
        <v>0</v>
      </c>
      <c r="BR89" s="268">
        <v>0</v>
      </c>
      <c r="BT89" s="389">
        <v>0</v>
      </c>
      <c r="BU89" s="307">
        <v>0</v>
      </c>
      <c r="BV89" s="307">
        <v>0</v>
      </c>
      <c r="BW89" s="307">
        <v>0</v>
      </c>
      <c r="BX89" s="307">
        <v>0</v>
      </c>
      <c r="BY89" s="307">
        <v>0</v>
      </c>
      <c r="BZ89" s="307">
        <v>0</v>
      </c>
      <c r="CA89" s="307">
        <v>0</v>
      </c>
      <c r="CB89" s="307">
        <v>0</v>
      </c>
      <c r="CC89" s="307">
        <v>0</v>
      </c>
      <c r="CD89" s="307">
        <v>0</v>
      </c>
      <c r="CE89" s="308">
        <v>0</v>
      </c>
      <c r="CF89" s="212"/>
      <c r="CG89" s="273">
        <v>0</v>
      </c>
      <c r="CH89" s="278">
        <v>0</v>
      </c>
      <c r="CI89" s="278">
        <v>0</v>
      </c>
      <c r="CJ89" s="278">
        <v>0</v>
      </c>
      <c r="CK89" s="278">
        <v>0</v>
      </c>
      <c r="CL89" s="275">
        <v>0</v>
      </c>
      <c r="CM89" s="275">
        <v>0</v>
      </c>
      <c r="CN89" s="275">
        <v>0</v>
      </c>
      <c r="CO89" s="343">
        <v>0</v>
      </c>
      <c r="CP89" s="275">
        <v>0</v>
      </c>
      <c r="CQ89" s="275">
        <v>0</v>
      </c>
      <c r="CR89" s="277">
        <v>0</v>
      </c>
      <c r="CS89" s="212"/>
      <c r="CT89" s="450">
        <v>0</v>
      </c>
      <c r="CU89" s="278">
        <v>0</v>
      </c>
      <c r="CV89" s="278">
        <v>0</v>
      </c>
      <c r="CW89" s="278">
        <v>0</v>
      </c>
      <c r="CX89" s="278">
        <v>0</v>
      </c>
      <c r="CY89" s="278">
        <v>0</v>
      </c>
      <c r="CZ89" s="278">
        <v>0</v>
      </c>
      <c r="DA89" s="278">
        <v>0</v>
      </c>
      <c r="DB89" s="278">
        <v>0</v>
      </c>
      <c r="DC89" s="278">
        <v>0</v>
      </c>
      <c r="DD89" s="278">
        <v>0</v>
      </c>
      <c r="DE89" s="278">
        <v>0</v>
      </c>
      <c r="DF89" s="390">
        <f t="shared" si="6"/>
        <v>0</v>
      </c>
      <c r="DG89" s="273">
        <v>0</v>
      </c>
      <c r="DH89" s="451">
        <v>0</v>
      </c>
      <c r="DI89" s="451">
        <v>0</v>
      </c>
      <c r="DJ89" s="451">
        <v>0</v>
      </c>
      <c r="DK89" s="278">
        <v>0</v>
      </c>
      <c r="DL89" s="278">
        <v>0</v>
      </c>
      <c r="DM89" s="278">
        <v>0</v>
      </c>
      <c r="DN89" s="278">
        <v>0</v>
      </c>
      <c r="DO89" s="278">
        <v>0</v>
      </c>
      <c r="DP89" s="278">
        <v>0</v>
      </c>
      <c r="DQ89" s="278">
        <v>0</v>
      </c>
      <c r="DR89" s="282">
        <v>0</v>
      </c>
      <c r="DS89" s="226"/>
      <c r="DT89" s="273">
        <v>0</v>
      </c>
      <c r="DU89" s="278">
        <v>0</v>
      </c>
      <c r="DV89" s="278">
        <v>0</v>
      </c>
      <c r="DW89" s="278">
        <v>0</v>
      </c>
      <c r="DX89" s="275">
        <v>0</v>
      </c>
      <c r="DY89" s="275">
        <v>0</v>
      </c>
      <c r="DZ89" s="275">
        <v>0</v>
      </c>
      <c r="EA89" s="275">
        <v>0</v>
      </c>
      <c r="EB89" s="275">
        <v>0</v>
      </c>
      <c r="EC89" s="275">
        <v>0</v>
      </c>
      <c r="ED89" s="275">
        <v>0</v>
      </c>
      <c r="EE89" s="277">
        <v>0</v>
      </c>
      <c r="EF89" s="212"/>
      <c r="EG89" s="273">
        <v>0</v>
      </c>
      <c r="EH89" s="278">
        <v>0</v>
      </c>
      <c r="EI89" s="278">
        <v>0</v>
      </c>
      <c r="EJ89" s="278">
        <v>0</v>
      </c>
      <c r="EK89" s="275">
        <v>0</v>
      </c>
      <c r="EL89" s="275">
        <v>0</v>
      </c>
      <c r="EM89" s="275">
        <v>0</v>
      </c>
      <c r="EN89" s="275">
        <v>0</v>
      </c>
      <c r="EO89" s="275">
        <v>0</v>
      </c>
      <c r="EP89" s="275">
        <v>0</v>
      </c>
      <c r="EQ89" s="275">
        <v>0</v>
      </c>
      <c r="ER89" s="277">
        <v>0</v>
      </c>
      <c r="ES89" s="283"/>
      <c r="ET89" s="273">
        <v>0</v>
      </c>
      <c r="EU89" s="278">
        <v>0</v>
      </c>
      <c r="EV89" s="278">
        <v>0</v>
      </c>
      <c r="EW89" s="278">
        <v>0</v>
      </c>
      <c r="EX89" s="275">
        <v>0</v>
      </c>
      <c r="EY89" s="275">
        <v>0</v>
      </c>
      <c r="EZ89" s="275">
        <v>0</v>
      </c>
      <c r="FA89" s="275">
        <v>0</v>
      </c>
      <c r="FB89" s="275">
        <v>0</v>
      </c>
      <c r="FC89" s="275">
        <v>0</v>
      </c>
      <c r="FD89" s="275">
        <v>0</v>
      </c>
      <c r="FE89" s="277">
        <v>0</v>
      </c>
      <c r="FF89" s="212"/>
      <c r="FG89" s="273">
        <v>0</v>
      </c>
      <c r="FH89" s="278">
        <v>0</v>
      </c>
      <c r="FI89" s="278">
        <v>0</v>
      </c>
      <c r="FJ89" s="278">
        <v>0</v>
      </c>
      <c r="FK89" s="275">
        <v>0</v>
      </c>
      <c r="FL89" s="275">
        <v>0</v>
      </c>
      <c r="FM89" s="275">
        <v>0</v>
      </c>
      <c r="FN89" s="275">
        <v>0</v>
      </c>
      <c r="FO89" s="275">
        <v>0</v>
      </c>
      <c r="FP89" s="275">
        <v>0</v>
      </c>
      <c r="FQ89" s="275">
        <v>0</v>
      </c>
      <c r="FR89" s="277">
        <v>0</v>
      </c>
      <c r="FS89" s="283"/>
      <c r="FT89" s="286">
        <v>0</v>
      </c>
      <c r="FU89" s="260">
        <v>0</v>
      </c>
      <c r="FV89" s="260">
        <v>0</v>
      </c>
      <c r="FW89" s="260">
        <v>0</v>
      </c>
      <c r="FX89" s="287">
        <v>0</v>
      </c>
      <c r="FY89" s="452">
        <v>0</v>
      </c>
      <c r="FZ89" s="275">
        <v>0</v>
      </c>
      <c r="GA89" s="275">
        <v>0</v>
      </c>
      <c r="GB89" s="289">
        <v>0</v>
      </c>
      <c r="GC89" s="289">
        <v>0</v>
      </c>
      <c r="GD89" s="289">
        <v>0</v>
      </c>
      <c r="GE89" s="289">
        <v>0</v>
      </c>
      <c r="GF89" s="290">
        <v>0</v>
      </c>
      <c r="GG89" s="214">
        <v>0</v>
      </c>
      <c r="GH89" s="286">
        <v>0</v>
      </c>
      <c r="GI89" s="260">
        <v>0</v>
      </c>
      <c r="GJ89" s="260">
        <v>0</v>
      </c>
      <c r="GK89" s="260">
        <v>0</v>
      </c>
      <c r="GL89" s="291">
        <v>0</v>
      </c>
      <c r="GM89" s="275">
        <v>0</v>
      </c>
      <c r="GN89" s="275">
        <v>0</v>
      </c>
      <c r="GO89" s="275">
        <v>0</v>
      </c>
      <c r="GP89" s="275">
        <v>0</v>
      </c>
      <c r="GQ89" s="275">
        <v>0</v>
      </c>
      <c r="GR89" s="277">
        <v>0</v>
      </c>
      <c r="GS89" s="275">
        <v>0</v>
      </c>
      <c r="GT89" s="284">
        <v>0</v>
      </c>
      <c r="GU89" s="292">
        <v>0</v>
      </c>
      <c r="GV89" s="214">
        <v>0</v>
      </c>
      <c r="GW89" s="293">
        <v>0</v>
      </c>
      <c r="GX89" s="294"/>
      <c r="GY89" s="293">
        <v>0</v>
      </c>
      <c r="GZ89" s="293">
        <v>0</v>
      </c>
      <c r="HA89" s="293">
        <v>0</v>
      </c>
      <c r="HB89" s="293">
        <v>0</v>
      </c>
      <c r="HC89" s="295">
        <v>0</v>
      </c>
    </row>
    <row r="90" spans="1:211" ht="13.5" customHeight="1">
      <c r="B90" s="328" t="s">
        <v>294</v>
      </c>
      <c r="C90" s="297" t="s">
        <v>135</v>
      </c>
      <c r="D90" s="299" t="s">
        <v>26</v>
      </c>
      <c r="E90" s="299" t="s">
        <v>295</v>
      </c>
      <c r="F90" s="382" t="s">
        <v>142</v>
      </c>
      <c r="G90" s="301">
        <v>0</v>
      </c>
      <c r="H90" s="301">
        <v>0</v>
      </c>
      <c r="I90" s="258">
        <v>0</v>
      </c>
      <c r="J90" s="302">
        <v>0</v>
      </c>
      <c r="K90" s="302">
        <v>0</v>
      </c>
      <c r="L90" s="261">
        <v>0</v>
      </c>
      <c r="M90" s="261">
        <v>0</v>
      </c>
      <c r="N90" s="260">
        <v>0</v>
      </c>
      <c r="O90" s="260">
        <v>0</v>
      </c>
      <c r="P90" s="260">
        <v>0</v>
      </c>
      <c r="Q90" s="261">
        <v>0</v>
      </c>
      <c r="R90" s="303">
        <v>0</v>
      </c>
      <c r="S90" s="261">
        <f t="shared" si="5"/>
        <v>0</v>
      </c>
      <c r="T90" s="270">
        <v>0</v>
      </c>
      <c r="U90" s="267">
        <v>0</v>
      </c>
      <c r="V90" s="259">
        <v>0</v>
      </c>
      <c r="W90" s="259">
        <v>0</v>
      </c>
      <c r="X90" s="259">
        <v>0</v>
      </c>
      <c r="Y90" s="259">
        <v>0</v>
      </c>
      <c r="Z90" s="259">
        <v>0</v>
      </c>
      <c r="AA90" s="259">
        <v>0</v>
      </c>
      <c r="AB90" s="259">
        <v>0</v>
      </c>
      <c r="AC90" s="259">
        <v>0</v>
      </c>
      <c r="AD90" s="259">
        <v>0</v>
      </c>
      <c r="AE90" s="268">
        <v>0</v>
      </c>
      <c r="AG90" s="270">
        <v>0</v>
      </c>
      <c r="AH90" s="267">
        <v>0</v>
      </c>
      <c r="AI90" s="259">
        <v>0</v>
      </c>
      <c r="AJ90" s="259">
        <v>0</v>
      </c>
      <c r="AK90" s="259">
        <v>0</v>
      </c>
      <c r="AL90" s="259">
        <v>0</v>
      </c>
      <c r="AM90" s="259">
        <v>0</v>
      </c>
      <c r="AN90" s="259">
        <v>0</v>
      </c>
      <c r="AO90" s="259">
        <v>0</v>
      </c>
      <c r="AP90" s="259">
        <v>0</v>
      </c>
      <c r="AQ90" s="259">
        <v>0</v>
      </c>
      <c r="AR90" s="268">
        <v>0</v>
      </c>
      <c r="AS90" s="269">
        <v>0</v>
      </c>
      <c r="AT90" s="305">
        <v>0</v>
      </c>
      <c r="AU90" s="259">
        <v>0</v>
      </c>
      <c r="AV90" s="259">
        <v>0</v>
      </c>
      <c r="AW90" s="259">
        <v>0</v>
      </c>
      <c r="AX90" s="259">
        <v>0</v>
      </c>
      <c r="AY90" s="259">
        <v>0</v>
      </c>
      <c r="AZ90" s="259">
        <v>0</v>
      </c>
      <c r="BA90" s="259">
        <v>0</v>
      </c>
      <c r="BB90" s="259">
        <v>0</v>
      </c>
      <c r="BC90" s="259">
        <v>0</v>
      </c>
      <c r="BD90" s="259">
        <v>0</v>
      </c>
      <c r="BE90" s="268">
        <v>0</v>
      </c>
      <c r="BG90" s="305">
        <v>0</v>
      </c>
      <c r="BH90" s="259">
        <v>0</v>
      </c>
      <c r="BI90" s="259">
        <v>0</v>
      </c>
      <c r="BJ90" s="259">
        <v>0</v>
      </c>
      <c r="BK90" s="259">
        <v>0</v>
      </c>
      <c r="BL90" s="259">
        <v>0</v>
      </c>
      <c r="BM90" s="259">
        <v>0</v>
      </c>
      <c r="BN90" s="259">
        <v>0</v>
      </c>
      <c r="BO90" s="259">
        <v>0</v>
      </c>
      <c r="BP90" s="259">
        <v>0</v>
      </c>
      <c r="BQ90" s="259">
        <v>0</v>
      </c>
      <c r="BR90" s="268">
        <v>0</v>
      </c>
      <c r="BS90" s="453"/>
      <c r="BT90" s="389">
        <v>0</v>
      </c>
      <c r="BU90" s="307">
        <v>0</v>
      </c>
      <c r="BV90" s="307">
        <v>0</v>
      </c>
      <c r="BW90" s="307">
        <v>0</v>
      </c>
      <c r="BX90" s="307">
        <v>0</v>
      </c>
      <c r="BY90" s="307">
        <v>0</v>
      </c>
      <c r="BZ90" s="307">
        <v>0</v>
      </c>
      <c r="CA90" s="307">
        <v>0</v>
      </c>
      <c r="CB90" s="307">
        <v>0</v>
      </c>
      <c r="CC90" s="307">
        <v>0</v>
      </c>
      <c r="CD90" s="307">
        <v>0</v>
      </c>
      <c r="CE90" s="308">
        <v>0</v>
      </c>
      <c r="CF90" s="212"/>
      <c r="CG90" s="273">
        <v>0</v>
      </c>
      <c r="CH90" s="207">
        <v>0</v>
      </c>
      <c r="CI90" s="274">
        <v>0</v>
      </c>
      <c r="CJ90" s="274">
        <v>0</v>
      </c>
      <c r="CK90" s="274">
        <v>0</v>
      </c>
      <c r="CL90" s="276">
        <v>0</v>
      </c>
      <c r="CM90" s="276">
        <v>0</v>
      </c>
      <c r="CN90" s="276">
        <v>0</v>
      </c>
      <c r="CO90" s="343">
        <v>0</v>
      </c>
      <c r="CP90" s="276">
        <v>0</v>
      </c>
      <c r="CQ90" s="276">
        <v>0</v>
      </c>
      <c r="CR90" s="313">
        <v>0</v>
      </c>
      <c r="CS90" s="212"/>
      <c r="CT90" s="450">
        <v>0</v>
      </c>
      <c r="CU90" s="278">
        <v>0</v>
      </c>
      <c r="CV90" s="278">
        <v>0</v>
      </c>
      <c r="CW90" s="278">
        <v>0</v>
      </c>
      <c r="CX90" s="278">
        <v>0</v>
      </c>
      <c r="CY90" s="278">
        <v>0</v>
      </c>
      <c r="CZ90" s="278">
        <v>0</v>
      </c>
      <c r="DA90" s="278">
        <v>0</v>
      </c>
      <c r="DB90" s="278">
        <v>0</v>
      </c>
      <c r="DC90" s="278">
        <v>0</v>
      </c>
      <c r="DD90" s="278">
        <v>0</v>
      </c>
      <c r="DE90" s="278">
        <v>0</v>
      </c>
      <c r="DF90" s="390">
        <f t="shared" si="6"/>
        <v>0</v>
      </c>
      <c r="DG90" s="273">
        <v>0</v>
      </c>
      <c r="DH90" s="281">
        <v>0</v>
      </c>
      <c r="DI90" s="278">
        <v>0</v>
      </c>
      <c r="DJ90" s="278">
        <v>0</v>
      </c>
      <c r="DK90" s="278">
        <v>0</v>
      </c>
      <c r="DL90" s="278">
        <v>0</v>
      </c>
      <c r="DM90" s="278">
        <v>0</v>
      </c>
      <c r="DN90" s="278">
        <v>0</v>
      </c>
      <c r="DO90" s="278">
        <v>0</v>
      </c>
      <c r="DP90" s="278">
        <v>0</v>
      </c>
      <c r="DQ90" s="278">
        <v>0</v>
      </c>
      <c r="DR90" s="282">
        <v>0</v>
      </c>
      <c r="DS90" s="226"/>
      <c r="DT90" s="312">
        <v>0</v>
      </c>
      <c r="DU90" s="274">
        <v>0</v>
      </c>
      <c r="DV90" s="274">
        <v>0</v>
      </c>
      <c r="DW90" s="278">
        <v>0</v>
      </c>
      <c r="DX90" s="276">
        <v>0</v>
      </c>
      <c r="DY90" s="276">
        <v>0</v>
      </c>
      <c r="DZ90" s="276">
        <v>0</v>
      </c>
      <c r="EA90" s="276">
        <v>0</v>
      </c>
      <c r="EB90" s="276">
        <v>0</v>
      </c>
      <c r="EC90" s="276">
        <v>0</v>
      </c>
      <c r="ED90" s="276">
        <v>0</v>
      </c>
      <c r="EE90" s="313">
        <v>0</v>
      </c>
      <c r="EF90" s="212"/>
      <c r="EG90" s="312">
        <v>0</v>
      </c>
      <c r="EH90" s="274">
        <v>0</v>
      </c>
      <c r="EI90" s="274">
        <v>0</v>
      </c>
      <c r="EJ90" s="278">
        <v>0</v>
      </c>
      <c r="EK90" s="276">
        <v>0</v>
      </c>
      <c r="EL90" s="276">
        <v>0</v>
      </c>
      <c r="EM90" s="276">
        <v>0</v>
      </c>
      <c r="EN90" s="276">
        <v>0</v>
      </c>
      <c r="EO90" s="276">
        <v>0</v>
      </c>
      <c r="EP90" s="276">
        <v>0</v>
      </c>
      <c r="EQ90" s="276">
        <v>0</v>
      </c>
      <c r="ER90" s="313">
        <v>0</v>
      </c>
      <c r="ES90" s="283"/>
      <c r="ET90" s="312">
        <v>0</v>
      </c>
      <c r="EU90" s="274">
        <v>0</v>
      </c>
      <c r="EV90" s="274">
        <v>0</v>
      </c>
      <c r="EW90" s="278">
        <v>0</v>
      </c>
      <c r="EX90" s="276">
        <v>0</v>
      </c>
      <c r="EY90" s="276">
        <v>0</v>
      </c>
      <c r="EZ90" s="276">
        <v>0</v>
      </c>
      <c r="FA90" s="276">
        <v>0</v>
      </c>
      <c r="FB90" s="276">
        <v>0</v>
      </c>
      <c r="FC90" s="276">
        <v>0</v>
      </c>
      <c r="FD90" s="276">
        <v>0</v>
      </c>
      <c r="FE90" s="313">
        <v>0</v>
      </c>
      <c r="FF90" s="212"/>
      <c r="FG90" s="312">
        <v>0</v>
      </c>
      <c r="FH90" s="274">
        <v>0</v>
      </c>
      <c r="FI90" s="274">
        <v>0</v>
      </c>
      <c r="FJ90" s="278">
        <v>0</v>
      </c>
      <c r="FK90" s="276">
        <v>0</v>
      </c>
      <c r="FL90" s="276">
        <v>0</v>
      </c>
      <c r="FM90" s="276">
        <v>0</v>
      </c>
      <c r="FN90" s="276">
        <v>0</v>
      </c>
      <c r="FO90" s="276">
        <v>0</v>
      </c>
      <c r="FP90" s="276">
        <v>0</v>
      </c>
      <c r="FQ90" s="276">
        <v>0</v>
      </c>
      <c r="FR90" s="313">
        <v>0</v>
      </c>
      <c r="FS90" s="283"/>
      <c r="FT90" s="286">
        <v>0</v>
      </c>
      <c r="FU90" s="260">
        <v>0</v>
      </c>
      <c r="FV90" s="260">
        <v>0</v>
      </c>
      <c r="FW90" s="260">
        <v>0</v>
      </c>
      <c r="FX90" s="287">
        <v>0</v>
      </c>
      <c r="FY90" s="327">
        <v>0</v>
      </c>
      <c r="FZ90" s="275">
        <v>0</v>
      </c>
      <c r="GA90" s="275">
        <v>0</v>
      </c>
      <c r="GB90" s="275">
        <v>0</v>
      </c>
      <c r="GC90" s="275">
        <v>0</v>
      </c>
      <c r="GD90" s="275">
        <v>0</v>
      </c>
      <c r="GE90" s="275">
        <v>0</v>
      </c>
      <c r="GF90" s="277">
        <v>0</v>
      </c>
      <c r="GG90" s="214">
        <v>0</v>
      </c>
      <c r="GH90" s="286">
        <v>0</v>
      </c>
      <c r="GI90" s="260">
        <v>0</v>
      </c>
      <c r="GJ90" s="260">
        <v>0</v>
      </c>
      <c r="GK90" s="260">
        <v>0</v>
      </c>
      <c r="GL90" s="291">
        <v>0</v>
      </c>
      <c r="GM90" s="275">
        <v>0</v>
      </c>
      <c r="GN90" s="275">
        <v>0</v>
      </c>
      <c r="GO90" s="275">
        <v>0</v>
      </c>
      <c r="GP90" s="275">
        <v>0</v>
      </c>
      <c r="GQ90" s="275">
        <v>0</v>
      </c>
      <c r="GR90" s="277">
        <v>0</v>
      </c>
      <c r="GS90" s="275">
        <v>0</v>
      </c>
      <c r="GT90" s="284">
        <v>0</v>
      </c>
      <c r="GU90" s="292">
        <v>0</v>
      </c>
      <c r="GV90" s="214">
        <v>0</v>
      </c>
      <c r="GW90" s="293">
        <v>0</v>
      </c>
      <c r="GX90" s="294"/>
      <c r="GY90" s="293">
        <v>0</v>
      </c>
      <c r="GZ90" s="293">
        <v>0</v>
      </c>
      <c r="HA90" s="293">
        <v>0</v>
      </c>
      <c r="HB90" s="293">
        <v>0</v>
      </c>
      <c r="HC90" s="295">
        <v>0</v>
      </c>
    </row>
    <row r="91" spans="1:211">
      <c r="B91" s="328" t="s">
        <v>296</v>
      </c>
      <c r="C91" s="297" t="s">
        <v>135</v>
      </c>
      <c r="D91" s="299" t="s">
        <v>26</v>
      </c>
      <c r="E91" s="299" t="s">
        <v>295</v>
      </c>
      <c r="F91" s="382" t="s">
        <v>144</v>
      </c>
      <c r="G91" s="301">
        <v>0</v>
      </c>
      <c r="H91" s="301">
        <v>11.664000000000001</v>
      </c>
      <c r="I91" s="258">
        <v>0</v>
      </c>
      <c r="J91" s="302">
        <v>0</v>
      </c>
      <c r="K91" s="302">
        <v>0</v>
      </c>
      <c r="L91" s="261">
        <v>0</v>
      </c>
      <c r="M91" s="261">
        <v>0</v>
      </c>
      <c r="N91" s="260">
        <v>0</v>
      </c>
      <c r="O91" s="260">
        <v>0</v>
      </c>
      <c r="P91" s="260">
        <v>0</v>
      </c>
      <c r="Q91" s="261">
        <v>0</v>
      </c>
      <c r="R91" s="303">
        <v>0</v>
      </c>
      <c r="S91" s="261">
        <f t="shared" si="5"/>
        <v>0</v>
      </c>
      <c r="T91" s="270">
        <v>0</v>
      </c>
      <c r="U91" s="267">
        <v>0</v>
      </c>
      <c r="V91" s="259">
        <v>0</v>
      </c>
      <c r="W91" s="259">
        <v>0</v>
      </c>
      <c r="X91" s="259">
        <v>0</v>
      </c>
      <c r="Y91" s="259">
        <v>0</v>
      </c>
      <c r="Z91" s="259">
        <v>0</v>
      </c>
      <c r="AA91" s="259">
        <v>0</v>
      </c>
      <c r="AB91" s="259">
        <v>0</v>
      </c>
      <c r="AC91" s="259">
        <v>0</v>
      </c>
      <c r="AD91" s="259">
        <v>0</v>
      </c>
      <c r="AE91" s="268">
        <v>0</v>
      </c>
      <c r="AG91" s="270">
        <v>0</v>
      </c>
      <c r="AH91" s="267">
        <v>11.6</v>
      </c>
      <c r="AI91" s="259">
        <v>0</v>
      </c>
      <c r="AJ91" s="259">
        <v>0.7641</v>
      </c>
      <c r="AK91" s="259">
        <v>0</v>
      </c>
      <c r="AL91" s="259">
        <v>0</v>
      </c>
      <c r="AM91" s="259">
        <v>0</v>
      </c>
      <c r="AN91" s="259">
        <v>0</v>
      </c>
      <c r="AO91" s="259">
        <v>0</v>
      </c>
      <c r="AP91" s="259">
        <v>0</v>
      </c>
      <c r="AQ91" s="259">
        <v>0</v>
      </c>
      <c r="AR91" s="304">
        <v>0</v>
      </c>
      <c r="AS91" s="454">
        <v>0</v>
      </c>
      <c r="AT91" s="305">
        <v>0</v>
      </c>
      <c r="AU91" s="259">
        <v>151610.50582990397</v>
      </c>
      <c r="AV91" s="259">
        <v>0</v>
      </c>
      <c r="AW91" s="259">
        <v>0</v>
      </c>
      <c r="AX91" s="259">
        <v>0</v>
      </c>
      <c r="AY91" s="259">
        <v>0</v>
      </c>
      <c r="AZ91" s="259">
        <v>0</v>
      </c>
      <c r="BA91" s="259">
        <v>0</v>
      </c>
      <c r="BB91" s="259">
        <v>0</v>
      </c>
      <c r="BC91" s="259">
        <v>0</v>
      </c>
      <c r="BD91" s="259">
        <v>0</v>
      </c>
      <c r="BE91" s="268">
        <v>0</v>
      </c>
      <c r="BG91" s="305">
        <v>0</v>
      </c>
      <c r="BH91" s="259">
        <v>151610.50582990397</v>
      </c>
      <c r="BI91" s="259">
        <v>0</v>
      </c>
      <c r="BJ91" s="259">
        <v>0</v>
      </c>
      <c r="BK91" s="259">
        <v>0</v>
      </c>
      <c r="BL91" s="259">
        <v>0</v>
      </c>
      <c r="BM91" s="259">
        <v>0</v>
      </c>
      <c r="BN91" s="259">
        <v>0</v>
      </c>
      <c r="BO91" s="259">
        <v>0</v>
      </c>
      <c r="BP91" s="259">
        <v>0</v>
      </c>
      <c r="BQ91" s="259">
        <v>0</v>
      </c>
      <c r="BR91" s="268">
        <v>0</v>
      </c>
      <c r="BS91" s="453">
        <v>0</v>
      </c>
      <c r="BT91" s="389">
        <v>0</v>
      </c>
      <c r="BU91" s="307">
        <v>139771.65668760872</v>
      </c>
      <c r="BV91" s="307">
        <v>0</v>
      </c>
      <c r="BW91" s="307">
        <v>146149.14199620605</v>
      </c>
      <c r="BX91" s="307">
        <v>0</v>
      </c>
      <c r="BY91" s="307">
        <v>0</v>
      </c>
      <c r="BZ91" s="307">
        <v>0</v>
      </c>
      <c r="CA91" s="307">
        <v>0</v>
      </c>
      <c r="CB91" s="307">
        <v>0</v>
      </c>
      <c r="CC91" s="307">
        <v>0</v>
      </c>
      <c r="CD91" s="307">
        <v>0</v>
      </c>
      <c r="CE91" s="308">
        <v>0</v>
      </c>
      <c r="CF91" s="212"/>
      <c r="CG91" s="312">
        <v>0</v>
      </c>
      <c r="CH91" s="274">
        <v>0.17683849400000001</v>
      </c>
      <c r="CI91" s="274">
        <v>0</v>
      </c>
      <c r="CJ91" s="274">
        <v>0</v>
      </c>
      <c r="CK91" s="274">
        <v>0</v>
      </c>
      <c r="CL91" s="276">
        <v>0</v>
      </c>
      <c r="CM91" s="276">
        <v>0</v>
      </c>
      <c r="CN91" s="276">
        <v>0</v>
      </c>
      <c r="CO91" s="343">
        <v>0</v>
      </c>
      <c r="CP91" s="276">
        <v>0</v>
      </c>
      <c r="CQ91" s="276">
        <v>0</v>
      </c>
      <c r="CR91" s="313">
        <v>0</v>
      </c>
      <c r="CS91" s="212"/>
      <c r="CT91" s="450">
        <v>0</v>
      </c>
      <c r="CU91" s="278">
        <v>0</v>
      </c>
      <c r="CV91" s="278">
        <v>0</v>
      </c>
      <c r="CW91" s="278">
        <v>0</v>
      </c>
      <c r="CX91" s="278">
        <v>0</v>
      </c>
      <c r="CY91" s="278">
        <v>0</v>
      </c>
      <c r="CZ91" s="278">
        <v>0</v>
      </c>
      <c r="DA91" s="278">
        <v>0</v>
      </c>
      <c r="DB91" s="278">
        <v>0</v>
      </c>
      <c r="DC91" s="278">
        <v>0</v>
      </c>
      <c r="DD91" s="278">
        <v>0</v>
      </c>
      <c r="DE91" s="278">
        <v>0</v>
      </c>
      <c r="DF91" s="390">
        <f t="shared" si="6"/>
        <v>0</v>
      </c>
      <c r="DG91" s="273">
        <v>0</v>
      </c>
      <c r="DH91" s="281">
        <v>0.16213512175762612</v>
      </c>
      <c r="DI91" s="278">
        <v>0</v>
      </c>
      <c r="DJ91" s="278">
        <v>1.1167255939930103E-2</v>
      </c>
      <c r="DK91" s="278">
        <v>0</v>
      </c>
      <c r="DL91" s="278">
        <v>0</v>
      </c>
      <c r="DM91" s="278">
        <v>0</v>
      </c>
      <c r="DN91" s="278">
        <v>0</v>
      </c>
      <c r="DO91" s="278">
        <v>0</v>
      </c>
      <c r="DP91" s="278">
        <v>0</v>
      </c>
      <c r="DQ91" s="278">
        <v>0</v>
      </c>
      <c r="DR91" s="282">
        <v>0</v>
      </c>
      <c r="DS91" s="226"/>
      <c r="DT91" s="312">
        <v>0</v>
      </c>
      <c r="DU91" s="274">
        <v>0</v>
      </c>
      <c r="DV91" s="274">
        <v>0</v>
      </c>
      <c r="DW91" s="278">
        <v>0</v>
      </c>
      <c r="DX91" s="276">
        <v>0</v>
      </c>
      <c r="DY91" s="276">
        <v>0</v>
      </c>
      <c r="DZ91" s="276">
        <v>0</v>
      </c>
      <c r="EA91" s="276">
        <v>0</v>
      </c>
      <c r="EB91" s="276">
        <v>0</v>
      </c>
      <c r="EC91" s="276">
        <v>0</v>
      </c>
      <c r="ED91" s="276">
        <v>0</v>
      </c>
      <c r="EE91" s="313">
        <v>0</v>
      </c>
      <c r="EF91" s="212"/>
      <c r="EG91" s="312">
        <v>0</v>
      </c>
      <c r="EH91" s="274">
        <v>0.17683849400000001</v>
      </c>
      <c r="EI91" s="274">
        <v>0</v>
      </c>
      <c r="EJ91" s="278">
        <v>0</v>
      </c>
      <c r="EK91" s="276">
        <v>0</v>
      </c>
      <c r="EL91" s="276">
        <v>0</v>
      </c>
      <c r="EM91" s="276">
        <v>0</v>
      </c>
      <c r="EN91" s="276">
        <v>0</v>
      </c>
      <c r="EO91" s="276">
        <v>0</v>
      </c>
      <c r="EP91" s="276">
        <v>0</v>
      </c>
      <c r="EQ91" s="276">
        <v>0</v>
      </c>
      <c r="ER91" s="313">
        <v>0</v>
      </c>
      <c r="ES91" s="283"/>
      <c r="ET91" s="312">
        <v>0</v>
      </c>
      <c r="EU91" s="274">
        <v>1.380883363957318E-2</v>
      </c>
      <c r="EV91" s="274">
        <v>0</v>
      </c>
      <c r="EW91" s="278">
        <v>0</v>
      </c>
      <c r="EX91" s="276">
        <v>0</v>
      </c>
      <c r="EY91" s="276">
        <v>0</v>
      </c>
      <c r="EZ91" s="276">
        <v>0</v>
      </c>
      <c r="FA91" s="276">
        <v>0</v>
      </c>
      <c r="FB91" s="276">
        <v>0</v>
      </c>
      <c r="FC91" s="276">
        <v>0</v>
      </c>
      <c r="FD91" s="276">
        <v>0</v>
      </c>
      <c r="FE91" s="313">
        <v>0</v>
      </c>
      <c r="FF91" s="212"/>
      <c r="FG91" s="312">
        <v>0</v>
      </c>
      <c r="FH91" s="274">
        <v>8.9453860280072151E-4</v>
      </c>
      <c r="FI91" s="274">
        <v>0</v>
      </c>
      <c r="FJ91" s="278">
        <v>-1.1167255939930103E-2</v>
      </c>
      <c r="FK91" s="276">
        <v>0</v>
      </c>
      <c r="FL91" s="276">
        <v>0</v>
      </c>
      <c r="FM91" s="276">
        <v>0</v>
      </c>
      <c r="FN91" s="276">
        <v>0</v>
      </c>
      <c r="FO91" s="276">
        <v>0</v>
      </c>
      <c r="FP91" s="276">
        <v>0</v>
      </c>
      <c r="FQ91" s="276">
        <v>0</v>
      </c>
      <c r="FR91" s="313">
        <v>0</v>
      </c>
      <c r="FS91" s="283"/>
      <c r="FT91" s="286">
        <v>11.664000000000001</v>
      </c>
      <c r="FU91" s="260">
        <v>0</v>
      </c>
      <c r="FV91" s="260">
        <v>12.364100000000001</v>
      </c>
      <c r="FW91" s="260">
        <v>11.664000000000001</v>
      </c>
      <c r="FX91" s="287">
        <v>0</v>
      </c>
      <c r="FY91" s="314">
        <v>0.17683849400000001</v>
      </c>
      <c r="FZ91" s="275">
        <v>0</v>
      </c>
      <c r="GA91" s="275">
        <v>0.17330237769755621</v>
      </c>
      <c r="GB91" s="275">
        <v>0.17683849400000001</v>
      </c>
      <c r="GC91" s="275">
        <v>0.17683849400000001</v>
      </c>
      <c r="GD91" s="275">
        <v>0</v>
      </c>
      <c r="GE91" s="275">
        <v>-1.0272717337129382E-2</v>
      </c>
      <c r="GF91" s="277">
        <v>1.380883363957318E-2</v>
      </c>
      <c r="GG91" s="214">
        <v>0</v>
      </c>
      <c r="GH91" s="286">
        <v>0</v>
      </c>
      <c r="GI91" s="260">
        <v>0</v>
      </c>
      <c r="GJ91" s="260">
        <v>0</v>
      </c>
      <c r="GK91" s="260">
        <v>0</v>
      </c>
      <c r="GL91" s="291">
        <v>0</v>
      </c>
      <c r="GM91" s="275">
        <v>0</v>
      </c>
      <c r="GN91" s="275">
        <v>0</v>
      </c>
      <c r="GO91" s="275">
        <v>0</v>
      </c>
      <c r="GP91" s="275">
        <v>0</v>
      </c>
      <c r="GQ91" s="275">
        <v>0</v>
      </c>
      <c r="GR91" s="277">
        <v>0</v>
      </c>
      <c r="GS91" s="275">
        <v>0</v>
      </c>
      <c r="GT91" s="284">
        <v>0</v>
      </c>
      <c r="GU91" s="292">
        <v>0</v>
      </c>
      <c r="GV91" s="214">
        <v>0</v>
      </c>
      <c r="GW91" s="293">
        <v>0</v>
      </c>
      <c r="GX91" s="294"/>
      <c r="GY91" s="293">
        <v>3.536116302443798E-3</v>
      </c>
      <c r="GZ91" s="293">
        <v>0</v>
      </c>
      <c r="HA91" s="293">
        <v>0</v>
      </c>
      <c r="HB91" s="293">
        <v>0</v>
      </c>
      <c r="HC91" s="295">
        <v>0</v>
      </c>
    </row>
    <row r="92" spans="1:211" ht="25.5">
      <c r="B92" s="299" t="s">
        <v>297</v>
      </c>
      <c r="C92" s="297" t="s">
        <v>135</v>
      </c>
      <c r="D92" s="299" t="s">
        <v>298</v>
      </c>
      <c r="E92" s="299" t="s">
        <v>299</v>
      </c>
      <c r="F92" s="382" t="s">
        <v>300</v>
      </c>
      <c r="G92" s="301">
        <v>26.029000000000003</v>
      </c>
      <c r="H92" s="301">
        <v>4.3380000000000001</v>
      </c>
      <c r="I92" s="258">
        <v>0</v>
      </c>
      <c r="J92" s="302">
        <v>0</v>
      </c>
      <c r="K92" s="302">
        <v>0</v>
      </c>
      <c r="L92" s="261">
        <v>0</v>
      </c>
      <c r="M92" s="261">
        <v>0</v>
      </c>
      <c r="N92" s="260">
        <v>0</v>
      </c>
      <c r="O92" s="260">
        <v>0</v>
      </c>
      <c r="P92" s="260">
        <v>0</v>
      </c>
      <c r="Q92" s="261">
        <v>0</v>
      </c>
      <c r="R92" s="303">
        <v>0</v>
      </c>
      <c r="S92" s="261">
        <f t="shared" si="5"/>
        <v>0</v>
      </c>
      <c r="T92" s="270">
        <v>9.2840000000000007</v>
      </c>
      <c r="U92" s="267">
        <v>9.2840000000000007</v>
      </c>
      <c r="V92" s="259">
        <v>9.2840000000000007</v>
      </c>
      <c r="W92" s="259">
        <v>9.2840000000000007</v>
      </c>
      <c r="X92" s="259">
        <v>9.2840000000000007</v>
      </c>
      <c r="Y92" s="259">
        <v>9.2840000000000007</v>
      </c>
      <c r="Z92" s="259">
        <v>9.2840000000000007</v>
      </c>
      <c r="AA92" s="259">
        <v>9.2840000000000007</v>
      </c>
      <c r="AB92" s="259">
        <v>9.2840000000000007</v>
      </c>
      <c r="AC92" s="259">
        <v>9.2840000000000007</v>
      </c>
      <c r="AD92" s="259">
        <v>9.2840000000000007</v>
      </c>
      <c r="AE92" s="268">
        <v>9.2840000000000007</v>
      </c>
      <c r="AG92" s="270">
        <v>0</v>
      </c>
      <c r="AH92" s="455">
        <v>7</v>
      </c>
      <c r="AI92" s="259">
        <v>0</v>
      </c>
      <c r="AJ92" s="259">
        <v>0</v>
      </c>
      <c r="AK92" s="259">
        <v>0</v>
      </c>
      <c r="AL92" s="259">
        <v>0</v>
      </c>
      <c r="AM92" s="259">
        <v>0</v>
      </c>
      <c r="AN92" s="259">
        <v>0</v>
      </c>
      <c r="AO92" s="259">
        <v>0</v>
      </c>
      <c r="AP92" s="259">
        <v>0</v>
      </c>
      <c r="AQ92" s="259">
        <v>0</v>
      </c>
      <c r="AR92" s="304">
        <v>0</v>
      </c>
      <c r="AS92" s="456">
        <v>0</v>
      </c>
      <c r="AT92" s="351">
        <v>160802.18948096354</v>
      </c>
      <c r="AU92" s="259">
        <v>163645.836791148</v>
      </c>
      <c r="AV92" s="259">
        <v>0</v>
      </c>
      <c r="AW92" s="259">
        <v>0</v>
      </c>
      <c r="AX92" s="259">
        <v>0</v>
      </c>
      <c r="AY92" s="259">
        <v>0</v>
      </c>
      <c r="AZ92" s="259">
        <v>0</v>
      </c>
      <c r="BA92" s="259">
        <v>0</v>
      </c>
      <c r="BB92" s="259">
        <v>0</v>
      </c>
      <c r="BC92" s="259">
        <v>0</v>
      </c>
      <c r="BD92" s="259">
        <v>0</v>
      </c>
      <c r="BE92" s="268">
        <v>0</v>
      </c>
      <c r="BG92" s="351">
        <v>114272.53695412252</v>
      </c>
      <c r="BH92" s="259">
        <v>114272.53695412252</v>
      </c>
      <c r="BI92" s="259">
        <v>114272.53695412252</v>
      </c>
      <c r="BJ92" s="259">
        <v>114272.53695412252</v>
      </c>
      <c r="BK92" s="259">
        <v>114272.53695412252</v>
      </c>
      <c r="BL92" s="259">
        <v>114272.53695412252</v>
      </c>
      <c r="BM92" s="259">
        <v>114272.53695412252</v>
      </c>
      <c r="BN92" s="259">
        <v>114272.53695412252</v>
      </c>
      <c r="BO92" s="259">
        <v>114272.53695412252</v>
      </c>
      <c r="BP92" s="259">
        <v>114272.53695412252</v>
      </c>
      <c r="BQ92" s="259">
        <v>114272.53695412252</v>
      </c>
      <c r="BR92" s="268">
        <v>114272.53695412252</v>
      </c>
      <c r="BT92" s="389">
        <v>0</v>
      </c>
      <c r="BU92" s="307">
        <v>158036.5636740012</v>
      </c>
      <c r="BV92" s="307">
        <v>0</v>
      </c>
      <c r="BW92" s="307">
        <v>0</v>
      </c>
      <c r="BX92" s="307">
        <v>0</v>
      </c>
      <c r="BY92" s="307">
        <v>0</v>
      </c>
      <c r="BZ92" s="307">
        <v>0</v>
      </c>
      <c r="CA92" s="307">
        <v>0</v>
      </c>
      <c r="CB92" s="307">
        <v>0</v>
      </c>
      <c r="CC92" s="307">
        <v>0</v>
      </c>
      <c r="CD92" s="307">
        <v>0</v>
      </c>
      <c r="CE92" s="308">
        <v>0</v>
      </c>
      <c r="CF92" s="212"/>
      <c r="CG92" s="315">
        <v>0.41855201900000005</v>
      </c>
      <c r="CH92" s="274">
        <v>7.0989564000000005E-2</v>
      </c>
      <c r="CI92" s="274">
        <v>0</v>
      </c>
      <c r="CJ92" s="329">
        <v>1.4798799999999999E-4</v>
      </c>
      <c r="CK92" s="329">
        <v>0</v>
      </c>
      <c r="CL92" s="338">
        <v>0</v>
      </c>
      <c r="CM92" s="338">
        <v>0</v>
      </c>
      <c r="CN92" s="338">
        <v>0</v>
      </c>
      <c r="CO92" s="338">
        <v>0</v>
      </c>
      <c r="CP92" s="338">
        <v>0</v>
      </c>
      <c r="CQ92" s="338">
        <v>0</v>
      </c>
      <c r="CR92" s="339">
        <v>0</v>
      </c>
      <c r="CS92" s="212"/>
      <c r="CT92" s="457">
        <v>0.10609062330820736</v>
      </c>
      <c r="CU92" s="342">
        <v>0.10609062330820736</v>
      </c>
      <c r="CV92" s="342">
        <v>0.10609062330820736</v>
      </c>
      <c r="CW92" s="342">
        <v>0.10609062330820736</v>
      </c>
      <c r="CX92" s="342">
        <v>0.10609062330820736</v>
      </c>
      <c r="CY92" s="342">
        <v>0.10609062330820736</v>
      </c>
      <c r="CZ92" s="342">
        <v>0.10609062330820736</v>
      </c>
      <c r="DA92" s="342">
        <v>0.10609062330820736</v>
      </c>
      <c r="DB92" s="342">
        <v>0.10609062330820736</v>
      </c>
      <c r="DC92" s="342">
        <v>0.10609062330820736</v>
      </c>
      <c r="DD92" s="342">
        <v>0.10609062330820736</v>
      </c>
      <c r="DE92" s="340">
        <v>0.10609062330820736</v>
      </c>
      <c r="DF92" s="390">
        <f t="shared" si="6"/>
        <v>0.31827186992462209</v>
      </c>
      <c r="DG92" s="273">
        <v>0</v>
      </c>
      <c r="DH92" s="415">
        <v>0.11062559457180085</v>
      </c>
      <c r="DI92" s="278">
        <v>0</v>
      </c>
      <c r="DJ92" s="278">
        <v>0</v>
      </c>
      <c r="DK92" s="278">
        <v>0</v>
      </c>
      <c r="DL92" s="278">
        <v>0</v>
      </c>
      <c r="DM92" s="278">
        <v>0</v>
      </c>
      <c r="DN92" s="278">
        <v>0</v>
      </c>
      <c r="DO92" s="278">
        <v>0</v>
      </c>
      <c r="DP92" s="278">
        <v>0</v>
      </c>
      <c r="DQ92" s="278">
        <v>0</v>
      </c>
      <c r="DR92" s="282">
        <v>0</v>
      </c>
      <c r="DS92" s="226"/>
      <c r="DT92" s="315">
        <v>0.1211120325621145</v>
      </c>
      <c r="DU92" s="274">
        <v>2.1418137469301653E-2</v>
      </c>
      <c r="DV92" s="274">
        <v>0</v>
      </c>
      <c r="DW92" s="278">
        <v>0</v>
      </c>
      <c r="DX92" s="276">
        <v>0</v>
      </c>
      <c r="DY92" s="276">
        <v>0</v>
      </c>
      <c r="DZ92" s="276">
        <v>0</v>
      </c>
      <c r="EA92" s="276">
        <v>0</v>
      </c>
      <c r="EB92" s="276">
        <v>0</v>
      </c>
      <c r="EC92" s="276">
        <v>0</v>
      </c>
      <c r="ED92" s="276">
        <v>0</v>
      </c>
      <c r="EE92" s="313">
        <v>0</v>
      </c>
      <c r="EF92" s="212"/>
      <c r="EG92" s="315">
        <v>0.19134936312967821</v>
      </c>
      <c r="EH92" s="274">
        <v>-5.6519196777509002E-2</v>
      </c>
      <c r="EI92" s="274">
        <v>-0.10609062330820736</v>
      </c>
      <c r="EJ92" s="278">
        <v>-0.10609062330820736</v>
      </c>
      <c r="EK92" s="276">
        <v>-0.10609062330820736</v>
      </c>
      <c r="EL92" s="276">
        <v>-0.10609062330820736</v>
      </c>
      <c r="EM92" s="276">
        <v>-0.10609062330820736</v>
      </c>
      <c r="EN92" s="276">
        <v>-0.10609062330820736</v>
      </c>
      <c r="EO92" s="276">
        <v>-0.10609062330820736</v>
      </c>
      <c r="EP92" s="276">
        <v>-0.10609062330820736</v>
      </c>
      <c r="EQ92" s="276">
        <v>-0.10609062330820736</v>
      </c>
      <c r="ER92" s="313">
        <v>-0.10609062330820736</v>
      </c>
      <c r="ES92" s="283"/>
      <c r="ET92" s="315">
        <v>0.41855201900000005</v>
      </c>
      <c r="EU92" s="274">
        <v>2.4333026782182837E-3</v>
      </c>
      <c r="EV92" s="274">
        <v>0</v>
      </c>
      <c r="EW92" s="278">
        <v>0</v>
      </c>
      <c r="EX92" s="276">
        <v>0</v>
      </c>
      <c r="EY92" s="276">
        <v>0</v>
      </c>
      <c r="EZ92" s="276">
        <v>0</v>
      </c>
      <c r="FA92" s="276">
        <v>0</v>
      </c>
      <c r="FB92" s="276">
        <v>0</v>
      </c>
      <c r="FC92" s="276">
        <v>0</v>
      </c>
      <c r="FD92" s="276">
        <v>0</v>
      </c>
      <c r="FE92" s="313">
        <v>0</v>
      </c>
      <c r="FF92" s="212"/>
      <c r="FG92" s="315">
        <v>0</v>
      </c>
      <c r="FH92" s="274">
        <v>-4.2069333250019117E-2</v>
      </c>
      <c r="FI92" s="274">
        <v>0</v>
      </c>
      <c r="FJ92" s="278">
        <v>0</v>
      </c>
      <c r="FK92" s="276">
        <v>0</v>
      </c>
      <c r="FL92" s="276">
        <v>0</v>
      </c>
      <c r="FM92" s="276">
        <v>0</v>
      </c>
      <c r="FN92" s="276">
        <v>0</v>
      </c>
      <c r="FO92" s="276">
        <v>0</v>
      </c>
      <c r="FP92" s="276">
        <v>0</v>
      </c>
      <c r="FQ92" s="276">
        <v>0</v>
      </c>
      <c r="FR92" s="313">
        <v>0</v>
      </c>
      <c r="FS92" s="283"/>
      <c r="FT92" s="286">
        <v>30.367000000000004</v>
      </c>
      <c r="FU92" s="260">
        <v>111.40800000000003</v>
      </c>
      <c r="FV92" s="260">
        <v>7</v>
      </c>
      <c r="FW92" s="260">
        <v>-81.041000000000025</v>
      </c>
      <c r="FX92" s="287">
        <v>-0.72742531954617262</v>
      </c>
      <c r="FY92" s="416">
        <v>0.48968957100000005</v>
      </c>
      <c r="FZ92" s="412">
        <v>1.2730874796984883</v>
      </c>
      <c r="GA92" s="412">
        <v>0.11062559457180085</v>
      </c>
      <c r="GB92" s="458">
        <v>-0.78339790869848835</v>
      </c>
      <c r="GC92" s="458">
        <v>-0.9260760667299045</v>
      </c>
      <c r="GD92" s="458">
        <v>0.14253017003141616</v>
      </c>
      <c r="GE92" s="458">
        <v>-4.2069333250019117E-2</v>
      </c>
      <c r="GF92" s="459">
        <v>0.42098532167821834</v>
      </c>
      <c r="GG92" s="214">
        <v>-1.4798799999993228E-4</v>
      </c>
      <c r="GH92" s="286">
        <v>0</v>
      </c>
      <c r="GI92" s="260">
        <v>9.2840000000000007</v>
      </c>
      <c r="GJ92" s="260">
        <v>0</v>
      </c>
      <c r="GK92" s="260">
        <v>-9.2840000000000007</v>
      </c>
      <c r="GL92" s="291">
        <v>-1</v>
      </c>
      <c r="GM92" s="275">
        <v>0</v>
      </c>
      <c r="GN92" s="275">
        <v>0.10609062330820736</v>
      </c>
      <c r="GO92" s="275">
        <v>0</v>
      </c>
      <c r="GP92" s="275">
        <v>-0.10609062330820736</v>
      </c>
      <c r="GQ92" s="275">
        <v>-0.10609062330820736</v>
      </c>
      <c r="GR92" s="277">
        <v>0</v>
      </c>
      <c r="GS92" s="275">
        <v>0</v>
      </c>
      <c r="GT92" s="284">
        <v>0</v>
      </c>
      <c r="GU92" s="292">
        <v>0</v>
      </c>
      <c r="GW92" s="293"/>
      <c r="GX92" s="294"/>
      <c r="GY92" s="293"/>
      <c r="GZ92" s="293"/>
      <c r="HA92" s="293"/>
      <c r="HB92" s="293"/>
      <c r="HC92" s="295"/>
    </row>
    <row r="93" spans="1:211" ht="12.75" customHeight="1">
      <c r="B93" s="299" t="s">
        <v>301</v>
      </c>
      <c r="C93" s="297" t="s">
        <v>135</v>
      </c>
      <c r="D93" s="299" t="s">
        <v>298</v>
      </c>
      <c r="E93" s="299" t="s">
        <v>302</v>
      </c>
      <c r="F93" s="382" t="s">
        <v>300</v>
      </c>
      <c r="G93" s="301">
        <v>18.797000000000004</v>
      </c>
      <c r="H93" s="301">
        <v>10.122</v>
      </c>
      <c r="I93" s="258">
        <v>0</v>
      </c>
      <c r="J93" s="302">
        <v>0</v>
      </c>
      <c r="K93" s="302">
        <v>0</v>
      </c>
      <c r="L93" s="261">
        <v>0</v>
      </c>
      <c r="M93" s="261">
        <v>0</v>
      </c>
      <c r="N93" s="260">
        <v>0</v>
      </c>
      <c r="O93" s="260">
        <v>0</v>
      </c>
      <c r="P93" s="260">
        <v>0</v>
      </c>
      <c r="Q93" s="261">
        <v>0</v>
      </c>
      <c r="R93" s="303">
        <v>0</v>
      </c>
      <c r="S93" s="261">
        <f t="shared" si="5"/>
        <v>0</v>
      </c>
      <c r="T93" s="270">
        <v>9.2840000000000007</v>
      </c>
      <c r="U93" s="267">
        <v>9.2840000000000007</v>
      </c>
      <c r="V93" s="259">
        <v>9.2840000000000007</v>
      </c>
      <c r="W93" s="259">
        <v>9.2840000000000007</v>
      </c>
      <c r="X93" s="259">
        <v>9.2840000000000007</v>
      </c>
      <c r="Y93" s="259">
        <v>9.2840000000000007</v>
      </c>
      <c r="Z93" s="259">
        <v>9.2840000000000007</v>
      </c>
      <c r="AA93" s="259">
        <v>9.2840000000000007</v>
      </c>
      <c r="AB93" s="259">
        <v>9.2840000000000007</v>
      </c>
      <c r="AC93" s="259">
        <v>9.2840000000000007</v>
      </c>
      <c r="AD93" s="259">
        <v>9.2840000000000007</v>
      </c>
      <c r="AE93" s="268">
        <v>9.2840000000000007</v>
      </c>
      <c r="AG93" s="270">
        <v>0</v>
      </c>
      <c r="AH93" s="455">
        <v>0.1575</v>
      </c>
      <c r="AI93" s="259">
        <v>0</v>
      </c>
      <c r="AJ93" s="259">
        <v>0</v>
      </c>
      <c r="AK93" s="259">
        <v>0</v>
      </c>
      <c r="AL93" s="259">
        <v>0</v>
      </c>
      <c r="AM93" s="259">
        <v>0</v>
      </c>
      <c r="AN93" s="259">
        <v>0</v>
      </c>
      <c r="AO93" s="259">
        <v>0</v>
      </c>
      <c r="AP93" s="259">
        <v>0</v>
      </c>
      <c r="AQ93" s="259">
        <v>0</v>
      </c>
      <c r="AR93" s="304">
        <v>0</v>
      </c>
      <c r="AS93" s="456">
        <v>0</v>
      </c>
      <c r="AT93" s="351">
        <v>158043.42182263124</v>
      </c>
      <c r="AU93" s="259">
        <v>160788.3540802213</v>
      </c>
      <c r="AV93" s="259">
        <v>0</v>
      </c>
      <c r="AW93" s="259">
        <v>0</v>
      </c>
      <c r="AX93" s="259">
        <v>0</v>
      </c>
      <c r="AY93" s="259">
        <v>0</v>
      </c>
      <c r="AZ93" s="259">
        <v>0</v>
      </c>
      <c r="BA93" s="259">
        <v>0</v>
      </c>
      <c r="BB93" s="259">
        <v>0</v>
      </c>
      <c r="BC93" s="259">
        <v>0</v>
      </c>
      <c r="BD93" s="259">
        <v>0</v>
      </c>
      <c r="BE93" s="268">
        <v>0</v>
      </c>
      <c r="BG93" s="351">
        <v>122386.65727063431</v>
      </c>
      <c r="BH93" s="259">
        <v>122386.65727063431</v>
      </c>
      <c r="BI93" s="259">
        <v>122386.65727063431</v>
      </c>
      <c r="BJ93" s="259">
        <v>122386.65727063431</v>
      </c>
      <c r="BK93" s="259">
        <v>122386.65727063431</v>
      </c>
      <c r="BL93" s="259">
        <v>122386.65727063431</v>
      </c>
      <c r="BM93" s="259">
        <v>122386.65727063431</v>
      </c>
      <c r="BN93" s="259">
        <v>122386.65727063431</v>
      </c>
      <c r="BO93" s="259">
        <v>122386.65727063431</v>
      </c>
      <c r="BP93" s="259">
        <v>122386.65727063431</v>
      </c>
      <c r="BQ93" s="259">
        <v>122386.65727063431</v>
      </c>
      <c r="BR93" s="268">
        <v>122386.65727063431</v>
      </c>
      <c r="BT93" s="389">
        <v>0</v>
      </c>
      <c r="BU93" s="307">
        <v>158036.56367400123</v>
      </c>
      <c r="BV93" s="307">
        <v>0</v>
      </c>
      <c r="BW93" s="307">
        <v>0</v>
      </c>
      <c r="BX93" s="307">
        <v>0</v>
      </c>
      <c r="BY93" s="307">
        <v>0</v>
      </c>
      <c r="BZ93" s="307">
        <v>0</v>
      </c>
      <c r="CA93" s="307">
        <v>0</v>
      </c>
      <c r="CB93" s="307">
        <v>0</v>
      </c>
      <c r="CC93" s="307">
        <v>0</v>
      </c>
      <c r="CD93" s="307">
        <v>0</v>
      </c>
      <c r="CE93" s="308">
        <v>0</v>
      </c>
      <c r="CF93" s="212"/>
      <c r="CG93" s="315">
        <v>0.29707422</v>
      </c>
      <c r="CH93" s="274">
        <v>0.16274997199999999</v>
      </c>
      <c r="CI93" s="274">
        <v>0</v>
      </c>
      <c r="CJ93" s="329">
        <v>0</v>
      </c>
      <c r="CK93" s="329">
        <v>0</v>
      </c>
      <c r="CL93" s="338">
        <v>0</v>
      </c>
      <c r="CM93" s="338">
        <v>0</v>
      </c>
      <c r="CN93" s="338">
        <v>0</v>
      </c>
      <c r="CO93" s="338">
        <v>0</v>
      </c>
      <c r="CP93" s="338">
        <v>0</v>
      </c>
      <c r="CQ93" s="338">
        <v>0</v>
      </c>
      <c r="CR93" s="339">
        <v>0</v>
      </c>
      <c r="CS93" s="212"/>
      <c r="CT93" s="457">
        <v>0.11362377261005691</v>
      </c>
      <c r="CU93" s="342">
        <v>0.11362377261005691</v>
      </c>
      <c r="CV93" s="342">
        <v>0.11362377261005691</v>
      </c>
      <c r="CW93" s="342">
        <v>0.11362377261005691</v>
      </c>
      <c r="CX93" s="342">
        <v>0.11362377261005691</v>
      </c>
      <c r="CY93" s="342">
        <v>0.11362377261005691</v>
      </c>
      <c r="CZ93" s="342">
        <v>0.11362377261005691</v>
      </c>
      <c r="DA93" s="342">
        <v>0.11362377261005691</v>
      </c>
      <c r="DB93" s="342">
        <v>0.11362377261005691</v>
      </c>
      <c r="DC93" s="342">
        <v>0.11362377261005691</v>
      </c>
      <c r="DD93" s="342">
        <v>0.11362377261005691</v>
      </c>
      <c r="DE93" s="340">
        <v>0.11362377261005691</v>
      </c>
      <c r="DF93" s="390">
        <f t="shared" si="6"/>
        <v>0.34087131783017072</v>
      </c>
      <c r="DG93" s="273">
        <v>0</v>
      </c>
      <c r="DH93" s="415">
        <v>2.4890758778655193E-3</v>
      </c>
      <c r="DI93" s="278">
        <v>0</v>
      </c>
      <c r="DJ93" s="278">
        <v>0</v>
      </c>
      <c r="DK93" s="278">
        <v>0</v>
      </c>
      <c r="DL93" s="278">
        <v>0</v>
      </c>
      <c r="DM93" s="278">
        <v>0</v>
      </c>
      <c r="DN93" s="278">
        <v>0</v>
      </c>
      <c r="DO93" s="278">
        <v>0</v>
      </c>
      <c r="DP93" s="278">
        <v>0</v>
      </c>
      <c r="DQ93" s="278">
        <v>0</v>
      </c>
      <c r="DR93" s="282">
        <v>0</v>
      </c>
      <c r="DS93" s="226"/>
      <c r="DT93" s="315">
        <v>6.7024020328388625E-2</v>
      </c>
      <c r="DU93" s="274">
        <v>3.8870197510663944E-2</v>
      </c>
      <c r="DV93" s="274">
        <v>0</v>
      </c>
      <c r="DW93" s="278">
        <v>0</v>
      </c>
      <c r="DX93" s="276">
        <v>0</v>
      </c>
      <c r="DY93" s="276">
        <v>0</v>
      </c>
      <c r="DZ93" s="276">
        <v>0</v>
      </c>
      <c r="EA93" s="276">
        <v>0</v>
      </c>
      <c r="EB93" s="276">
        <v>0</v>
      </c>
      <c r="EC93" s="276">
        <v>0</v>
      </c>
      <c r="ED93" s="276">
        <v>0</v>
      </c>
      <c r="EE93" s="313">
        <v>0</v>
      </c>
      <c r="EF93" s="212"/>
      <c r="EG93" s="315">
        <v>0.11642642706155447</v>
      </c>
      <c r="EH93" s="274">
        <v>1.0256001879279145E-2</v>
      </c>
      <c r="EI93" s="274">
        <v>-0.11362377261005691</v>
      </c>
      <c r="EJ93" s="278">
        <v>-0.11362377261005691</v>
      </c>
      <c r="EK93" s="276">
        <v>-0.11362377261005691</v>
      </c>
      <c r="EL93" s="276">
        <v>-0.11362377261005691</v>
      </c>
      <c r="EM93" s="276">
        <v>-0.11362377261005691</v>
      </c>
      <c r="EN93" s="276">
        <v>-0.11362377261005691</v>
      </c>
      <c r="EO93" s="276">
        <v>-0.11362377261005691</v>
      </c>
      <c r="EP93" s="276">
        <v>-0.11362377261005691</v>
      </c>
      <c r="EQ93" s="276">
        <v>-0.11362377261005691</v>
      </c>
      <c r="ER93" s="313">
        <v>-0.11362377261005691</v>
      </c>
      <c r="ES93" s="283"/>
      <c r="ET93" s="315">
        <v>0.29707422</v>
      </c>
      <c r="EU93" s="274">
        <v>2.7853622491759537E-3</v>
      </c>
      <c r="EV93" s="274">
        <v>0</v>
      </c>
      <c r="EW93" s="278">
        <v>0</v>
      </c>
      <c r="EX93" s="276">
        <v>0</v>
      </c>
      <c r="EY93" s="276">
        <v>0</v>
      </c>
      <c r="EZ93" s="276">
        <v>0</v>
      </c>
      <c r="FA93" s="276">
        <v>0</v>
      </c>
      <c r="FB93" s="276">
        <v>0</v>
      </c>
      <c r="FC93" s="276">
        <v>0</v>
      </c>
      <c r="FD93" s="276">
        <v>0</v>
      </c>
      <c r="FE93" s="313">
        <v>0</v>
      </c>
      <c r="FF93" s="212"/>
      <c r="FG93" s="315">
        <v>0</v>
      </c>
      <c r="FH93" s="274">
        <v>0.15747553387295851</v>
      </c>
      <c r="FI93" s="274">
        <v>0</v>
      </c>
      <c r="FJ93" s="278">
        <v>0</v>
      </c>
      <c r="FK93" s="276">
        <v>0</v>
      </c>
      <c r="FL93" s="276">
        <v>0</v>
      </c>
      <c r="FM93" s="276">
        <v>0</v>
      </c>
      <c r="FN93" s="276">
        <v>0</v>
      </c>
      <c r="FO93" s="276">
        <v>0</v>
      </c>
      <c r="FP93" s="276">
        <v>0</v>
      </c>
      <c r="FQ93" s="276">
        <v>0</v>
      </c>
      <c r="FR93" s="313">
        <v>0</v>
      </c>
      <c r="FS93" s="283"/>
      <c r="FT93" s="286">
        <v>28.919000000000004</v>
      </c>
      <c r="FU93" s="260">
        <v>111.40800000000003</v>
      </c>
      <c r="FV93" s="260">
        <v>0.1575</v>
      </c>
      <c r="FW93" s="260">
        <v>-82.489000000000033</v>
      </c>
      <c r="FX93" s="287">
        <v>-0.7404225908372829</v>
      </c>
      <c r="FY93" s="416">
        <v>0.45982419200000002</v>
      </c>
      <c r="FZ93" s="412">
        <v>1.3634852713206824</v>
      </c>
      <c r="GA93" s="412">
        <v>2.4890758778655193E-3</v>
      </c>
      <c r="GB93" s="458">
        <v>-0.9036610793206824</v>
      </c>
      <c r="GC93" s="458">
        <v>-1.0095552971597352</v>
      </c>
      <c r="GD93" s="458">
        <v>0.10589421783905256</v>
      </c>
      <c r="GE93" s="458">
        <v>0.15747553387295851</v>
      </c>
      <c r="GF93" s="459">
        <v>0.29985958224917597</v>
      </c>
      <c r="GG93" s="214">
        <v>0</v>
      </c>
      <c r="GH93" s="286">
        <v>0</v>
      </c>
      <c r="GI93" s="260">
        <v>9.2840000000000007</v>
      </c>
      <c r="GJ93" s="260">
        <v>0</v>
      </c>
      <c r="GK93" s="260">
        <v>-9.2840000000000007</v>
      </c>
      <c r="GL93" s="291">
        <v>-1</v>
      </c>
      <c r="GM93" s="275">
        <v>0</v>
      </c>
      <c r="GN93" s="275">
        <v>0.11362377261005691</v>
      </c>
      <c r="GO93" s="275">
        <v>0</v>
      </c>
      <c r="GP93" s="275">
        <v>-0.11362377261005691</v>
      </c>
      <c r="GQ93" s="275">
        <v>-0.11362377261005691</v>
      </c>
      <c r="GR93" s="277">
        <v>0</v>
      </c>
      <c r="GS93" s="275">
        <v>0</v>
      </c>
      <c r="GT93" s="284">
        <v>0</v>
      </c>
      <c r="GU93" s="292">
        <v>0</v>
      </c>
      <c r="GW93" s="293"/>
      <c r="GX93" s="294"/>
      <c r="GY93" s="293"/>
      <c r="GZ93" s="293"/>
      <c r="HA93" s="293"/>
      <c r="HB93" s="293"/>
      <c r="HC93" s="295"/>
    </row>
    <row r="94" spans="1:211" ht="25.5">
      <c r="B94" s="299" t="s">
        <v>303</v>
      </c>
      <c r="C94" s="297" t="s">
        <v>135</v>
      </c>
      <c r="D94" s="299" t="s">
        <v>298</v>
      </c>
      <c r="E94" s="299" t="s">
        <v>304</v>
      </c>
      <c r="F94" s="382" t="s">
        <v>300</v>
      </c>
      <c r="G94" s="301">
        <v>13.013999999999999</v>
      </c>
      <c r="H94" s="301">
        <v>0</v>
      </c>
      <c r="I94" s="258">
        <v>0</v>
      </c>
      <c r="J94" s="302">
        <v>0</v>
      </c>
      <c r="K94" s="302">
        <v>0</v>
      </c>
      <c r="L94" s="261">
        <v>0</v>
      </c>
      <c r="M94" s="261">
        <v>0</v>
      </c>
      <c r="N94" s="260">
        <v>0</v>
      </c>
      <c r="O94" s="260">
        <v>0</v>
      </c>
      <c r="P94" s="260">
        <v>0</v>
      </c>
      <c r="Q94" s="261">
        <v>0</v>
      </c>
      <c r="R94" s="303">
        <v>0</v>
      </c>
      <c r="S94" s="261">
        <f t="shared" si="5"/>
        <v>0</v>
      </c>
      <c r="T94" s="270">
        <v>3</v>
      </c>
      <c r="U94" s="267">
        <v>2</v>
      </c>
      <c r="V94" s="259">
        <v>3</v>
      </c>
      <c r="W94" s="259">
        <v>2.09</v>
      </c>
      <c r="X94" s="259">
        <v>2.09</v>
      </c>
      <c r="Y94" s="259">
        <v>2.09</v>
      </c>
      <c r="Z94" s="259">
        <v>2.09</v>
      </c>
      <c r="AA94" s="259">
        <v>2.09</v>
      </c>
      <c r="AB94" s="259">
        <v>2.09</v>
      </c>
      <c r="AC94" s="259">
        <v>2.09</v>
      </c>
      <c r="AD94" s="259">
        <v>2.09</v>
      </c>
      <c r="AE94" s="268">
        <v>2.09</v>
      </c>
      <c r="AG94" s="270">
        <v>0</v>
      </c>
      <c r="AH94" s="455">
        <v>0</v>
      </c>
      <c r="AI94" s="259">
        <v>0</v>
      </c>
      <c r="AJ94" s="259">
        <v>0</v>
      </c>
      <c r="AK94" s="259">
        <v>0</v>
      </c>
      <c r="AL94" s="259">
        <v>0</v>
      </c>
      <c r="AM94" s="259">
        <v>0</v>
      </c>
      <c r="AN94" s="259">
        <v>0</v>
      </c>
      <c r="AO94" s="259">
        <v>0</v>
      </c>
      <c r="AP94" s="259">
        <v>0</v>
      </c>
      <c r="AQ94" s="259">
        <v>0</v>
      </c>
      <c r="AR94" s="304">
        <v>0</v>
      </c>
      <c r="AS94" s="456">
        <v>0</v>
      </c>
      <c r="AT94" s="351">
        <v>156996.18948824343</v>
      </c>
      <c r="AU94" s="259">
        <v>0</v>
      </c>
      <c r="AV94" s="259">
        <v>0</v>
      </c>
      <c r="AW94" s="259">
        <v>0</v>
      </c>
      <c r="AX94" s="259">
        <v>0</v>
      </c>
      <c r="AY94" s="259">
        <v>0</v>
      </c>
      <c r="AZ94" s="259">
        <v>0</v>
      </c>
      <c r="BA94" s="259">
        <v>0</v>
      </c>
      <c r="BB94" s="259">
        <v>0</v>
      </c>
      <c r="BC94" s="259">
        <v>0</v>
      </c>
      <c r="BD94" s="259">
        <v>0</v>
      </c>
      <c r="BE94" s="268">
        <v>0</v>
      </c>
      <c r="BG94" s="351">
        <v>122402.86408405349</v>
      </c>
      <c r="BH94" s="259">
        <v>122402.86408405349</v>
      </c>
      <c r="BI94" s="259">
        <v>122402.86408405349</v>
      </c>
      <c r="BJ94" s="259">
        <v>122402.86408405349</v>
      </c>
      <c r="BK94" s="259">
        <v>122402.86408405349</v>
      </c>
      <c r="BL94" s="259">
        <v>122402.86408405349</v>
      </c>
      <c r="BM94" s="259">
        <v>122402.86408405349</v>
      </c>
      <c r="BN94" s="259">
        <v>122402.86408405349</v>
      </c>
      <c r="BO94" s="259">
        <v>122402.86408405349</v>
      </c>
      <c r="BP94" s="259">
        <v>122402.86408405349</v>
      </c>
      <c r="BQ94" s="259">
        <v>122402.86408405349</v>
      </c>
      <c r="BR94" s="268">
        <v>122402.86408405349</v>
      </c>
      <c r="BT94" s="389">
        <v>0</v>
      </c>
      <c r="BU94" s="307">
        <v>0</v>
      </c>
      <c r="BV94" s="307">
        <v>0</v>
      </c>
      <c r="BW94" s="307">
        <v>0</v>
      </c>
      <c r="BX94" s="307">
        <v>0</v>
      </c>
      <c r="BY94" s="307">
        <v>0</v>
      </c>
      <c r="BZ94" s="307">
        <v>0</v>
      </c>
      <c r="CA94" s="307">
        <v>0</v>
      </c>
      <c r="CB94" s="307">
        <v>0</v>
      </c>
      <c r="CC94" s="307">
        <v>0</v>
      </c>
      <c r="CD94" s="307">
        <v>0</v>
      </c>
      <c r="CE94" s="308">
        <v>0</v>
      </c>
      <c r="CF94" s="212"/>
      <c r="CG94" s="315">
        <v>0.204314841</v>
      </c>
      <c r="CH94" s="274">
        <v>0</v>
      </c>
      <c r="CI94" s="274">
        <v>0</v>
      </c>
      <c r="CJ94" s="329">
        <v>0</v>
      </c>
      <c r="CK94" s="329">
        <v>0</v>
      </c>
      <c r="CL94" s="338">
        <v>0</v>
      </c>
      <c r="CM94" s="338">
        <v>0</v>
      </c>
      <c r="CN94" s="338">
        <v>0</v>
      </c>
      <c r="CO94" s="338">
        <v>0</v>
      </c>
      <c r="CP94" s="338">
        <v>0</v>
      </c>
      <c r="CQ94" s="338">
        <v>0</v>
      </c>
      <c r="CR94" s="339">
        <v>0</v>
      </c>
      <c r="CS94" s="212"/>
      <c r="CT94" s="457">
        <v>3.6720859225216049E-2</v>
      </c>
      <c r="CU94" s="342">
        <v>2.4480572816810698E-2</v>
      </c>
      <c r="CV94" s="342">
        <v>3.6720859225216049E-2</v>
      </c>
      <c r="CW94" s="342">
        <v>2.5582198593567178E-2</v>
      </c>
      <c r="CX94" s="342">
        <v>2.5582198593567178E-2</v>
      </c>
      <c r="CY94" s="342">
        <v>2.5582198593567178E-2</v>
      </c>
      <c r="CZ94" s="342">
        <v>2.5582198593567178E-2</v>
      </c>
      <c r="DA94" s="342">
        <v>2.5582198593567178E-2</v>
      </c>
      <c r="DB94" s="342">
        <v>2.5582198593567178E-2</v>
      </c>
      <c r="DC94" s="342">
        <v>2.5582198593567178E-2</v>
      </c>
      <c r="DD94" s="342">
        <v>2.5582198593567178E-2</v>
      </c>
      <c r="DE94" s="340">
        <v>2.5582198593567178E-2</v>
      </c>
      <c r="DF94" s="390">
        <f t="shared" si="6"/>
        <v>7.6746595780701532E-2</v>
      </c>
      <c r="DG94" s="273">
        <v>0</v>
      </c>
      <c r="DH94" s="415">
        <v>0</v>
      </c>
      <c r="DI94" s="278">
        <v>0</v>
      </c>
      <c r="DJ94" s="278">
        <v>0</v>
      </c>
      <c r="DK94" s="278">
        <v>0</v>
      </c>
      <c r="DL94" s="278">
        <v>0</v>
      </c>
      <c r="DM94" s="278">
        <v>0</v>
      </c>
      <c r="DN94" s="278">
        <v>0</v>
      </c>
      <c r="DO94" s="278">
        <v>0</v>
      </c>
      <c r="DP94" s="278">
        <v>0</v>
      </c>
      <c r="DQ94" s="278">
        <v>0</v>
      </c>
      <c r="DR94" s="282">
        <v>0</v>
      </c>
      <c r="DS94" s="226"/>
      <c r="DT94" s="315">
        <v>4.5019753681012777E-2</v>
      </c>
      <c r="DU94" s="274">
        <v>0</v>
      </c>
      <c r="DV94" s="274">
        <v>0</v>
      </c>
      <c r="DW94" s="278">
        <v>0</v>
      </c>
      <c r="DX94" s="276">
        <v>0</v>
      </c>
      <c r="DY94" s="276">
        <v>0</v>
      </c>
      <c r="DZ94" s="276">
        <v>0</v>
      </c>
      <c r="EA94" s="276">
        <v>0</v>
      </c>
      <c r="EB94" s="276">
        <v>0</v>
      </c>
      <c r="EC94" s="276">
        <v>0</v>
      </c>
      <c r="ED94" s="276">
        <v>0</v>
      </c>
      <c r="EE94" s="313">
        <v>0</v>
      </c>
      <c r="EF94" s="212"/>
      <c r="EG94" s="315">
        <v>0.12257422809377116</v>
      </c>
      <c r="EH94" s="274">
        <v>-2.4480572816810698E-2</v>
      </c>
      <c r="EI94" s="274">
        <v>-3.6720859225216049E-2</v>
      </c>
      <c r="EJ94" s="278">
        <v>-2.5582198593567178E-2</v>
      </c>
      <c r="EK94" s="276">
        <v>-2.5582198593567178E-2</v>
      </c>
      <c r="EL94" s="276">
        <v>-2.5582198593567178E-2</v>
      </c>
      <c r="EM94" s="276">
        <v>-2.5582198593567178E-2</v>
      </c>
      <c r="EN94" s="276">
        <v>-2.5582198593567178E-2</v>
      </c>
      <c r="EO94" s="276">
        <v>-2.5582198593567178E-2</v>
      </c>
      <c r="EP94" s="276">
        <v>-2.5582198593567178E-2</v>
      </c>
      <c r="EQ94" s="276">
        <v>-2.5582198593567178E-2</v>
      </c>
      <c r="ER94" s="313">
        <v>-2.5582198593567178E-2</v>
      </c>
      <c r="ES94" s="283"/>
      <c r="ET94" s="315">
        <v>0.204314841</v>
      </c>
      <c r="EU94" s="274">
        <v>0</v>
      </c>
      <c r="EV94" s="274">
        <v>0</v>
      </c>
      <c r="EW94" s="278">
        <v>0</v>
      </c>
      <c r="EX94" s="276">
        <v>0</v>
      </c>
      <c r="EY94" s="276">
        <v>0</v>
      </c>
      <c r="EZ94" s="276">
        <v>0</v>
      </c>
      <c r="FA94" s="276">
        <v>0</v>
      </c>
      <c r="FB94" s="276">
        <v>0</v>
      </c>
      <c r="FC94" s="276">
        <v>0</v>
      </c>
      <c r="FD94" s="276">
        <v>0</v>
      </c>
      <c r="FE94" s="313">
        <v>0</v>
      </c>
      <c r="FF94" s="212"/>
      <c r="FG94" s="315">
        <v>0</v>
      </c>
      <c r="FH94" s="274">
        <v>0</v>
      </c>
      <c r="FI94" s="274">
        <v>0</v>
      </c>
      <c r="FJ94" s="278">
        <v>0</v>
      </c>
      <c r="FK94" s="276">
        <v>0</v>
      </c>
      <c r="FL94" s="276">
        <v>0</v>
      </c>
      <c r="FM94" s="276">
        <v>0</v>
      </c>
      <c r="FN94" s="276">
        <v>0</v>
      </c>
      <c r="FO94" s="276">
        <v>0</v>
      </c>
      <c r="FP94" s="276">
        <v>0</v>
      </c>
      <c r="FQ94" s="276">
        <v>0</v>
      </c>
      <c r="FR94" s="313">
        <v>0</v>
      </c>
      <c r="FS94" s="283"/>
      <c r="FT94" s="286">
        <v>13.013999999999999</v>
      </c>
      <c r="FU94" s="260">
        <v>26.81</v>
      </c>
      <c r="FV94" s="260">
        <v>0</v>
      </c>
      <c r="FW94" s="260">
        <v>-13.795999999999999</v>
      </c>
      <c r="FX94" s="287">
        <v>-0.51458411040656471</v>
      </c>
      <c r="FY94" s="416">
        <v>0.204314841</v>
      </c>
      <c r="FZ94" s="412">
        <v>0.32816207860934743</v>
      </c>
      <c r="GA94" s="412">
        <v>0</v>
      </c>
      <c r="GB94" s="458">
        <v>-0.12384723760934743</v>
      </c>
      <c r="GC94" s="458">
        <v>-0.16886699129036017</v>
      </c>
      <c r="GD94" s="458">
        <v>4.5019753681012777E-2</v>
      </c>
      <c r="GE94" s="458">
        <v>0</v>
      </c>
      <c r="GF94" s="459">
        <v>0.204314841</v>
      </c>
      <c r="GG94" s="214">
        <v>0</v>
      </c>
      <c r="GH94" s="286">
        <v>0</v>
      </c>
      <c r="GI94" s="260">
        <v>2.09</v>
      </c>
      <c r="GJ94" s="260">
        <v>0</v>
      </c>
      <c r="GK94" s="260">
        <v>-2.09</v>
      </c>
      <c r="GL94" s="291">
        <v>-1</v>
      </c>
      <c r="GM94" s="275">
        <v>0</v>
      </c>
      <c r="GN94" s="275">
        <v>2.5582198593567178E-2</v>
      </c>
      <c r="GO94" s="275">
        <v>0</v>
      </c>
      <c r="GP94" s="275">
        <v>-2.5582198593567178E-2</v>
      </c>
      <c r="GQ94" s="275">
        <v>-2.5582198593567178E-2</v>
      </c>
      <c r="GR94" s="277">
        <v>0</v>
      </c>
      <c r="GS94" s="275">
        <v>0</v>
      </c>
      <c r="GT94" s="284">
        <v>0</v>
      </c>
      <c r="GU94" s="292">
        <v>0</v>
      </c>
      <c r="GW94" s="293"/>
      <c r="GX94" s="294"/>
      <c r="GY94" s="293"/>
      <c r="GZ94" s="293"/>
      <c r="HA94" s="293"/>
      <c r="HB94" s="293"/>
      <c r="HC94" s="295"/>
    </row>
    <row r="95" spans="1:211" ht="12.75" customHeight="1">
      <c r="B95" s="299" t="s">
        <v>305</v>
      </c>
      <c r="C95" s="297" t="s">
        <v>135</v>
      </c>
      <c r="D95" s="299" t="s">
        <v>272</v>
      </c>
      <c r="E95" s="299" t="s">
        <v>305</v>
      </c>
      <c r="F95" s="382" t="s">
        <v>274</v>
      </c>
      <c r="G95" s="301">
        <v>0</v>
      </c>
      <c r="H95" s="301">
        <v>0</v>
      </c>
      <c r="I95" s="258">
        <v>0</v>
      </c>
      <c r="J95" s="302">
        <v>0</v>
      </c>
      <c r="K95" s="302">
        <v>0</v>
      </c>
      <c r="L95" s="261">
        <v>0</v>
      </c>
      <c r="M95" s="261">
        <v>0</v>
      </c>
      <c r="N95" s="449">
        <v>0</v>
      </c>
      <c r="O95" s="449">
        <v>0</v>
      </c>
      <c r="P95" s="449">
        <v>0</v>
      </c>
      <c r="Q95" s="261">
        <v>0</v>
      </c>
      <c r="R95" s="303">
        <v>0</v>
      </c>
      <c r="S95" s="261">
        <f t="shared" si="5"/>
        <v>0</v>
      </c>
      <c r="T95" s="270">
        <v>0</v>
      </c>
      <c r="U95" s="267">
        <v>0</v>
      </c>
      <c r="V95" s="259">
        <v>0</v>
      </c>
      <c r="W95" s="259">
        <v>0</v>
      </c>
      <c r="X95" s="259">
        <v>0</v>
      </c>
      <c r="Y95" s="259">
        <v>0</v>
      </c>
      <c r="Z95" s="259">
        <v>0</v>
      </c>
      <c r="AA95" s="259">
        <v>0</v>
      </c>
      <c r="AB95" s="259">
        <v>39.76</v>
      </c>
      <c r="AC95" s="259">
        <v>39.76</v>
      </c>
      <c r="AD95" s="259">
        <v>39.76</v>
      </c>
      <c r="AE95" s="268">
        <v>39.76</v>
      </c>
      <c r="AG95" s="270">
        <v>0</v>
      </c>
      <c r="AH95" s="455">
        <v>125</v>
      </c>
      <c r="AI95" s="259">
        <v>127</v>
      </c>
      <c r="AJ95" s="259">
        <v>127</v>
      </c>
      <c r="AK95" s="259">
        <v>92</v>
      </c>
      <c r="AL95" s="259">
        <v>16.350000000000001</v>
      </c>
      <c r="AM95" s="259">
        <v>16</v>
      </c>
      <c r="AN95" s="259">
        <v>0</v>
      </c>
      <c r="AO95" s="259">
        <v>98</v>
      </c>
      <c r="AP95" s="259">
        <v>65</v>
      </c>
      <c r="AQ95" s="259">
        <v>0</v>
      </c>
      <c r="AR95" s="304">
        <v>0</v>
      </c>
      <c r="AS95" s="456">
        <v>0</v>
      </c>
      <c r="AT95" s="351">
        <v>0</v>
      </c>
      <c r="AU95" s="259">
        <v>0</v>
      </c>
      <c r="AV95" s="259">
        <v>0</v>
      </c>
      <c r="AW95" s="259">
        <v>0</v>
      </c>
      <c r="AX95" s="259">
        <v>0</v>
      </c>
      <c r="AY95" s="259">
        <v>0</v>
      </c>
      <c r="AZ95" s="259">
        <v>0</v>
      </c>
      <c r="BA95" s="259">
        <v>0</v>
      </c>
      <c r="BB95" s="259">
        <v>0</v>
      </c>
      <c r="BC95" s="259">
        <v>0</v>
      </c>
      <c r="BD95" s="259">
        <v>0</v>
      </c>
      <c r="BE95" s="268">
        <v>0</v>
      </c>
      <c r="BG95" s="351">
        <v>0</v>
      </c>
      <c r="BH95" s="259">
        <v>0</v>
      </c>
      <c r="BI95" s="259">
        <v>0</v>
      </c>
      <c r="BJ95" s="259">
        <v>0</v>
      </c>
      <c r="BK95" s="259">
        <v>0</v>
      </c>
      <c r="BL95" s="259">
        <v>0</v>
      </c>
      <c r="BM95" s="259">
        <v>0</v>
      </c>
      <c r="BN95" s="259">
        <v>0</v>
      </c>
      <c r="BO95" s="259">
        <v>104639.24858172023</v>
      </c>
      <c r="BP95" s="259">
        <v>104639.24858172023</v>
      </c>
      <c r="BQ95" s="259">
        <v>104639.24858172023</v>
      </c>
      <c r="BR95" s="268">
        <v>104639.24858172023</v>
      </c>
      <c r="BT95" s="389">
        <v>0</v>
      </c>
      <c r="BU95" s="307">
        <v>109883.88098692575</v>
      </c>
      <c r="BV95" s="307">
        <v>109883.88098692575</v>
      </c>
      <c r="BW95" s="307">
        <v>109883.88098692575</v>
      </c>
      <c r="BX95" s="307">
        <v>92500</v>
      </c>
      <c r="BY95" s="307">
        <v>92500.000000000015</v>
      </c>
      <c r="BZ95" s="307">
        <v>92500</v>
      </c>
      <c r="CA95" s="307">
        <v>0</v>
      </c>
      <c r="CB95" s="307">
        <v>92500</v>
      </c>
      <c r="CC95" s="307">
        <v>92500</v>
      </c>
      <c r="CD95" s="307">
        <v>0</v>
      </c>
      <c r="CE95" s="308">
        <v>0</v>
      </c>
      <c r="CF95" s="212"/>
      <c r="CG95" s="315">
        <v>0</v>
      </c>
      <c r="CH95" s="274">
        <v>0</v>
      </c>
      <c r="CI95" s="274">
        <v>0</v>
      </c>
      <c r="CJ95" s="329">
        <v>0</v>
      </c>
      <c r="CK95" s="329">
        <v>0</v>
      </c>
      <c r="CL95" s="338">
        <v>0</v>
      </c>
      <c r="CM95" s="338">
        <v>0</v>
      </c>
      <c r="CN95" s="338">
        <v>0</v>
      </c>
      <c r="CO95" s="338">
        <v>0</v>
      </c>
      <c r="CP95" s="338">
        <v>0</v>
      </c>
      <c r="CQ95" s="338">
        <v>0</v>
      </c>
      <c r="CR95" s="339">
        <v>0</v>
      </c>
      <c r="CS95" s="212"/>
      <c r="CT95" s="457">
        <v>0</v>
      </c>
      <c r="CU95" s="342">
        <v>0</v>
      </c>
      <c r="CV95" s="342">
        <v>0</v>
      </c>
      <c r="CW95" s="342">
        <v>0</v>
      </c>
      <c r="CX95" s="342">
        <v>0</v>
      </c>
      <c r="CY95" s="342">
        <v>0</v>
      </c>
      <c r="CZ95" s="342">
        <v>0</v>
      </c>
      <c r="DA95" s="342">
        <v>0</v>
      </c>
      <c r="DB95" s="342">
        <v>0.41604565236091956</v>
      </c>
      <c r="DC95" s="342">
        <v>0.41604565236091956</v>
      </c>
      <c r="DD95" s="342">
        <v>0.41604565236091956</v>
      </c>
      <c r="DE95" s="340">
        <v>0.41604565236091956</v>
      </c>
      <c r="DF95" s="390">
        <f t="shared" si="6"/>
        <v>1.2481369570827587</v>
      </c>
      <c r="DG95" s="273">
        <v>0</v>
      </c>
      <c r="DH95" s="415">
        <v>1.3735485123365718</v>
      </c>
      <c r="DI95" s="278">
        <v>1.3955252885339571</v>
      </c>
      <c r="DJ95" s="278">
        <v>1.3955252885339571</v>
      </c>
      <c r="DK95" s="278">
        <v>0.85099999999999998</v>
      </c>
      <c r="DL95" s="278">
        <v>0.15123750000000002</v>
      </c>
      <c r="DM95" s="278">
        <v>0.14799999999999999</v>
      </c>
      <c r="DN95" s="278">
        <v>0</v>
      </c>
      <c r="DO95" s="278">
        <v>0.90649999999999997</v>
      </c>
      <c r="DP95" s="278">
        <v>0.60124999999999995</v>
      </c>
      <c r="DQ95" s="278">
        <v>0</v>
      </c>
      <c r="DR95" s="282">
        <v>0</v>
      </c>
      <c r="DS95" s="226"/>
      <c r="DT95" s="315">
        <v>0</v>
      </c>
      <c r="DU95" s="274">
        <v>0</v>
      </c>
      <c r="DV95" s="274">
        <v>0</v>
      </c>
      <c r="DW95" s="278">
        <v>0</v>
      </c>
      <c r="DX95" s="276">
        <v>0</v>
      </c>
      <c r="DY95" s="276">
        <v>0</v>
      </c>
      <c r="DZ95" s="276">
        <v>0</v>
      </c>
      <c r="EA95" s="276">
        <v>0</v>
      </c>
      <c r="EB95" s="276">
        <v>0</v>
      </c>
      <c r="EC95" s="276">
        <v>0</v>
      </c>
      <c r="ED95" s="276">
        <v>0</v>
      </c>
      <c r="EE95" s="313">
        <v>0</v>
      </c>
      <c r="EF95" s="212"/>
      <c r="EG95" s="315">
        <v>0</v>
      </c>
      <c r="EH95" s="274">
        <v>0</v>
      </c>
      <c r="EI95" s="274">
        <v>0</v>
      </c>
      <c r="EJ95" s="278">
        <v>0</v>
      </c>
      <c r="EK95" s="276">
        <v>0</v>
      </c>
      <c r="EL95" s="276">
        <v>0</v>
      </c>
      <c r="EM95" s="276">
        <v>0</v>
      </c>
      <c r="EN95" s="276">
        <v>0</v>
      </c>
      <c r="EO95" s="276">
        <v>-0.41604565236091956</v>
      </c>
      <c r="EP95" s="276">
        <v>-0.41604565236091956</v>
      </c>
      <c r="EQ95" s="276">
        <v>-0.41604565236091956</v>
      </c>
      <c r="ER95" s="313">
        <v>-0.41604565236091956</v>
      </c>
      <c r="ES95" s="283"/>
      <c r="ET95" s="315">
        <v>0</v>
      </c>
      <c r="EU95" s="274">
        <v>0</v>
      </c>
      <c r="EV95" s="274">
        <v>0</v>
      </c>
      <c r="EW95" s="278">
        <v>0</v>
      </c>
      <c r="EX95" s="276">
        <v>0</v>
      </c>
      <c r="EY95" s="276">
        <v>0</v>
      </c>
      <c r="EZ95" s="276">
        <v>0</v>
      </c>
      <c r="FA95" s="276">
        <v>0</v>
      </c>
      <c r="FB95" s="276">
        <v>0</v>
      </c>
      <c r="FC95" s="276">
        <v>0</v>
      </c>
      <c r="FD95" s="276">
        <v>0</v>
      </c>
      <c r="FE95" s="313">
        <v>0</v>
      </c>
      <c r="FF95" s="212"/>
      <c r="FG95" s="315">
        <v>0</v>
      </c>
      <c r="FH95" s="274">
        <v>-1.3735485123365718</v>
      </c>
      <c r="FI95" s="274">
        <v>-1.3955252885339571</v>
      </c>
      <c r="FJ95" s="278">
        <v>-1.3955252885339571</v>
      </c>
      <c r="FK95" s="276">
        <v>-0.85099999999999998</v>
      </c>
      <c r="FL95" s="276">
        <v>-0.15123750000000005</v>
      </c>
      <c r="FM95" s="276">
        <v>-0.14799999999999999</v>
      </c>
      <c r="FN95" s="276">
        <v>0</v>
      </c>
      <c r="FO95" s="276">
        <v>-0.90649999999999997</v>
      </c>
      <c r="FP95" s="276">
        <v>-0.60124999999999995</v>
      </c>
      <c r="FQ95" s="276">
        <v>0</v>
      </c>
      <c r="FR95" s="313">
        <v>0</v>
      </c>
      <c r="FS95" s="283"/>
      <c r="FT95" s="286">
        <v>0</v>
      </c>
      <c r="FU95" s="260">
        <v>159.04</v>
      </c>
      <c r="FV95" s="260">
        <v>666.35</v>
      </c>
      <c r="FW95" s="260">
        <v>-159.04</v>
      </c>
      <c r="FX95" s="287">
        <v>-1</v>
      </c>
      <c r="FY95" s="416">
        <v>0</v>
      </c>
      <c r="FZ95" s="412">
        <v>1.6641826094436782</v>
      </c>
      <c r="GA95" s="412">
        <v>6.8225865894044855</v>
      </c>
      <c r="GB95" s="458">
        <v>-1.6641826094436782</v>
      </c>
      <c r="GC95" s="458">
        <v>-1.6641826094436782</v>
      </c>
      <c r="GD95" s="458">
        <v>0</v>
      </c>
      <c r="GE95" s="458">
        <v>-6.8225865894044855</v>
      </c>
      <c r="GF95" s="459">
        <v>0</v>
      </c>
      <c r="GG95" s="214">
        <v>0</v>
      </c>
      <c r="GH95" s="286">
        <v>0</v>
      </c>
      <c r="GI95" s="260">
        <v>39.76</v>
      </c>
      <c r="GJ95" s="260">
        <v>0</v>
      </c>
      <c r="GK95" s="260">
        <v>-39.76</v>
      </c>
      <c r="GL95" s="291">
        <v>-1</v>
      </c>
      <c r="GM95" s="275">
        <v>0</v>
      </c>
      <c r="GN95" s="275">
        <v>0.41604565236091956</v>
      </c>
      <c r="GO95" s="275">
        <v>0</v>
      </c>
      <c r="GP95" s="275">
        <v>-0.41604565236091956</v>
      </c>
      <c r="GQ95" s="275">
        <v>-0.41604565236091956</v>
      </c>
      <c r="GR95" s="277">
        <v>0</v>
      </c>
      <c r="GS95" s="275">
        <v>0</v>
      </c>
      <c r="GT95" s="284">
        <v>0</v>
      </c>
      <c r="GU95" s="292">
        <v>0</v>
      </c>
      <c r="GW95" s="293"/>
      <c r="GX95" s="294"/>
      <c r="GY95" s="293"/>
      <c r="GZ95" s="293"/>
      <c r="HA95" s="293"/>
      <c r="HB95" s="293"/>
      <c r="HC95" s="295"/>
    </row>
    <row r="96" spans="1:211" ht="13.5" customHeight="1">
      <c r="B96" s="299" t="s">
        <v>306</v>
      </c>
      <c r="C96" s="297" t="s">
        <v>135</v>
      </c>
      <c r="D96" s="299" t="s">
        <v>272</v>
      </c>
      <c r="E96" s="299" t="s">
        <v>306</v>
      </c>
      <c r="F96" s="382" t="s">
        <v>274</v>
      </c>
      <c r="G96" s="301">
        <v>0</v>
      </c>
      <c r="H96" s="301">
        <v>0</v>
      </c>
      <c r="I96" s="258">
        <v>0</v>
      </c>
      <c r="J96" s="302">
        <v>0</v>
      </c>
      <c r="K96" s="302">
        <v>0</v>
      </c>
      <c r="L96" s="261">
        <v>0</v>
      </c>
      <c r="M96" s="261">
        <v>0</v>
      </c>
      <c r="N96" s="449">
        <v>0</v>
      </c>
      <c r="O96" s="449">
        <v>0</v>
      </c>
      <c r="P96" s="449">
        <v>0</v>
      </c>
      <c r="Q96" s="261">
        <v>0</v>
      </c>
      <c r="R96" s="303">
        <v>0</v>
      </c>
      <c r="S96" s="261">
        <f t="shared" si="5"/>
        <v>0</v>
      </c>
      <c r="T96" s="270">
        <v>0</v>
      </c>
      <c r="U96" s="267">
        <v>0</v>
      </c>
      <c r="V96" s="259">
        <v>0</v>
      </c>
      <c r="W96" s="259">
        <v>0</v>
      </c>
      <c r="X96" s="259">
        <v>0</v>
      </c>
      <c r="Y96" s="259">
        <v>0.97371428571428564</v>
      </c>
      <c r="Z96" s="259">
        <v>0.97371428571428564</v>
      </c>
      <c r="AA96" s="259">
        <v>0.97371428571428564</v>
      </c>
      <c r="AB96" s="259">
        <v>0.97371428571428564</v>
      </c>
      <c r="AC96" s="259">
        <v>0</v>
      </c>
      <c r="AD96" s="259">
        <v>0</v>
      </c>
      <c r="AE96" s="268">
        <v>0.97371428571428564</v>
      </c>
      <c r="AG96" s="270">
        <v>0</v>
      </c>
      <c r="AH96" s="455">
        <v>0</v>
      </c>
      <c r="AI96" s="259">
        <v>0</v>
      </c>
      <c r="AJ96" s="259">
        <v>0</v>
      </c>
      <c r="AK96" s="259">
        <v>0</v>
      </c>
      <c r="AL96" s="259">
        <v>0</v>
      </c>
      <c r="AM96" s="259">
        <v>0</v>
      </c>
      <c r="AN96" s="259">
        <v>0</v>
      </c>
      <c r="AO96" s="259">
        <v>0</v>
      </c>
      <c r="AP96" s="259">
        <v>0</v>
      </c>
      <c r="AQ96" s="259">
        <v>0</v>
      </c>
      <c r="AR96" s="304">
        <v>0</v>
      </c>
      <c r="AS96" s="456">
        <v>0</v>
      </c>
      <c r="AT96" s="351">
        <v>0</v>
      </c>
      <c r="AU96" s="259">
        <v>0</v>
      </c>
      <c r="AV96" s="259">
        <v>0</v>
      </c>
      <c r="AW96" s="259">
        <v>0</v>
      </c>
      <c r="AX96" s="259">
        <v>0</v>
      </c>
      <c r="AY96" s="259">
        <v>0</v>
      </c>
      <c r="AZ96" s="259">
        <v>0</v>
      </c>
      <c r="BA96" s="259">
        <v>0</v>
      </c>
      <c r="BB96" s="259">
        <v>0</v>
      </c>
      <c r="BC96" s="259">
        <v>0</v>
      </c>
      <c r="BD96" s="259">
        <v>0</v>
      </c>
      <c r="BE96" s="268">
        <v>0</v>
      </c>
      <c r="BG96" s="351">
        <v>0</v>
      </c>
      <c r="BH96" s="259">
        <v>0</v>
      </c>
      <c r="BI96" s="259">
        <v>0</v>
      </c>
      <c r="BJ96" s="259">
        <v>0</v>
      </c>
      <c r="BK96" s="259">
        <v>0</v>
      </c>
      <c r="BL96" s="259">
        <v>107706.50541126663</v>
      </c>
      <c r="BM96" s="259">
        <v>107706.50541126663</v>
      </c>
      <c r="BN96" s="259">
        <v>107706.50541126663</v>
      </c>
      <c r="BO96" s="259">
        <v>107706.50541126663</v>
      </c>
      <c r="BP96" s="259">
        <v>0</v>
      </c>
      <c r="BQ96" s="259">
        <v>0</v>
      </c>
      <c r="BR96" s="268">
        <v>107706.50541126663</v>
      </c>
      <c r="BT96" s="389">
        <v>0</v>
      </c>
      <c r="BU96" s="307">
        <v>0</v>
      </c>
      <c r="BV96" s="307">
        <v>0</v>
      </c>
      <c r="BW96" s="307">
        <v>0</v>
      </c>
      <c r="BX96" s="307">
        <v>0</v>
      </c>
      <c r="BY96" s="307">
        <v>0</v>
      </c>
      <c r="BZ96" s="307">
        <v>0</v>
      </c>
      <c r="CA96" s="307">
        <v>0</v>
      </c>
      <c r="CB96" s="307">
        <v>0</v>
      </c>
      <c r="CC96" s="307">
        <v>0</v>
      </c>
      <c r="CD96" s="307">
        <v>0</v>
      </c>
      <c r="CE96" s="308">
        <v>0</v>
      </c>
      <c r="CF96" s="212"/>
      <c r="CG96" s="315">
        <v>0</v>
      </c>
      <c r="CH96" s="274">
        <v>0</v>
      </c>
      <c r="CI96" s="274">
        <v>0</v>
      </c>
      <c r="CJ96" s="329">
        <v>0</v>
      </c>
      <c r="CK96" s="329">
        <v>0</v>
      </c>
      <c r="CL96" s="338">
        <v>0</v>
      </c>
      <c r="CM96" s="338">
        <v>0</v>
      </c>
      <c r="CN96" s="338">
        <v>0</v>
      </c>
      <c r="CO96" s="338">
        <v>0</v>
      </c>
      <c r="CP96" s="338">
        <v>0</v>
      </c>
      <c r="CQ96" s="338">
        <v>0</v>
      </c>
      <c r="CR96" s="339">
        <v>0</v>
      </c>
      <c r="CS96" s="212"/>
      <c r="CT96" s="457">
        <v>0</v>
      </c>
      <c r="CU96" s="342">
        <v>0</v>
      </c>
      <c r="CV96" s="342">
        <v>0</v>
      </c>
      <c r="CW96" s="342">
        <v>0</v>
      </c>
      <c r="CX96" s="342">
        <v>0</v>
      </c>
      <c r="CY96" s="342">
        <v>1.0487536298331332E-2</v>
      </c>
      <c r="CZ96" s="342">
        <v>1.0487536298331332E-2</v>
      </c>
      <c r="DA96" s="342">
        <v>1.0487536298331332E-2</v>
      </c>
      <c r="DB96" s="342">
        <v>1.0487536298331332E-2</v>
      </c>
      <c r="DC96" s="342">
        <v>0</v>
      </c>
      <c r="DD96" s="342">
        <v>0</v>
      </c>
      <c r="DE96" s="340">
        <v>1.0487536298331332E-2</v>
      </c>
      <c r="DF96" s="390">
        <f t="shared" si="6"/>
        <v>1.0487536298331332E-2</v>
      </c>
      <c r="DG96" s="273">
        <v>0</v>
      </c>
      <c r="DH96" s="415">
        <v>0</v>
      </c>
      <c r="DI96" s="278">
        <v>0</v>
      </c>
      <c r="DJ96" s="278">
        <v>0</v>
      </c>
      <c r="DK96" s="278">
        <v>0</v>
      </c>
      <c r="DL96" s="278">
        <v>0</v>
      </c>
      <c r="DM96" s="278">
        <v>0</v>
      </c>
      <c r="DN96" s="278">
        <v>0</v>
      </c>
      <c r="DO96" s="278">
        <v>0</v>
      </c>
      <c r="DP96" s="278">
        <v>0</v>
      </c>
      <c r="DQ96" s="278">
        <v>0</v>
      </c>
      <c r="DR96" s="282">
        <v>0</v>
      </c>
      <c r="DS96" s="226"/>
      <c r="DT96" s="315">
        <v>0</v>
      </c>
      <c r="DU96" s="274">
        <v>0</v>
      </c>
      <c r="DV96" s="274">
        <v>0</v>
      </c>
      <c r="DW96" s="278">
        <v>0</v>
      </c>
      <c r="DX96" s="276">
        <v>0</v>
      </c>
      <c r="DY96" s="276">
        <v>0</v>
      </c>
      <c r="DZ96" s="276">
        <v>0</v>
      </c>
      <c r="EA96" s="276">
        <v>0</v>
      </c>
      <c r="EB96" s="276">
        <v>0</v>
      </c>
      <c r="EC96" s="276">
        <v>0</v>
      </c>
      <c r="ED96" s="276">
        <v>0</v>
      </c>
      <c r="EE96" s="313">
        <v>0</v>
      </c>
      <c r="EF96" s="212"/>
      <c r="EG96" s="315">
        <v>0</v>
      </c>
      <c r="EH96" s="274">
        <v>0</v>
      </c>
      <c r="EI96" s="274">
        <v>0</v>
      </c>
      <c r="EJ96" s="278">
        <v>0</v>
      </c>
      <c r="EK96" s="276">
        <v>0</v>
      </c>
      <c r="EL96" s="276">
        <v>-1.0487536298331332E-2</v>
      </c>
      <c r="EM96" s="276">
        <v>-1.0487536298331332E-2</v>
      </c>
      <c r="EN96" s="276">
        <v>-1.0487536298331332E-2</v>
      </c>
      <c r="EO96" s="276">
        <v>-1.0487536298331332E-2</v>
      </c>
      <c r="EP96" s="276">
        <v>0</v>
      </c>
      <c r="EQ96" s="276">
        <v>0</v>
      </c>
      <c r="ER96" s="313">
        <v>-1.0487536298331332E-2</v>
      </c>
      <c r="ES96" s="283"/>
      <c r="ET96" s="315">
        <v>0</v>
      </c>
      <c r="EU96" s="274">
        <v>0</v>
      </c>
      <c r="EV96" s="274">
        <v>0</v>
      </c>
      <c r="EW96" s="278">
        <v>0</v>
      </c>
      <c r="EX96" s="276">
        <v>0</v>
      </c>
      <c r="EY96" s="276">
        <v>0</v>
      </c>
      <c r="EZ96" s="276">
        <v>0</v>
      </c>
      <c r="FA96" s="276">
        <v>0</v>
      </c>
      <c r="FB96" s="276">
        <v>0</v>
      </c>
      <c r="FC96" s="276">
        <v>0</v>
      </c>
      <c r="FD96" s="276">
        <v>0</v>
      </c>
      <c r="FE96" s="313">
        <v>0</v>
      </c>
      <c r="FF96" s="212"/>
      <c r="FG96" s="315">
        <v>0</v>
      </c>
      <c r="FH96" s="274">
        <v>0</v>
      </c>
      <c r="FI96" s="274">
        <v>0</v>
      </c>
      <c r="FJ96" s="278">
        <v>0</v>
      </c>
      <c r="FK96" s="276">
        <v>0</v>
      </c>
      <c r="FL96" s="276">
        <v>0</v>
      </c>
      <c r="FM96" s="276">
        <v>0</v>
      </c>
      <c r="FN96" s="276">
        <v>0</v>
      </c>
      <c r="FO96" s="276">
        <v>0</v>
      </c>
      <c r="FP96" s="276">
        <v>0</v>
      </c>
      <c r="FQ96" s="276">
        <v>0</v>
      </c>
      <c r="FR96" s="313">
        <v>0</v>
      </c>
      <c r="FS96" s="283"/>
      <c r="FT96" s="286">
        <v>0</v>
      </c>
      <c r="FU96" s="260">
        <v>4.8685714285714283</v>
      </c>
      <c r="FV96" s="260">
        <v>0</v>
      </c>
      <c r="FW96" s="260">
        <v>-4.8685714285714283</v>
      </c>
      <c r="FX96" s="287">
        <v>-1</v>
      </c>
      <c r="FY96" s="416">
        <v>0</v>
      </c>
      <c r="FZ96" s="412">
        <v>5.243768149165666E-2</v>
      </c>
      <c r="GA96" s="412">
        <v>0</v>
      </c>
      <c r="GB96" s="458">
        <v>-5.243768149165666E-2</v>
      </c>
      <c r="GC96" s="458">
        <v>-5.243768149165666E-2</v>
      </c>
      <c r="GD96" s="458">
        <v>0</v>
      </c>
      <c r="GE96" s="458">
        <v>0</v>
      </c>
      <c r="GF96" s="459">
        <v>0</v>
      </c>
      <c r="GG96" s="214">
        <v>0</v>
      </c>
      <c r="GH96" s="286">
        <v>0</v>
      </c>
      <c r="GI96" s="260">
        <v>0.97371428571428564</v>
      </c>
      <c r="GJ96" s="260">
        <v>0</v>
      </c>
      <c r="GK96" s="260">
        <v>-0.97371428571428564</v>
      </c>
      <c r="GL96" s="291">
        <v>-1</v>
      </c>
      <c r="GM96" s="275">
        <v>0</v>
      </c>
      <c r="GN96" s="275">
        <v>1.0487536298331332E-2</v>
      </c>
      <c r="GO96" s="275">
        <v>0</v>
      </c>
      <c r="GP96" s="275">
        <v>-1.0487536298331332E-2</v>
      </c>
      <c r="GQ96" s="275">
        <v>-1.0487536298331332E-2</v>
      </c>
      <c r="GR96" s="277">
        <v>0</v>
      </c>
      <c r="GS96" s="275">
        <v>0</v>
      </c>
      <c r="GT96" s="284">
        <v>0</v>
      </c>
      <c r="GU96" s="292">
        <v>0</v>
      </c>
      <c r="GW96" s="293"/>
      <c r="GX96" s="294"/>
      <c r="GY96" s="293"/>
      <c r="GZ96" s="293"/>
      <c r="HA96" s="293"/>
      <c r="HB96" s="293"/>
      <c r="HC96" s="295"/>
    </row>
    <row r="97" spans="1:211" ht="25.5">
      <c r="B97" s="299" t="s">
        <v>307</v>
      </c>
      <c r="C97" s="297" t="s">
        <v>135</v>
      </c>
      <c r="D97" s="299" t="s">
        <v>272</v>
      </c>
      <c r="E97" s="299" t="s">
        <v>307</v>
      </c>
      <c r="F97" s="382" t="s">
        <v>274</v>
      </c>
      <c r="G97" s="301">
        <v>0</v>
      </c>
      <c r="H97" s="301">
        <v>0</v>
      </c>
      <c r="I97" s="258">
        <v>0</v>
      </c>
      <c r="J97" s="302">
        <v>0</v>
      </c>
      <c r="K97" s="302">
        <v>0</v>
      </c>
      <c r="L97" s="261">
        <v>0</v>
      </c>
      <c r="M97" s="261">
        <v>0</v>
      </c>
      <c r="N97" s="449">
        <v>0</v>
      </c>
      <c r="O97" s="449">
        <v>0</v>
      </c>
      <c r="P97" s="449">
        <v>0</v>
      </c>
      <c r="Q97" s="261">
        <v>0</v>
      </c>
      <c r="R97" s="303">
        <v>0</v>
      </c>
      <c r="S97" s="261">
        <f t="shared" si="5"/>
        <v>0</v>
      </c>
      <c r="T97" s="270">
        <v>0</v>
      </c>
      <c r="U97" s="267">
        <v>0</v>
      </c>
      <c r="V97" s="259">
        <v>54.528000000000006</v>
      </c>
      <c r="W97" s="259">
        <v>0</v>
      </c>
      <c r="X97" s="259">
        <v>0</v>
      </c>
      <c r="Y97" s="259">
        <v>54.528000000000006</v>
      </c>
      <c r="Z97" s="259">
        <v>0</v>
      </c>
      <c r="AA97" s="259">
        <v>54.528000000000006</v>
      </c>
      <c r="AB97" s="259">
        <v>0</v>
      </c>
      <c r="AC97" s="259">
        <v>54.528000000000006</v>
      </c>
      <c r="AD97" s="259">
        <v>0</v>
      </c>
      <c r="AE97" s="268">
        <v>54.528000000000006</v>
      </c>
      <c r="AG97" s="270">
        <v>0</v>
      </c>
      <c r="AH97" s="455">
        <v>0</v>
      </c>
      <c r="AI97" s="259">
        <v>0</v>
      </c>
      <c r="AJ97" s="259">
        <v>0</v>
      </c>
      <c r="AK97" s="259">
        <v>0</v>
      </c>
      <c r="AL97" s="259">
        <v>0</v>
      </c>
      <c r="AM97" s="259">
        <v>0</v>
      </c>
      <c r="AN97" s="259">
        <v>0</v>
      </c>
      <c r="AO97" s="259">
        <v>0</v>
      </c>
      <c r="AP97" s="259">
        <v>0</v>
      </c>
      <c r="AQ97" s="259">
        <v>0</v>
      </c>
      <c r="AR97" s="304">
        <v>0</v>
      </c>
      <c r="AS97" s="456">
        <v>0</v>
      </c>
      <c r="AT97" s="351">
        <v>0</v>
      </c>
      <c r="AU97" s="259">
        <v>0</v>
      </c>
      <c r="AV97" s="259">
        <v>0</v>
      </c>
      <c r="AW97" s="259">
        <v>0</v>
      </c>
      <c r="AX97" s="259">
        <v>0</v>
      </c>
      <c r="AY97" s="259">
        <v>0</v>
      </c>
      <c r="AZ97" s="259">
        <v>0</v>
      </c>
      <c r="BA97" s="259">
        <v>0</v>
      </c>
      <c r="BB97" s="259">
        <v>0</v>
      </c>
      <c r="BC97" s="259">
        <v>0</v>
      </c>
      <c r="BD97" s="259">
        <v>0</v>
      </c>
      <c r="BE97" s="268">
        <v>0</v>
      </c>
      <c r="BG97" s="351">
        <v>0</v>
      </c>
      <c r="BH97" s="259">
        <v>0</v>
      </c>
      <c r="BI97" s="259">
        <v>107706.50541126664</v>
      </c>
      <c r="BJ97" s="259">
        <v>0</v>
      </c>
      <c r="BK97" s="259">
        <v>0</v>
      </c>
      <c r="BL97" s="259">
        <v>107706.50541126664</v>
      </c>
      <c r="BM97" s="259">
        <v>0</v>
      </c>
      <c r="BN97" s="259">
        <v>107706.50541126664</v>
      </c>
      <c r="BO97" s="259">
        <v>0</v>
      </c>
      <c r="BP97" s="259">
        <v>107706.50541126664</v>
      </c>
      <c r="BQ97" s="259">
        <v>0</v>
      </c>
      <c r="BR97" s="268">
        <v>107706.50541126664</v>
      </c>
      <c r="BT97" s="389">
        <v>0</v>
      </c>
      <c r="BU97" s="307">
        <v>0</v>
      </c>
      <c r="BV97" s="307">
        <v>0</v>
      </c>
      <c r="BW97" s="307">
        <v>0</v>
      </c>
      <c r="BX97" s="307">
        <v>0</v>
      </c>
      <c r="BY97" s="307">
        <v>0</v>
      </c>
      <c r="BZ97" s="307">
        <v>0</v>
      </c>
      <c r="CA97" s="307">
        <v>0</v>
      </c>
      <c r="CB97" s="307">
        <v>0</v>
      </c>
      <c r="CC97" s="307">
        <v>0</v>
      </c>
      <c r="CD97" s="307">
        <v>0</v>
      </c>
      <c r="CE97" s="308">
        <v>0</v>
      </c>
      <c r="CF97" s="212"/>
      <c r="CG97" s="315">
        <v>0</v>
      </c>
      <c r="CH97" s="274">
        <v>0</v>
      </c>
      <c r="CI97" s="274">
        <v>0</v>
      </c>
      <c r="CJ97" s="329">
        <v>0</v>
      </c>
      <c r="CK97" s="329">
        <v>0</v>
      </c>
      <c r="CL97" s="338">
        <v>0</v>
      </c>
      <c r="CM97" s="338">
        <v>0</v>
      </c>
      <c r="CN97" s="338">
        <v>0</v>
      </c>
      <c r="CO97" s="338">
        <v>0</v>
      </c>
      <c r="CP97" s="338">
        <v>0</v>
      </c>
      <c r="CQ97" s="338">
        <v>0</v>
      </c>
      <c r="CR97" s="339">
        <v>0</v>
      </c>
      <c r="CS97" s="212"/>
      <c r="CT97" s="457">
        <v>0</v>
      </c>
      <c r="CU97" s="342">
        <v>0</v>
      </c>
      <c r="CV97" s="342">
        <v>0.58730203270655479</v>
      </c>
      <c r="CW97" s="342">
        <v>0</v>
      </c>
      <c r="CX97" s="342">
        <v>0</v>
      </c>
      <c r="CY97" s="342">
        <v>0.58730203270655479</v>
      </c>
      <c r="CZ97" s="342">
        <v>0</v>
      </c>
      <c r="DA97" s="342">
        <v>0.58730203270655479</v>
      </c>
      <c r="DB97" s="342">
        <v>0</v>
      </c>
      <c r="DC97" s="342">
        <v>0.58730203270655479</v>
      </c>
      <c r="DD97" s="342">
        <v>0</v>
      </c>
      <c r="DE97" s="340">
        <v>0.58730203270655479</v>
      </c>
      <c r="DF97" s="390">
        <f t="shared" si="6"/>
        <v>1.1746040654131096</v>
      </c>
      <c r="DG97" s="273">
        <v>0</v>
      </c>
      <c r="DH97" s="415">
        <v>0</v>
      </c>
      <c r="DI97" s="278">
        <v>0</v>
      </c>
      <c r="DJ97" s="278">
        <v>0</v>
      </c>
      <c r="DK97" s="278">
        <v>0</v>
      </c>
      <c r="DL97" s="278">
        <v>0</v>
      </c>
      <c r="DM97" s="278">
        <v>0</v>
      </c>
      <c r="DN97" s="278">
        <v>0</v>
      </c>
      <c r="DO97" s="278">
        <v>0</v>
      </c>
      <c r="DP97" s="278">
        <v>0</v>
      </c>
      <c r="DQ97" s="278">
        <v>0</v>
      </c>
      <c r="DR97" s="282">
        <v>0</v>
      </c>
      <c r="DS97" s="226"/>
      <c r="DT97" s="315">
        <v>0</v>
      </c>
      <c r="DU97" s="274">
        <v>0</v>
      </c>
      <c r="DV97" s="274">
        <v>0</v>
      </c>
      <c r="DW97" s="278">
        <v>0</v>
      </c>
      <c r="DX97" s="276">
        <v>0</v>
      </c>
      <c r="DY97" s="276">
        <v>0</v>
      </c>
      <c r="DZ97" s="276">
        <v>0</v>
      </c>
      <c r="EA97" s="276">
        <v>0</v>
      </c>
      <c r="EB97" s="276">
        <v>0</v>
      </c>
      <c r="EC97" s="276">
        <v>0</v>
      </c>
      <c r="ED97" s="276">
        <v>0</v>
      </c>
      <c r="EE97" s="313">
        <v>0</v>
      </c>
      <c r="EF97" s="212"/>
      <c r="EG97" s="315">
        <v>0</v>
      </c>
      <c r="EH97" s="274">
        <v>0</v>
      </c>
      <c r="EI97" s="274">
        <v>-0.58730203270655479</v>
      </c>
      <c r="EJ97" s="278">
        <v>0</v>
      </c>
      <c r="EK97" s="276">
        <v>0</v>
      </c>
      <c r="EL97" s="276">
        <v>-0.58730203270655479</v>
      </c>
      <c r="EM97" s="276">
        <v>0</v>
      </c>
      <c r="EN97" s="276">
        <v>-0.58730203270655479</v>
      </c>
      <c r="EO97" s="276">
        <v>0</v>
      </c>
      <c r="EP97" s="276">
        <v>-0.58730203270655479</v>
      </c>
      <c r="EQ97" s="276">
        <v>0</v>
      </c>
      <c r="ER97" s="313">
        <v>-0.58730203270655479</v>
      </c>
      <c r="ES97" s="283"/>
      <c r="ET97" s="315">
        <v>0</v>
      </c>
      <c r="EU97" s="274">
        <v>0</v>
      </c>
      <c r="EV97" s="274">
        <v>0</v>
      </c>
      <c r="EW97" s="278">
        <v>0</v>
      </c>
      <c r="EX97" s="276">
        <v>0</v>
      </c>
      <c r="EY97" s="276">
        <v>0</v>
      </c>
      <c r="EZ97" s="276">
        <v>0</v>
      </c>
      <c r="FA97" s="276">
        <v>0</v>
      </c>
      <c r="FB97" s="276">
        <v>0</v>
      </c>
      <c r="FC97" s="276">
        <v>0</v>
      </c>
      <c r="FD97" s="276">
        <v>0</v>
      </c>
      <c r="FE97" s="313">
        <v>0</v>
      </c>
      <c r="FF97" s="212"/>
      <c r="FG97" s="315">
        <v>0</v>
      </c>
      <c r="FH97" s="274">
        <v>0</v>
      </c>
      <c r="FI97" s="274">
        <v>0</v>
      </c>
      <c r="FJ97" s="278">
        <v>0</v>
      </c>
      <c r="FK97" s="276">
        <v>0</v>
      </c>
      <c r="FL97" s="276">
        <v>0</v>
      </c>
      <c r="FM97" s="276">
        <v>0</v>
      </c>
      <c r="FN97" s="276">
        <v>0</v>
      </c>
      <c r="FO97" s="276">
        <v>0</v>
      </c>
      <c r="FP97" s="276">
        <v>0</v>
      </c>
      <c r="FQ97" s="276">
        <v>0</v>
      </c>
      <c r="FR97" s="313">
        <v>0</v>
      </c>
      <c r="FS97" s="283"/>
      <c r="FT97" s="286">
        <v>0</v>
      </c>
      <c r="FU97" s="260">
        <v>272.64000000000004</v>
      </c>
      <c r="FV97" s="260">
        <v>0</v>
      </c>
      <c r="FW97" s="260">
        <v>-272.64000000000004</v>
      </c>
      <c r="FX97" s="287">
        <v>-1</v>
      </c>
      <c r="FY97" s="416">
        <v>0</v>
      </c>
      <c r="FZ97" s="412">
        <v>2.9365101635327742</v>
      </c>
      <c r="GA97" s="412">
        <v>0</v>
      </c>
      <c r="GB97" s="458">
        <v>-2.9365101635327742</v>
      </c>
      <c r="GC97" s="458">
        <v>-2.9365101635327742</v>
      </c>
      <c r="GD97" s="458">
        <v>0</v>
      </c>
      <c r="GE97" s="458">
        <v>0</v>
      </c>
      <c r="GF97" s="459">
        <v>0</v>
      </c>
      <c r="GG97" s="214">
        <v>0</v>
      </c>
      <c r="GH97" s="286">
        <v>0</v>
      </c>
      <c r="GI97" s="260">
        <v>54.528000000000006</v>
      </c>
      <c r="GJ97" s="260">
        <v>0</v>
      </c>
      <c r="GK97" s="260">
        <v>-54.528000000000006</v>
      </c>
      <c r="GL97" s="291">
        <v>-1</v>
      </c>
      <c r="GM97" s="275">
        <v>0</v>
      </c>
      <c r="GN97" s="275">
        <v>0.58730203270655479</v>
      </c>
      <c r="GO97" s="275">
        <v>0</v>
      </c>
      <c r="GP97" s="275">
        <v>-0.58730203270655479</v>
      </c>
      <c r="GQ97" s="275">
        <v>-0.58730203270655479</v>
      </c>
      <c r="GR97" s="277">
        <v>0</v>
      </c>
      <c r="GS97" s="275">
        <v>0</v>
      </c>
      <c r="GT97" s="284">
        <v>0</v>
      </c>
      <c r="GU97" s="292">
        <v>0</v>
      </c>
      <c r="GW97" s="293"/>
      <c r="GX97" s="294"/>
      <c r="GY97" s="293"/>
      <c r="GZ97" s="293"/>
      <c r="HA97" s="293"/>
      <c r="HB97" s="293"/>
      <c r="HC97" s="295"/>
    </row>
    <row r="98" spans="1:211" ht="25.5">
      <c r="B98" s="299" t="s">
        <v>308</v>
      </c>
      <c r="C98" s="297" t="s">
        <v>135</v>
      </c>
      <c r="D98" s="299" t="s">
        <v>272</v>
      </c>
      <c r="E98" s="299" t="s">
        <v>308</v>
      </c>
      <c r="F98" s="382" t="s">
        <v>274</v>
      </c>
      <c r="G98" s="301">
        <v>0</v>
      </c>
      <c r="H98" s="301">
        <v>0</v>
      </c>
      <c r="I98" s="258">
        <v>0</v>
      </c>
      <c r="J98" s="302">
        <v>16.358000000000001</v>
      </c>
      <c r="K98" s="302">
        <v>89.97</v>
      </c>
      <c r="L98" s="261">
        <v>0</v>
      </c>
      <c r="M98" s="261">
        <v>16.358000000000001</v>
      </c>
      <c r="N98" s="449">
        <v>0</v>
      </c>
      <c r="O98" s="449">
        <v>32.716000000000001</v>
      </c>
      <c r="P98" s="449">
        <v>65.432000000000002</v>
      </c>
      <c r="Q98" s="261">
        <v>0</v>
      </c>
      <c r="R98" s="303">
        <v>0</v>
      </c>
      <c r="S98" s="261">
        <f t="shared" si="5"/>
        <v>65.432000000000002</v>
      </c>
      <c r="T98" s="270">
        <v>0</v>
      </c>
      <c r="U98" s="267">
        <v>0</v>
      </c>
      <c r="V98" s="259">
        <v>6.613142857142857</v>
      </c>
      <c r="W98" s="259">
        <v>0</v>
      </c>
      <c r="X98" s="259">
        <v>0</v>
      </c>
      <c r="Y98" s="259">
        <v>6.613142857142857</v>
      </c>
      <c r="Z98" s="259">
        <v>0</v>
      </c>
      <c r="AA98" s="259">
        <v>6.613142857142857</v>
      </c>
      <c r="AB98" s="259">
        <v>0</v>
      </c>
      <c r="AC98" s="259">
        <v>6.613142857142857</v>
      </c>
      <c r="AD98" s="259">
        <v>0</v>
      </c>
      <c r="AE98" s="268">
        <v>6.613142857142857</v>
      </c>
      <c r="AG98" s="270">
        <v>0</v>
      </c>
      <c r="AH98" s="455">
        <v>0</v>
      </c>
      <c r="AI98" s="259">
        <v>0</v>
      </c>
      <c r="AJ98" s="259">
        <v>0</v>
      </c>
      <c r="AK98" s="259">
        <v>0</v>
      </c>
      <c r="AL98" s="259">
        <v>0</v>
      </c>
      <c r="AM98" s="259">
        <v>0</v>
      </c>
      <c r="AN98" s="259">
        <v>0</v>
      </c>
      <c r="AO98" s="259">
        <v>0</v>
      </c>
      <c r="AP98" s="259">
        <v>0</v>
      </c>
      <c r="AQ98" s="259">
        <v>0</v>
      </c>
      <c r="AR98" s="304">
        <v>0</v>
      </c>
      <c r="AS98" s="456">
        <v>0</v>
      </c>
      <c r="AT98" s="351">
        <v>0</v>
      </c>
      <c r="AU98" s="259">
        <v>0</v>
      </c>
      <c r="AV98" s="259">
        <v>0</v>
      </c>
      <c r="AW98" s="259">
        <v>92935.390023230226</v>
      </c>
      <c r="AX98" s="259">
        <v>92374.396354340337</v>
      </c>
      <c r="AY98" s="259">
        <v>0</v>
      </c>
      <c r="AZ98" s="259">
        <v>95925.915759872834</v>
      </c>
      <c r="BA98" s="259">
        <v>0</v>
      </c>
      <c r="BB98" s="259">
        <v>102943.97725883361</v>
      </c>
      <c r="BC98" s="259">
        <v>103242.81513632475</v>
      </c>
      <c r="BD98" s="259">
        <v>0</v>
      </c>
      <c r="BE98" s="268">
        <v>0</v>
      </c>
      <c r="BG98" s="351">
        <v>0</v>
      </c>
      <c r="BH98" s="259">
        <v>0</v>
      </c>
      <c r="BI98" s="259">
        <v>107706.50541126664</v>
      </c>
      <c r="BJ98" s="259">
        <v>92935.390023230226</v>
      </c>
      <c r="BK98" s="259">
        <v>92374.396354340337</v>
      </c>
      <c r="BL98" s="259">
        <v>107706.50541126664</v>
      </c>
      <c r="BM98" s="259">
        <v>95925.915759872834</v>
      </c>
      <c r="BN98" s="259">
        <v>107706.50541126664</v>
      </c>
      <c r="BO98" s="259">
        <v>102943.97725883361</v>
      </c>
      <c r="BP98" s="259">
        <v>107706.50541126664</v>
      </c>
      <c r="BQ98" s="259">
        <v>0</v>
      </c>
      <c r="BR98" s="268">
        <v>107706.50541126664</v>
      </c>
      <c r="BT98" s="389">
        <v>0</v>
      </c>
      <c r="BU98" s="307">
        <v>0</v>
      </c>
      <c r="BV98" s="307">
        <v>0</v>
      </c>
      <c r="BW98" s="307">
        <v>0</v>
      </c>
      <c r="BX98" s="307">
        <v>0</v>
      </c>
      <c r="BY98" s="307">
        <v>0</v>
      </c>
      <c r="BZ98" s="307">
        <v>0</v>
      </c>
      <c r="CA98" s="307">
        <v>0</v>
      </c>
      <c r="CB98" s="307">
        <v>0</v>
      </c>
      <c r="CC98" s="307">
        <v>0</v>
      </c>
      <c r="CD98" s="307">
        <v>0</v>
      </c>
      <c r="CE98" s="308">
        <v>0</v>
      </c>
      <c r="CF98" s="212"/>
      <c r="CG98" s="315">
        <v>0</v>
      </c>
      <c r="CH98" s="274">
        <v>0</v>
      </c>
      <c r="CI98" s="274">
        <v>0</v>
      </c>
      <c r="CJ98" s="329">
        <v>0.15202371100000001</v>
      </c>
      <c r="CK98" s="329">
        <v>0.83109244399999993</v>
      </c>
      <c r="CL98" s="338">
        <v>0</v>
      </c>
      <c r="CM98" s="338">
        <v>0.15691561299999998</v>
      </c>
      <c r="CN98" s="338">
        <v>0</v>
      </c>
      <c r="CO98" s="338">
        <v>0.33679151600000001</v>
      </c>
      <c r="CP98" s="338">
        <v>0.6755383880000001</v>
      </c>
      <c r="CQ98" s="338">
        <v>0</v>
      </c>
      <c r="CR98" s="339">
        <v>0</v>
      </c>
      <c r="CS98" s="212"/>
      <c r="CT98" s="457">
        <v>0</v>
      </c>
      <c r="CU98" s="342">
        <v>0</v>
      </c>
      <c r="CV98" s="342">
        <v>7.1227850692833647E-2</v>
      </c>
      <c r="CW98" s="342">
        <v>0</v>
      </c>
      <c r="CX98" s="342">
        <v>0</v>
      </c>
      <c r="CY98" s="342">
        <v>7.1227850692833647E-2</v>
      </c>
      <c r="CZ98" s="342">
        <v>0</v>
      </c>
      <c r="DA98" s="342">
        <v>7.1227850692833647E-2</v>
      </c>
      <c r="DB98" s="342">
        <v>0</v>
      </c>
      <c r="DC98" s="342">
        <v>7.1227850692833647E-2</v>
      </c>
      <c r="DD98" s="342">
        <v>0</v>
      </c>
      <c r="DE98" s="340">
        <v>7.1227850692833647E-2</v>
      </c>
      <c r="DF98" s="390">
        <f t="shared" si="6"/>
        <v>0.14245570138566729</v>
      </c>
      <c r="DG98" s="273">
        <v>0</v>
      </c>
      <c r="DH98" s="415">
        <v>0</v>
      </c>
      <c r="DI98" s="278">
        <v>0</v>
      </c>
      <c r="DJ98" s="278">
        <v>0</v>
      </c>
      <c r="DK98" s="278">
        <v>0</v>
      </c>
      <c r="DL98" s="278">
        <v>0</v>
      </c>
      <c r="DM98" s="278">
        <v>0</v>
      </c>
      <c r="DN98" s="278">
        <v>0</v>
      </c>
      <c r="DO98" s="278">
        <v>0</v>
      </c>
      <c r="DP98" s="278">
        <v>0</v>
      </c>
      <c r="DQ98" s="278">
        <v>0</v>
      </c>
      <c r="DR98" s="282">
        <v>0</v>
      </c>
      <c r="DS98" s="226"/>
      <c r="DT98" s="315">
        <v>0</v>
      </c>
      <c r="DU98" s="274">
        <v>0</v>
      </c>
      <c r="DV98" s="274">
        <v>0</v>
      </c>
      <c r="DW98" s="278">
        <v>0</v>
      </c>
      <c r="DX98" s="276">
        <v>0</v>
      </c>
      <c r="DY98" s="276">
        <v>0</v>
      </c>
      <c r="DZ98" s="276">
        <v>0</v>
      </c>
      <c r="EA98" s="276">
        <v>0</v>
      </c>
      <c r="EB98" s="276">
        <v>0</v>
      </c>
      <c r="EC98" s="276">
        <v>-2.9206818206999805E-2</v>
      </c>
      <c r="ED98" s="276">
        <v>0</v>
      </c>
      <c r="EE98" s="313">
        <v>0</v>
      </c>
      <c r="EF98" s="212"/>
      <c r="EG98" s="315">
        <v>0</v>
      </c>
      <c r="EH98" s="274">
        <v>0</v>
      </c>
      <c r="EI98" s="274">
        <v>-7.1227850692833647E-2</v>
      </c>
      <c r="EJ98" s="278">
        <v>0.15202371100000001</v>
      </c>
      <c r="EK98" s="276">
        <v>0.83109244400000004</v>
      </c>
      <c r="EL98" s="276">
        <v>-7.1227850692833647E-2</v>
      </c>
      <c r="EM98" s="276">
        <v>0.15691561299999998</v>
      </c>
      <c r="EN98" s="276">
        <v>-7.1227850692833647E-2</v>
      </c>
      <c r="EO98" s="276">
        <v>0.33679151600000001</v>
      </c>
      <c r="EP98" s="276">
        <v>0.63351735551416632</v>
      </c>
      <c r="EQ98" s="276">
        <v>0</v>
      </c>
      <c r="ER98" s="313">
        <v>-7.1227850692833647E-2</v>
      </c>
      <c r="ES98" s="283"/>
      <c r="ET98" s="315">
        <v>0</v>
      </c>
      <c r="EU98" s="274">
        <v>0</v>
      </c>
      <c r="EV98" s="274">
        <v>0</v>
      </c>
      <c r="EW98" s="278">
        <v>0.15202371100000001</v>
      </c>
      <c r="EX98" s="276">
        <v>0.83109244400000004</v>
      </c>
      <c r="EY98" s="276">
        <v>0</v>
      </c>
      <c r="EZ98" s="276">
        <v>0.15691561299999998</v>
      </c>
      <c r="FA98" s="276">
        <v>0</v>
      </c>
      <c r="FB98" s="276">
        <v>0.33679151600000001</v>
      </c>
      <c r="FC98" s="276">
        <v>0.6755383880000001</v>
      </c>
      <c r="FD98" s="276">
        <v>0</v>
      </c>
      <c r="FE98" s="313">
        <v>0</v>
      </c>
      <c r="FF98" s="212"/>
      <c r="FG98" s="315">
        <v>0</v>
      </c>
      <c r="FH98" s="274">
        <v>0</v>
      </c>
      <c r="FI98" s="274">
        <v>0</v>
      </c>
      <c r="FJ98" s="278">
        <v>0</v>
      </c>
      <c r="FK98" s="276">
        <v>0</v>
      </c>
      <c r="FL98" s="276">
        <v>0</v>
      </c>
      <c r="FM98" s="276">
        <v>0</v>
      </c>
      <c r="FN98" s="276">
        <v>0</v>
      </c>
      <c r="FO98" s="276">
        <v>0</v>
      </c>
      <c r="FP98" s="276">
        <v>0</v>
      </c>
      <c r="FQ98" s="276">
        <v>0</v>
      </c>
      <c r="FR98" s="313">
        <v>0</v>
      </c>
      <c r="FS98" s="283"/>
      <c r="FT98" s="286">
        <v>220.834</v>
      </c>
      <c r="FU98" s="260">
        <v>33.065714285714286</v>
      </c>
      <c r="FV98" s="260">
        <v>0</v>
      </c>
      <c r="FW98" s="260">
        <v>187.76828571428572</v>
      </c>
      <c r="FX98" s="287">
        <v>5.6786399377862269</v>
      </c>
      <c r="FY98" s="416">
        <v>2.1523616720000001</v>
      </c>
      <c r="FZ98" s="412">
        <v>0.35613925346416825</v>
      </c>
      <c r="GA98" s="412">
        <v>0</v>
      </c>
      <c r="GB98" s="458">
        <v>1.7962224185358318</v>
      </c>
      <c r="GC98" s="458">
        <v>1.825429236742832</v>
      </c>
      <c r="GD98" s="458">
        <v>-2.9206818206999805E-2</v>
      </c>
      <c r="GE98" s="458">
        <v>0</v>
      </c>
      <c r="GF98" s="459">
        <v>2.1523616720000001</v>
      </c>
      <c r="GG98" s="214">
        <v>0</v>
      </c>
      <c r="GH98" s="286">
        <v>0</v>
      </c>
      <c r="GI98" s="260">
        <v>6.613142857142857</v>
      </c>
      <c r="GJ98" s="260">
        <v>0</v>
      </c>
      <c r="GK98" s="260">
        <v>-6.613142857142857</v>
      </c>
      <c r="GL98" s="291">
        <v>-1</v>
      </c>
      <c r="GM98" s="275">
        <v>0</v>
      </c>
      <c r="GN98" s="275">
        <v>7.1227850692833647E-2</v>
      </c>
      <c r="GO98" s="275">
        <v>0</v>
      </c>
      <c r="GP98" s="275">
        <v>-7.1227850692833647E-2</v>
      </c>
      <c r="GQ98" s="275">
        <v>-7.1227850692833647E-2</v>
      </c>
      <c r="GR98" s="277">
        <v>0</v>
      </c>
      <c r="GS98" s="275">
        <v>0</v>
      </c>
      <c r="GT98" s="284">
        <v>0</v>
      </c>
      <c r="GU98" s="292">
        <v>0</v>
      </c>
      <c r="GW98" s="293"/>
      <c r="GX98" s="294"/>
      <c r="GY98" s="293"/>
      <c r="GZ98" s="293"/>
      <c r="HA98" s="293"/>
      <c r="HB98" s="293"/>
      <c r="HC98" s="295"/>
    </row>
    <row r="99" spans="1:211" ht="38.25">
      <c r="B99" s="299" t="s">
        <v>273</v>
      </c>
      <c r="C99" s="297" t="s">
        <v>135</v>
      </c>
      <c r="D99" s="299" t="s">
        <v>272</v>
      </c>
      <c r="E99" s="299" t="s">
        <v>273</v>
      </c>
      <c r="F99" s="382" t="s">
        <v>274</v>
      </c>
      <c r="G99" s="301">
        <v>0</v>
      </c>
      <c r="H99" s="301">
        <v>0</v>
      </c>
      <c r="I99" s="258">
        <v>0</v>
      </c>
      <c r="J99" s="302">
        <v>0</v>
      </c>
      <c r="K99" s="302">
        <v>0</v>
      </c>
      <c r="L99" s="261">
        <v>0</v>
      </c>
      <c r="M99" s="261">
        <v>0</v>
      </c>
      <c r="N99" s="449">
        <v>0</v>
      </c>
      <c r="O99" s="449">
        <v>0</v>
      </c>
      <c r="P99" s="449">
        <v>0</v>
      </c>
      <c r="Q99" s="261">
        <v>0</v>
      </c>
      <c r="R99" s="303">
        <v>0</v>
      </c>
      <c r="S99" s="261">
        <f t="shared" si="5"/>
        <v>0</v>
      </c>
      <c r="T99" s="270">
        <v>0</v>
      </c>
      <c r="U99" s="267">
        <v>0</v>
      </c>
      <c r="V99" s="259">
        <v>6.1344000000000003</v>
      </c>
      <c r="W99" s="259">
        <v>0</v>
      </c>
      <c r="X99" s="259">
        <v>0</v>
      </c>
      <c r="Y99" s="259">
        <v>6.1344000000000003</v>
      </c>
      <c r="Z99" s="259">
        <v>0</v>
      </c>
      <c r="AA99" s="259">
        <v>6.1344000000000003</v>
      </c>
      <c r="AB99" s="259">
        <v>0</v>
      </c>
      <c r="AC99" s="259">
        <v>6.1344000000000003</v>
      </c>
      <c r="AD99" s="259">
        <v>0</v>
      </c>
      <c r="AE99" s="268">
        <v>6.1344000000000003</v>
      </c>
      <c r="AG99" s="270">
        <v>0</v>
      </c>
      <c r="AH99" s="455">
        <v>0</v>
      </c>
      <c r="AI99" s="259">
        <v>0</v>
      </c>
      <c r="AJ99" s="259">
        <v>0</v>
      </c>
      <c r="AK99" s="259">
        <v>0</v>
      </c>
      <c r="AL99" s="259">
        <v>0</v>
      </c>
      <c r="AM99" s="259">
        <v>0</v>
      </c>
      <c r="AN99" s="259">
        <v>0</v>
      </c>
      <c r="AO99" s="259">
        <v>0</v>
      </c>
      <c r="AP99" s="259">
        <v>0</v>
      </c>
      <c r="AQ99" s="259">
        <v>0</v>
      </c>
      <c r="AR99" s="304">
        <v>0</v>
      </c>
      <c r="AS99" s="456">
        <v>0</v>
      </c>
      <c r="AT99" s="351">
        <v>0</v>
      </c>
      <c r="AU99" s="259">
        <v>0</v>
      </c>
      <c r="AV99" s="259">
        <v>0</v>
      </c>
      <c r="AW99" s="259">
        <v>0</v>
      </c>
      <c r="AX99" s="259">
        <v>0</v>
      </c>
      <c r="AY99" s="259">
        <v>0</v>
      </c>
      <c r="AZ99" s="259">
        <v>0</v>
      </c>
      <c r="BA99" s="259">
        <v>0</v>
      </c>
      <c r="BB99" s="259">
        <v>0</v>
      </c>
      <c r="BC99" s="259">
        <v>0</v>
      </c>
      <c r="BD99" s="259">
        <v>0</v>
      </c>
      <c r="BE99" s="268">
        <v>0</v>
      </c>
      <c r="BG99" s="351">
        <v>0</v>
      </c>
      <c r="BH99" s="259">
        <v>0</v>
      </c>
      <c r="BI99" s="259">
        <v>108498.64568008462</v>
      </c>
      <c r="BJ99" s="259">
        <v>0</v>
      </c>
      <c r="BK99" s="259">
        <v>0</v>
      </c>
      <c r="BL99" s="259">
        <v>108498.64568008462</v>
      </c>
      <c r="BM99" s="259">
        <v>0</v>
      </c>
      <c r="BN99" s="259">
        <v>108498.64568008462</v>
      </c>
      <c r="BO99" s="259">
        <v>0</v>
      </c>
      <c r="BP99" s="259">
        <v>108498.64568008462</v>
      </c>
      <c r="BQ99" s="259">
        <v>0</v>
      </c>
      <c r="BR99" s="268">
        <v>108498.64568008462</v>
      </c>
      <c r="BT99" s="389">
        <v>0</v>
      </c>
      <c r="BU99" s="307">
        <v>0</v>
      </c>
      <c r="BV99" s="307">
        <v>0</v>
      </c>
      <c r="BW99" s="307">
        <v>0</v>
      </c>
      <c r="BX99" s="307">
        <v>0</v>
      </c>
      <c r="BY99" s="307">
        <v>0</v>
      </c>
      <c r="BZ99" s="307">
        <v>0</v>
      </c>
      <c r="CA99" s="307">
        <v>0</v>
      </c>
      <c r="CB99" s="307">
        <v>0</v>
      </c>
      <c r="CC99" s="307">
        <v>0</v>
      </c>
      <c r="CD99" s="307">
        <v>0</v>
      </c>
      <c r="CE99" s="308">
        <v>0</v>
      </c>
      <c r="CF99" s="212"/>
      <c r="CG99" s="315">
        <v>0</v>
      </c>
      <c r="CH99" s="274">
        <v>0</v>
      </c>
      <c r="CI99" s="274">
        <v>0</v>
      </c>
      <c r="CJ99" s="329">
        <v>0</v>
      </c>
      <c r="CK99" s="329">
        <v>0</v>
      </c>
      <c r="CL99" s="338">
        <v>0</v>
      </c>
      <c r="CM99" s="338">
        <v>0</v>
      </c>
      <c r="CN99" s="338">
        <v>0</v>
      </c>
      <c r="CO99" s="338">
        <v>0</v>
      </c>
      <c r="CP99" s="338">
        <v>0</v>
      </c>
      <c r="CQ99" s="338">
        <v>0</v>
      </c>
      <c r="CR99" s="339">
        <v>0</v>
      </c>
      <c r="CS99" s="212"/>
      <c r="CT99" s="457">
        <v>0</v>
      </c>
      <c r="CU99" s="342">
        <v>0</v>
      </c>
      <c r="CV99" s="342">
        <v>6.6557409205991111E-2</v>
      </c>
      <c r="CW99" s="342">
        <v>0</v>
      </c>
      <c r="CX99" s="342">
        <v>0</v>
      </c>
      <c r="CY99" s="342">
        <v>6.6557409205991111E-2</v>
      </c>
      <c r="CZ99" s="342">
        <v>0</v>
      </c>
      <c r="DA99" s="342">
        <v>6.6557409205991111E-2</v>
      </c>
      <c r="DB99" s="342">
        <v>0</v>
      </c>
      <c r="DC99" s="342">
        <v>6.6557409205991111E-2</v>
      </c>
      <c r="DD99" s="342">
        <v>0</v>
      </c>
      <c r="DE99" s="340">
        <v>6.6557409205991111E-2</v>
      </c>
      <c r="DF99" s="390">
        <f t="shared" si="6"/>
        <v>0.13311481841198222</v>
      </c>
      <c r="DG99" s="273">
        <v>0</v>
      </c>
      <c r="DH99" s="415">
        <v>0</v>
      </c>
      <c r="DI99" s="278">
        <v>0</v>
      </c>
      <c r="DJ99" s="278">
        <v>0</v>
      </c>
      <c r="DK99" s="278">
        <v>0</v>
      </c>
      <c r="DL99" s="278">
        <v>0</v>
      </c>
      <c r="DM99" s="278">
        <v>0</v>
      </c>
      <c r="DN99" s="278">
        <v>0</v>
      </c>
      <c r="DO99" s="278">
        <v>0</v>
      </c>
      <c r="DP99" s="278">
        <v>0</v>
      </c>
      <c r="DQ99" s="278">
        <v>0</v>
      </c>
      <c r="DR99" s="282">
        <v>0</v>
      </c>
      <c r="DS99" s="226"/>
      <c r="DT99" s="315">
        <v>0</v>
      </c>
      <c r="DU99" s="274">
        <v>0</v>
      </c>
      <c r="DV99" s="274">
        <v>0</v>
      </c>
      <c r="DW99" s="278">
        <v>0</v>
      </c>
      <c r="DX99" s="276">
        <v>0</v>
      </c>
      <c r="DY99" s="276">
        <v>0</v>
      </c>
      <c r="DZ99" s="276">
        <v>0</v>
      </c>
      <c r="EA99" s="276">
        <v>0</v>
      </c>
      <c r="EB99" s="276">
        <v>0</v>
      </c>
      <c r="EC99" s="276">
        <v>0</v>
      </c>
      <c r="ED99" s="276">
        <v>0</v>
      </c>
      <c r="EE99" s="313">
        <v>0</v>
      </c>
      <c r="EF99" s="212"/>
      <c r="EG99" s="315">
        <v>0</v>
      </c>
      <c r="EH99" s="274">
        <v>0</v>
      </c>
      <c r="EI99" s="274">
        <v>-6.6557409205991111E-2</v>
      </c>
      <c r="EJ99" s="278">
        <v>0</v>
      </c>
      <c r="EK99" s="276">
        <v>0</v>
      </c>
      <c r="EL99" s="276">
        <v>-6.6557409205991111E-2</v>
      </c>
      <c r="EM99" s="276">
        <v>0</v>
      </c>
      <c r="EN99" s="276">
        <v>-6.6557409205991111E-2</v>
      </c>
      <c r="EO99" s="276">
        <v>0</v>
      </c>
      <c r="EP99" s="276">
        <v>-6.6557409205991111E-2</v>
      </c>
      <c r="EQ99" s="276">
        <v>0</v>
      </c>
      <c r="ER99" s="313">
        <v>-6.6557409205991111E-2</v>
      </c>
      <c r="ES99" s="283"/>
      <c r="ET99" s="315">
        <v>0</v>
      </c>
      <c r="EU99" s="274">
        <v>0</v>
      </c>
      <c r="EV99" s="274">
        <v>0</v>
      </c>
      <c r="EW99" s="278">
        <v>0</v>
      </c>
      <c r="EX99" s="276">
        <v>0</v>
      </c>
      <c r="EY99" s="276">
        <v>0</v>
      </c>
      <c r="EZ99" s="276">
        <v>0</v>
      </c>
      <c r="FA99" s="276">
        <v>0</v>
      </c>
      <c r="FB99" s="276">
        <v>0</v>
      </c>
      <c r="FC99" s="276">
        <v>0</v>
      </c>
      <c r="FD99" s="276">
        <v>0</v>
      </c>
      <c r="FE99" s="313">
        <v>0</v>
      </c>
      <c r="FF99" s="212"/>
      <c r="FG99" s="315">
        <v>0</v>
      </c>
      <c r="FH99" s="274">
        <v>0</v>
      </c>
      <c r="FI99" s="274">
        <v>0</v>
      </c>
      <c r="FJ99" s="278">
        <v>0</v>
      </c>
      <c r="FK99" s="276">
        <v>0</v>
      </c>
      <c r="FL99" s="276">
        <v>0</v>
      </c>
      <c r="FM99" s="276">
        <v>0</v>
      </c>
      <c r="FN99" s="276">
        <v>0</v>
      </c>
      <c r="FO99" s="276">
        <v>0</v>
      </c>
      <c r="FP99" s="276">
        <v>0</v>
      </c>
      <c r="FQ99" s="276">
        <v>0</v>
      </c>
      <c r="FR99" s="313">
        <v>0</v>
      </c>
      <c r="FS99" s="283"/>
      <c r="FT99" s="286">
        <v>0</v>
      </c>
      <c r="FU99" s="260">
        <v>30.672000000000001</v>
      </c>
      <c r="FV99" s="260">
        <v>0</v>
      </c>
      <c r="FW99" s="260">
        <v>-30.672000000000001</v>
      </c>
      <c r="FX99" s="287">
        <v>-1</v>
      </c>
      <c r="FY99" s="416">
        <v>0</v>
      </c>
      <c r="FZ99" s="412">
        <v>0.33278704602995557</v>
      </c>
      <c r="GA99" s="412">
        <v>0</v>
      </c>
      <c r="GB99" s="458">
        <v>-0.33278704602995557</v>
      </c>
      <c r="GC99" s="458">
        <v>-0.33278704602995557</v>
      </c>
      <c r="GD99" s="458">
        <v>0</v>
      </c>
      <c r="GE99" s="458">
        <v>0</v>
      </c>
      <c r="GF99" s="459">
        <v>0</v>
      </c>
      <c r="GG99" s="214">
        <v>0</v>
      </c>
      <c r="GH99" s="286">
        <v>0</v>
      </c>
      <c r="GI99" s="260">
        <v>6.1344000000000003</v>
      </c>
      <c r="GJ99" s="260">
        <v>0</v>
      </c>
      <c r="GK99" s="260">
        <v>-6.1344000000000003</v>
      </c>
      <c r="GL99" s="291">
        <v>-1</v>
      </c>
      <c r="GM99" s="275">
        <v>0</v>
      </c>
      <c r="GN99" s="275">
        <v>6.6557409205991111E-2</v>
      </c>
      <c r="GO99" s="275">
        <v>0</v>
      </c>
      <c r="GP99" s="275">
        <v>-6.6557409205991111E-2</v>
      </c>
      <c r="GQ99" s="275">
        <v>-6.6557409205991111E-2</v>
      </c>
      <c r="GR99" s="277">
        <v>0</v>
      </c>
      <c r="GS99" s="275">
        <v>0</v>
      </c>
      <c r="GT99" s="284">
        <v>0</v>
      </c>
      <c r="GU99" s="292">
        <v>0</v>
      </c>
      <c r="GW99" s="293"/>
      <c r="GX99" s="294"/>
      <c r="GY99" s="293"/>
      <c r="GZ99" s="293"/>
      <c r="HA99" s="293"/>
      <c r="HB99" s="293"/>
      <c r="HC99" s="295"/>
    </row>
    <row r="100" spans="1:211" ht="12.75" customHeight="1" thickBot="1">
      <c r="B100" s="460" t="s">
        <v>309</v>
      </c>
      <c r="C100" s="297" t="s">
        <v>135</v>
      </c>
      <c r="D100" s="461"/>
      <c r="E100" s="462"/>
      <c r="F100" s="382" t="s">
        <v>142</v>
      </c>
      <c r="G100" s="301"/>
      <c r="H100" s="301"/>
      <c r="I100" s="258">
        <v>0</v>
      </c>
      <c r="J100" s="302">
        <v>0</v>
      </c>
      <c r="K100" s="302"/>
      <c r="L100" s="261"/>
      <c r="M100" s="261"/>
      <c r="N100" s="449">
        <v>0</v>
      </c>
      <c r="O100" s="449">
        <v>0</v>
      </c>
      <c r="P100" s="449">
        <v>0</v>
      </c>
      <c r="Q100" s="261">
        <v>2.0089999999999999</v>
      </c>
      <c r="R100" s="303">
        <v>0</v>
      </c>
      <c r="S100" s="261">
        <f t="shared" si="5"/>
        <v>2.0089999999999999</v>
      </c>
      <c r="T100" s="270">
        <v>0</v>
      </c>
      <c r="U100" s="267">
        <v>0</v>
      </c>
      <c r="V100" s="259">
        <v>0</v>
      </c>
      <c r="W100" s="259">
        <v>0</v>
      </c>
      <c r="X100" s="259">
        <v>0</v>
      </c>
      <c r="Y100" s="259">
        <v>0</v>
      </c>
      <c r="Z100" s="259">
        <v>0</v>
      </c>
      <c r="AA100" s="259">
        <v>0</v>
      </c>
      <c r="AB100" s="259">
        <v>0</v>
      </c>
      <c r="AC100" s="259">
        <v>0</v>
      </c>
      <c r="AD100" s="259">
        <v>0</v>
      </c>
      <c r="AE100" s="268">
        <v>0</v>
      </c>
      <c r="AG100" s="270">
        <v>0</v>
      </c>
      <c r="AH100" s="455">
        <v>0</v>
      </c>
      <c r="AI100" s="259">
        <v>0</v>
      </c>
      <c r="AJ100" s="259">
        <v>0</v>
      </c>
      <c r="AK100" s="259">
        <v>0</v>
      </c>
      <c r="AL100" s="259">
        <v>0</v>
      </c>
      <c r="AM100" s="259">
        <v>0</v>
      </c>
      <c r="AN100" s="259">
        <v>0</v>
      </c>
      <c r="AO100" s="259">
        <v>0</v>
      </c>
      <c r="AP100" s="259">
        <v>0</v>
      </c>
      <c r="AQ100" s="259">
        <v>0</v>
      </c>
      <c r="AR100" s="307">
        <v>0</v>
      </c>
      <c r="AS100" s="463">
        <v>0</v>
      </c>
      <c r="AT100" s="351">
        <v>0</v>
      </c>
      <c r="AU100" s="259">
        <v>0</v>
      </c>
      <c r="AV100" s="259">
        <v>0</v>
      </c>
      <c r="AW100" s="259">
        <v>0</v>
      </c>
      <c r="AX100" s="259">
        <v>0</v>
      </c>
      <c r="AY100" s="259">
        <v>0</v>
      </c>
      <c r="AZ100" s="259">
        <v>0</v>
      </c>
      <c r="BA100" s="259">
        <v>0</v>
      </c>
      <c r="BB100" s="259">
        <v>0</v>
      </c>
      <c r="BC100" s="259">
        <v>0</v>
      </c>
      <c r="BD100" s="259">
        <v>99410.55749128919</v>
      </c>
      <c r="BE100" s="308"/>
      <c r="BG100" s="351">
        <v>0</v>
      </c>
      <c r="BH100" s="259">
        <v>0</v>
      </c>
      <c r="BI100" s="259">
        <v>0</v>
      </c>
      <c r="BJ100" s="259">
        <v>0</v>
      </c>
      <c r="BK100" s="259">
        <v>0</v>
      </c>
      <c r="BL100" s="259">
        <v>0</v>
      </c>
      <c r="BM100" s="259">
        <v>0</v>
      </c>
      <c r="BN100" s="259">
        <v>0</v>
      </c>
      <c r="BO100" s="259">
        <v>0</v>
      </c>
      <c r="BP100" s="259">
        <v>0</v>
      </c>
      <c r="BQ100" s="259">
        <v>99410.55749128919</v>
      </c>
      <c r="BR100" s="268">
        <v>0</v>
      </c>
      <c r="BT100" s="389">
        <v>0</v>
      </c>
      <c r="BU100" s="307">
        <v>0</v>
      </c>
      <c r="BV100" s="307">
        <v>0</v>
      </c>
      <c r="BW100" s="307">
        <v>0</v>
      </c>
      <c r="BX100" s="307">
        <v>0</v>
      </c>
      <c r="BY100" s="307">
        <v>0</v>
      </c>
      <c r="BZ100" s="307">
        <v>0</v>
      </c>
      <c r="CA100" s="307">
        <v>0</v>
      </c>
      <c r="CB100" s="307">
        <v>0</v>
      </c>
      <c r="CC100" s="307">
        <v>0</v>
      </c>
      <c r="CD100" s="307">
        <v>0</v>
      </c>
      <c r="CE100" s="308">
        <v>0</v>
      </c>
      <c r="CF100" s="212"/>
      <c r="CG100" s="326">
        <v>0</v>
      </c>
      <c r="CH100" s="342">
        <v>0</v>
      </c>
      <c r="CI100" s="342">
        <v>0</v>
      </c>
      <c r="CJ100" s="342">
        <v>0</v>
      </c>
      <c r="CK100" s="342">
        <v>0</v>
      </c>
      <c r="CL100" s="343">
        <v>0</v>
      </c>
      <c r="CM100" s="343">
        <v>0</v>
      </c>
      <c r="CN100" s="343">
        <v>0</v>
      </c>
      <c r="CO100" s="343">
        <v>0</v>
      </c>
      <c r="CP100" s="343">
        <v>0</v>
      </c>
      <c r="CQ100" s="343">
        <v>1.9971580999999999E-2</v>
      </c>
      <c r="CR100" s="344">
        <v>0</v>
      </c>
      <c r="CS100" s="212"/>
      <c r="CT100" s="457">
        <v>0</v>
      </c>
      <c r="CU100" s="342">
        <v>0</v>
      </c>
      <c r="CV100" s="342">
        <v>0</v>
      </c>
      <c r="CW100" s="342">
        <v>0</v>
      </c>
      <c r="CX100" s="342">
        <v>0</v>
      </c>
      <c r="CY100" s="342">
        <v>0</v>
      </c>
      <c r="CZ100" s="342">
        <v>0</v>
      </c>
      <c r="DA100" s="342">
        <v>0</v>
      </c>
      <c r="DB100" s="342">
        <v>0</v>
      </c>
      <c r="DC100" s="342">
        <v>0</v>
      </c>
      <c r="DD100" s="342">
        <v>0</v>
      </c>
      <c r="DE100" s="340">
        <v>0</v>
      </c>
      <c r="DF100" s="390">
        <f t="shared" si="6"/>
        <v>0</v>
      </c>
      <c r="DG100" s="464">
        <v>0</v>
      </c>
      <c r="DH100" s="340">
        <v>0</v>
      </c>
      <c r="DI100" s="342">
        <v>0</v>
      </c>
      <c r="DJ100" s="342">
        <v>0</v>
      </c>
      <c r="DK100" s="342">
        <v>0</v>
      </c>
      <c r="DL100" s="342">
        <v>0</v>
      </c>
      <c r="DM100" s="342">
        <v>0</v>
      </c>
      <c r="DN100" s="342">
        <v>0</v>
      </c>
      <c r="DO100" s="342">
        <v>0</v>
      </c>
      <c r="DP100" s="342">
        <v>0</v>
      </c>
      <c r="DQ100" s="342">
        <v>0</v>
      </c>
      <c r="DR100" s="465">
        <v>0</v>
      </c>
      <c r="DS100" s="226"/>
      <c r="DT100" s="315">
        <v>0</v>
      </c>
      <c r="DU100" s="274">
        <v>0</v>
      </c>
      <c r="DV100" s="274">
        <v>0</v>
      </c>
      <c r="DW100" s="278">
        <v>0</v>
      </c>
      <c r="DX100" s="276">
        <v>0</v>
      </c>
      <c r="DY100" s="276">
        <v>0</v>
      </c>
      <c r="DZ100" s="276">
        <v>0</v>
      </c>
      <c r="EA100" s="276">
        <v>0</v>
      </c>
      <c r="EB100" s="276">
        <v>0</v>
      </c>
      <c r="EC100" s="276">
        <v>0</v>
      </c>
      <c r="ED100" s="276">
        <v>0</v>
      </c>
      <c r="EE100" s="313">
        <v>0</v>
      </c>
      <c r="EF100" s="212"/>
      <c r="EG100" s="315">
        <v>0</v>
      </c>
      <c r="EH100" s="274">
        <v>0</v>
      </c>
      <c r="EI100" s="274">
        <v>0</v>
      </c>
      <c r="EJ100" s="278">
        <v>0</v>
      </c>
      <c r="EK100" s="276">
        <v>0</v>
      </c>
      <c r="EL100" s="276">
        <v>0</v>
      </c>
      <c r="EM100" s="276">
        <v>0</v>
      </c>
      <c r="EN100" s="276">
        <v>0</v>
      </c>
      <c r="EO100" s="276">
        <v>0</v>
      </c>
      <c r="EP100" s="276">
        <v>0</v>
      </c>
      <c r="EQ100" s="276">
        <v>1.9971580999999995E-2</v>
      </c>
      <c r="ER100" s="345"/>
      <c r="ES100" s="345"/>
      <c r="ET100" s="315">
        <v>0</v>
      </c>
      <c r="EU100" s="274">
        <v>0</v>
      </c>
      <c r="EV100" s="274">
        <v>0</v>
      </c>
      <c r="EW100" s="278">
        <v>0</v>
      </c>
      <c r="EX100" s="276">
        <v>0</v>
      </c>
      <c r="EY100" s="276">
        <v>0</v>
      </c>
      <c r="EZ100" s="276">
        <v>0</v>
      </c>
      <c r="FA100" s="276">
        <v>0</v>
      </c>
      <c r="FB100" s="276">
        <v>0</v>
      </c>
      <c r="FC100" s="276">
        <v>0</v>
      </c>
      <c r="FD100" s="276">
        <v>1.9971580999999995E-2</v>
      </c>
      <c r="FE100" s="313">
        <v>0</v>
      </c>
      <c r="FF100" s="212"/>
      <c r="FG100" s="315">
        <v>0</v>
      </c>
      <c r="FH100" s="274">
        <v>0</v>
      </c>
      <c r="FI100" s="274">
        <v>0</v>
      </c>
      <c r="FJ100" s="278">
        <v>0</v>
      </c>
      <c r="FK100" s="276">
        <v>0</v>
      </c>
      <c r="FL100" s="276">
        <v>0</v>
      </c>
      <c r="FM100" s="276">
        <v>0</v>
      </c>
      <c r="FN100" s="276">
        <v>0</v>
      </c>
      <c r="FO100" s="276">
        <v>0</v>
      </c>
      <c r="FP100" s="276">
        <v>0</v>
      </c>
      <c r="FQ100" s="276">
        <v>0</v>
      </c>
      <c r="FR100" s="313">
        <v>0</v>
      </c>
      <c r="FS100" s="283"/>
      <c r="FT100" s="286">
        <v>2.0089999999999999</v>
      </c>
      <c r="FU100" s="260">
        <v>0</v>
      </c>
      <c r="FV100" s="260">
        <v>0</v>
      </c>
      <c r="FW100" s="260">
        <v>2.0089999999999999</v>
      </c>
      <c r="FX100" s="287">
        <v>0</v>
      </c>
      <c r="FY100" s="416">
        <v>1.9971580999999999E-2</v>
      </c>
      <c r="FZ100" s="412">
        <v>0</v>
      </c>
      <c r="GA100" s="412">
        <v>0</v>
      </c>
      <c r="GB100" s="458">
        <v>1.9971580999999999E-2</v>
      </c>
      <c r="GC100" s="458">
        <v>1.9971580999999995E-2</v>
      </c>
      <c r="GD100" s="458">
        <v>0</v>
      </c>
      <c r="GE100" s="458">
        <v>0</v>
      </c>
      <c r="GF100" s="459">
        <v>1.9971580999999995E-2</v>
      </c>
      <c r="GG100" s="214">
        <v>0</v>
      </c>
      <c r="GH100" s="286">
        <v>0</v>
      </c>
      <c r="GI100" s="260">
        <v>0</v>
      </c>
      <c r="GJ100" s="260">
        <v>0</v>
      </c>
      <c r="GK100" s="260">
        <v>0</v>
      </c>
      <c r="GL100" s="291">
        <v>0</v>
      </c>
      <c r="GM100" s="275">
        <v>0</v>
      </c>
      <c r="GN100" s="275">
        <v>0</v>
      </c>
      <c r="GO100" s="275">
        <v>0</v>
      </c>
      <c r="GP100" s="275">
        <v>0</v>
      </c>
      <c r="GQ100" s="275">
        <v>0</v>
      </c>
      <c r="GR100" s="277">
        <v>0</v>
      </c>
      <c r="GS100" s="275">
        <v>0</v>
      </c>
      <c r="GT100" s="284">
        <v>0</v>
      </c>
      <c r="GU100" s="292">
        <v>0</v>
      </c>
      <c r="GW100" s="293"/>
      <c r="GX100" s="294"/>
      <c r="GY100" s="293"/>
      <c r="GZ100" s="293"/>
      <c r="HA100" s="293"/>
      <c r="HB100" s="293"/>
      <c r="HC100" s="295"/>
    </row>
    <row r="101" spans="1:211" s="381" customFormat="1" ht="13.5" customHeight="1" thickBot="1">
      <c r="A101" s="352"/>
      <c r="B101" s="466"/>
      <c r="C101" s="467"/>
      <c r="D101" s="1084" t="s">
        <v>310</v>
      </c>
      <c r="E101" s="1085"/>
      <c r="F101" s="1086"/>
      <c r="G101" s="355">
        <v>57.84</v>
      </c>
      <c r="H101" s="355">
        <v>26.124000000000002</v>
      </c>
      <c r="I101" s="421">
        <v>0</v>
      </c>
      <c r="J101" s="357">
        <v>16.358000000000001</v>
      </c>
      <c r="K101" s="357">
        <v>89.97</v>
      </c>
      <c r="L101" s="357">
        <v>0</v>
      </c>
      <c r="M101" s="357">
        <v>16.358000000000001</v>
      </c>
      <c r="N101" s="357">
        <v>0</v>
      </c>
      <c r="O101" s="357">
        <v>32.716000000000001</v>
      </c>
      <c r="P101" s="357">
        <v>65.432000000000002</v>
      </c>
      <c r="Q101" s="357">
        <v>2.0089999999999999</v>
      </c>
      <c r="R101" s="357">
        <v>0</v>
      </c>
      <c r="S101" s="261">
        <f t="shared" si="5"/>
        <v>67.441000000000003</v>
      </c>
      <c r="T101" s="468">
        <v>21.568000000000001</v>
      </c>
      <c r="U101" s="421">
        <v>20.568000000000001</v>
      </c>
      <c r="V101" s="357">
        <v>88.843542857142864</v>
      </c>
      <c r="W101" s="357">
        <v>20.658000000000001</v>
      </c>
      <c r="X101" s="357">
        <v>20.658000000000001</v>
      </c>
      <c r="Y101" s="357">
        <v>88.907257142857162</v>
      </c>
      <c r="Z101" s="357">
        <v>21.631714285714288</v>
      </c>
      <c r="AA101" s="357">
        <v>88.907257142857162</v>
      </c>
      <c r="AB101" s="357">
        <v>61.391714285714286</v>
      </c>
      <c r="AC101" s="357">
        <v>127.69354285714286</v>
      </c>
      <c r="AD101" s="357">
        <v>60.417999999999999</v>
      </c>
      <c r="AE101" s="355">
        <v>128.66725714285715</v>
      </c>
      <c r="AF101" s="360">
        <v>0</v>
      </c>
      <c r="AG101" s="468">
        <v>0</v>
      </c>
      <c r="AH101" s="421">
        <v>143.75749999999999</v>
      </c>
      <c r="AI101" s="357">
        <v>127</v>
      </c>
      <c r="AJ101" s="357">
        <v>127.7641</v>
      </c>
      <c r="AK101" s="357">
        <v>92</v>
      </c>
      <c r="AL101" s="357">
        <v>16.350000000000001</v>
      </c>
      <c r="AM101" s="357">
        <v>16</v>
      </c>
      <c r="AN101" s="357">
        <v>0</v>
      </c>
      <c r="AO101" s="357">
        <v>98</v>
      </c>
      <c r="AP101" s="357">
        <v>65</v>
      </c>
      <c r="AQ101" s="357">
        <v>0</v>
      </c>
      <c r="AR101" s="355">
        <v>0</v>
      </c>
      <c r="AS101" s="439">
        <v>0</v>
      </c>
      <c r="AT101" s="356">
        <v>159049.2876901798</v>
      </c>
      <c r="AU101" s="357">
        <v>157165.070433318</v>
      </c>
      <c r="AV101" s="357">
        <v>0</v>
      </c>
      <c r="AW101" s="357">
        <v>93025.85829563516</v>
      </c>
      <c r="AX101" s="357">
        <v>92374.396354340337</v>
      </c>
      <c r="AY101" s="357">
        <v>0</v>
      </c>
      <c r="AZ101" s="357">
        <v>95925.915759872834</v>
      </c>
      <c r="BA101" s="357">
        <v>0</v>
      </c>
      <c r="BB101" s="357">
        <v>102943.97725883361</v>
      </c>
      <c r="BC101" s="357"/>
      <c r="BD101" s="357"/>
      <c r="BE101" s="355"/>
      <c r="BF101" s="360"/>
      <c r="BG101" s="356">
        <v>118896.16800050087</v>
      </c>
      <c r="BH101" s="357">
        <v>118725.67519208233</v>
      </c>
      <c r="BI101" s="357">
        <v>110477.64600372947</v>
      </c>
      <c r="BJ101" s="357">
        <v>118741.69547479495</v>
      </c>
      <c r="BK101" s="357">
        <v>118741.69547479495</v>
      </c>
      <c r="BL101" s="357">
        <v>110325.23721201603</v>
      </c>
      <c r="BM101" s="357">
        <v>118244.96543904711</v>
      </c>
      <c r="BN101" s="357">
        <v>110325.23721201603</v>
      </c>
      <c r="BO101" s="357">
        <v>109433.29910033406</v>
      </c>
      <c r="BP101" s="357">
        <v>108574.75706733257</v>
      </c>
      <c r="BQ101" s="357">
        <v>109461.12861609968</v>
      </c>
      <c r="BR101" s="355">
        <v>108568.18640545727</v>
      </c>
      <c r="BS101" s="360"/>
      <c r="BT101" s="468">
        <v>0</v>
      </c>
      <c r="BU101" s="469">
        <v>114693.02850591201</v>
      </c>
      <c r="BV101" s="469">
        <v>109883.88098692575</v>
      </c>
      <c r="BW101" s="469">
        <v>110100.76731052676</v>
      </c>
      <c r="BX101" s="469">
        <v>92500</v>
      </c>
      <c r="BY101" s="469">
        <v>92500.000000000015</v>
      </c>
      <c r="BZ101" s="469">
        <v>92500</v>
      </c>
      <c r="CA101" s="469">
        <v>0</v>
      </c>
      <c r="CB101" s="469">
        <v>92500</v>
      </c>
      <c r="CC101" s="469">
        <v>92500</v>
      </c>
      <c r="CD101" s="469">
        <v>0</v>
      </c>
      <c r="CE101" s="355">
        <v>0</v>
      </c>
      <c r="CF101" s="361"/>
      <c r="CG101" s="362">
        <v>0.91994108000000008</v>
      </c>
      <c r="CH101" s="362">
        <v>0.41057803000000004</v>
      </c>
      <c r="CI101" s="362">
        <v>0</v>
      </c>
      <c r="CJ101" s="362">
        <v>0.15217169899999999</v>
      </c>
      <c r="CK101" s="362">
        <v>0.83109244399999993</v>
      </c>
      <c r="CL101" s="362">
        <v>0</v>
      </c>
      <c r="CM101" s="362">
        <v>0.15691561299999998</v>
      </c>
      <c r="CN101" s="362">
        <v>0</v>
      </c>
      <c r="CO101" s="362">
        <v>0.33679151600000001</v>
      </c>
      <c r="CP101" s="362">
        <v>0.6755383880000001</v>
      </c>
      <c r="CQ101" s="362">
        <v>1.9971580999999999E-2</v>
      </c>
      <c r="CR101" s="363">
        <v>0</v>
      </c>
      <c r="CS101" s="361">
        <v>0</v>
      </c>
      <c r="CT101" s="362">
        <v>0.25643525514348031</v>
      </c>
      <c r="CU101" s="362">
        <v>0.24419496873507496</v>
      </c>
      <c r="CV101" s="362">
        <v>0.98152254774885983</v>
      </c>
      <c r="CW101" s="362">
        <v>0.24529659451183142</v>
      </c>
      <c r="CX101" s="362">
        <v>0.24529659451183142</v>
      </c>
      <c r="CY101" s="362">
        <v>0.98087142341554223</v>
      </c>
      <c r="CZ101" s="368">
        <v>0.25578413081016277</v>
      </c>
      <c r="DA101" s="362">
        <v>0.98087142341554223</v>
      </c>
      <c r="DB101" s="362">
        <v>0.67182978317108233</v>
      </c>
      <c r="DC101" s="362">
        <v>1.3864295394781305</v>
      </c>
      <c r="DD101" s="362">
        <v>0.66134224687275101</v>
      </c>
      <c r="DE101" s="363">
        <v>1.3969170757764617</v>
      </c>
      <c r="DF101" s="390">
        <f t="shared" si="6"/>
        <v>3.444688862127343</v>
      </c>
      <c r="DG101" s="470">
        <v>0</v>
      </c>
      <c r="DH101" s="363">
        <v>1.6487983045438643</v>
      </c>
      <c r="DI101" s="368">
        <v>1.3955252885339571</v>
      </c>
      <c r="DJ101" s="368">
        <v>1.4066925444738871</v>
      </c>
      <c r="DK101" s="368">
        <v>0.85099999999999998</v>
      </c>
      <c r="DL101" s="368">
        <v>0.15123750000000002</v>
      </c>
      <c r="DM101" s="368">
        <v>0.14799999999999999</v>
      </c>
      <c r="DN101" s="368">
        <v>0</v>
      </c>
      <c r="DO101" s="368">
        <v>0.90649999999999997</v>
      </c>
      <c r="DP101" s="368">
        <v>0.60124999999999995</v>
      </c>
      <c r="DQ101" s="368">
        <v>0</v>
      </c>
      <c r="DR101" s="367">
        <v>0</v>
      </c>
      <c r="DS101" s="371">
        <v>0</v>
      </c>
      <c r="DT101" s="362">
        <v>0.23315580657151588</v>
      </c>
      <c r="DU101" s="368">
        <v>6.0288334979965594E-2</v>
      </c>
      <c r="DV101" s="368">
        <v>0</v>
      </c>
      <c r="DW101" s="368">
        <v>0</v>
      </c>
      <c r="DX101" s="368">
        <v>0</v>
      </c>
      <c r="DY101" s="368">
        <v>0</v>
      </c>
      <c r="DZ101" s="368">
        <v>0</v>
      </c>
      <c r="EA101" s="368">
        <v>0</v>
      </c>
      <c r="EB101" s="368">
        <v>0</v>
      </c>
      <c r="EC101" s="368">
        <v>-2.9206818206999805E-2</v>
      </c>
      <c r="ED101" s="368">
        <v>0</v>
      </c>
      <c r="EE101" s="367">
        <v>0</v>
      </c>
      <c r="EF101" s="361">
        <v>0</v>
      </c>
      <c r="EG101" s="362">
        <v>0.43126018057141685</v>
      </c>
      <c r="EH101" s="368">
        <v>6.5963985136720957E-2</v>
      </c>
      <c r="EI101" s="368">
        <v>-0.98152254774885983</v>
      </c>
      <c r="EJ101" s="368">
        <v>-5.1058929054161838E-2</v>
      </c>
      <c r="EK101" s="368">
        <v>0.82302243967489874</v>
      </c>
      <c r="EL101" s="368">
        <v>-0.98087142341554223</v>
      </c>
      <c r="EM101" s="368">
        <v>-9.8868517810162787E-2</v>
      </c>
      <c r="EN101" s="368">
        <v>-0.98087142341554223</v>
      </c>
      <c r="EO101" s="368">
        <v>-0.33503826717108232</v>
      </c>
      <c r="EP101" s="368">
        <v>-0.68168433327113054</v>
      </c>
      <c r="EQ101" s="368">
        <v>-0.64137066587275104</v>
      </c>
      <c r="ER101" s="368">
        <v>-1.3969170757764617</v>
      </c>
      <c r="ES101" s="372">
        <v>0</v>
      </c>
      <c r="ET101" s="362">
        <v>0.91994108000000008</v>
      </c>
      <c r="EU101" s="368">
        <v>1.9027498566967418E-2</v>
      </c>
      <c r="EV101" s="368">
        <v>0</v>
      </c>
      <c r="EW101" s="368">
        <v>0.15202371100000001</v>
      </c>
      <c r="EX101" s="368">
        <v>0.83109244400000004</v>
      </c>
      <c r="EY101" s="368">
        <v>0</v>
      </c>
      <c r="EZ101" s="368">
        <v>0.15691561299999998</v>
      </c>
      <c r="FA101" s="368">
        <v>0</v>
      </c>
      <c r="FB101" s="368">
        <v>0.33679151600000001</v>
      </c>
      <c r="FC101" s="368">
        <v>0.6755383880000001</v>
      </c>
      <c r="FD101" s="368">
        <v>1.9971580999999995E-2</v>
      </c>
      <c r="FE101" s="367">
        <v>0</v>
      </c>
      <c r="FF101" s="361">
        <v>0</v>
      </c>
      <c r="FG101" s="362">
        <v>0</v>
      </c>
      <c r="FH101" s="368">
        <v>-1.2572477731108318</v>
      </c>
      <c r="FI101" s="368">
        <v>-1.3955252885339571</v>
      </c>
      <c r="FJ101" s="368">
        <v>-1.4066925444738871</v>
      </c>
      <c r="FK101" s="368">
        <v>-0.85099999999999998</v>
      </c>
      <c r="FL101" s="368">
        <v>-0.15123750000000005</v>
      </c>
      <c r="FM101" s="368">
        <v>-0.14799999999999999</v>
      </c>
      <c r="FN101" s="368">
        <v>0</v>
      </c>
      <c r="FO101" s="368">
        <v>-0.90649999999999997</v>
      </c>
      <c r="FP101" s="368">
        <v>-0.60124999999999995</v>
      </c>
      <c r="FQ101" s="368">
        <v>0</v>
      </c>
      <c r="FR101" s="368">
        <v>0</v>
      </c>
      <c r="FS101" s="372">
        <v>0</v>
      </c>
      <c r="FT101" s="440">
        <v>306.80700000000002</v>
      </c>
      <c r="FU101" s="440">
        <v>749.91228571428587</v>
      </c>
      <c r="FV101" s="441">
        <v>685.87160000000006</v>
      </c>
      <c r="FW101" s="442">
        <v>-443.10528571428574</v>
      </c>
      <c r="FX101" s="443">
        <v>-0.59087615199187093</v>
      </c>
      <c r="FY101" s="442">
        <v>3.5030003510000003</v>
      </c>
      <c r="FZ101" s="442">
        <v>8.3067915835907513</v>
      </c>
      <c r="GA101" s="442">
        <v>7.1090036375517078</v>
      </c>
      <c r="GB101" s="442">
        <v>-4.8037912325907515</v>
      </c>
      <c r="GC101" s="442">
        <v>-5.0681765439352322</v>
      </c>
      <c r="GD101" s="442">
        <v>0.26423732334448169</v>
      </c>
      <c r="GE101" s="442">
        <v>-6.7174531061186755</v>
      </c>
      <c r="GF101" s="442">
        <v>3.1113018315669674</v>
      </c>
      <c r="GG101" s="214">
        <v>-1.4798799999926615E-4</v>
      </c>
      <c r="GH101" s="471">
        <v>0</v>
      </c>
      <c r="GI101" s="471">
        <v>128.66725714285715</v>
      </c>
      <c r="GJ101" s="472">
        <v>0</v>
      </c>
      <c r="GK101" s="442">
        <v>-128.66725714285715</v>
      </c>
      <c r="GL101" s="445">
        <v>-1</v>
      </c>
      <c r="GM101" s="444">
        <v>0</v>
      </c>
      <c r="GN101" s="444">
        <v>1.3969170757764617</v>
      </c>
      <c r="GO101" s="444">
        <v>0</v>
      </c>
      <c r="GP101" s="444">
        <v>-1.3969170757764617</v>
      </c>
      <c r="GQ101" s="444">
        <v>-1.3969170757764617</v>
      </c>
      <c r="GR101" s="444">
        <v>0</v>
      </c>
      <c r="GS101" s="444">
        <v>0</v>
      </c>
      <c r="GT101" s="473">
        <v>0</v>
      </c>
      <c r="GU101" s="447">
        <v>0</v>
      </c>
      <c r="GV101" s="214">
        <v>0</v>
      </c>
      <c r="GW101" s="447">
        <v>0</v>
      </c>
      <c r="GX101" s="447">
        <v>0</v>
      </c>
      <c r="GY101" s="447">
        <v>3.536116302443798E-3</v>
      </c>
      <c r="GZ101" s="447">
        <v>0</v>
      </c>
      <c r="HA101" s="447">
        <v>0</v>
      </c>
      <c r="HB101" s="447">
        <v>0</v>
      </c>
      <c r="HC101" s="447">
        <v>0</v>
      </c>
    </row>
    <row r="102" spans="1:211" ht="12.75" customHeight="1">
      <c r="A102" s="213"/>
      <c r="B102" s="474"/>
      <c r="C102" s="475"/>
      <c r="D102" s="476"/>
      <c r="E102" s="477"/>
      <c r="F102" s="477"/>
      <c r="G102" s="478"/>
      <c r="H102" s="478"/>
      <c r="I102" s="479"/>
      <c r="J102" s="478"/>
      <c r="K102" s="478"/>
      <c r="L102" s="478"/>
      <c r="M102" s="478"/>
      <c r="N102" s="478"/>
      <c r="O102" s="478"/>
      <c r="P102" s="478"/>
      <c r="Q102" s="478"/>
      <c r="R102" s="480"/>
      <c r="S102" s="261">
        <f t="shared" si="5"/>
        <v>0</v>
      </c>
      <c r="T102" s="481">
        <v>0</v>
      </c>
      <c r="U102" s="482">
        <v>0</v>
      </c>
      <c r="V102" s="478">
        <v>0</v>
      </c>
      <c r="W102" s="478">
        <v>0</v>
      </c>
      <c r="X102" s="478">
        <v>0</v>
      </c>
      <c r="Y102" s="478">
        <v>0</v>
      </c>
      <c r="Z102" s="478">
        <v>0</v>
      </c>
      <c r="AA102" s="478">
        <v>0</v>
      </c>
      <c r="AB102" s="478">
        <v>0</v>
      </c>
      <c r="AC102" s="478">
        <v>0</v>
      </c>
      <c r="AD102" s="478">
        <v>0</v>
      </c>
      <c r="AE102" s="480">
        <v>0</v>
      </c>
      <c r="AG102" s="481"/>
      <c r="AH102" s="482"/>
      <c r="AI102" s="478"/>
      <c r="AJ102" s="478"/>
      <c r="AK102" s="478"/>
      <c r="AL102" s="478"/>
      <c r="AM102" s="478"/>
      <c r="AN102" s="478"/>
      <c r="AO102" s="478"/>
      <c r="AP102" s="478"/>
      <c r="AQ102" s="478"/>
      <c r="AR102" s="480"/>
      <c r="AS102" s="483">
        <v>0</v>
      </c>
      <c r="AT102" s="481"/>
      <c r="AU102" s="259"/>
      <c r="AV102" s="478"/>
      <c r="AW102" s="478"/>
      <c r="AX102" s="478"/>
      <c r="AY102" s="478"/>
      <c r="AZ102" s="478"/>
      <c r="BA102" s="478"/>
      <c r="BB102" s="478"/>
      <c r="BC102" s="478"/>
      <c r="BD102" s="478"/>
      <c r="BE102" s="480"/>
      <c r="BG102" s="270"/>
      <c r="BH102" s="259"/>
      <c r="BI102" s="478"/>
      <c r="BJ102" s="478"/>
      <c r="BK102" s="478"/>
      <c r="BL102" s="478"/>
      <c r="BM102" s="478"/>
      <c r="BN102" s="478"/>
      <c r="BO102" s="478"/>
      <c r="BP102" s="478"/>
      <c r="BQ102" s="478"/>
      <c r="BR102" s="480"/>
      <c r="BT102" s="484">
        <v>0</v>
      </c>
      <c r="BU102" s="485">
        <v>0</v>
      </c>
      <c r="BV102" s="485">
        <v>0</v>
      </c>
      <c r="BW102" s="485">
        <v>0</v>
      </c>
      <c r="BX102" s="485">
        <v>0</v>
      </c>
      <c r="BY102" s="485">
        <v>0</v>
      </c>
      <c r="BZ102" s="485">
        <v>0</v>
      </c>
      <c r="CA102" s="485">
        <v>0</v>
      </c>
      <c r="CB102" s="485">
        <v>0</v>
      </c>
      <c r="CC102" s="485">
        <v>0</v>
      </c>
      <c r="CD102" s="485">
        <v>0</v>
      </c>
      <c r="CE102" s="486">
        <v>0</v>
      </c>
      <c r="CF102" s="212"/>
      <c r="CG102" s="487"/>
      <c r="CH102" s="488"/>
      <c r="CI102" s="488"/>
      <c r="CJ102" s="488"/>
      <c r="CK102" s="488"/>
      <c r="CL102" s="488"/>
      <c r="CM102" s="488"/>
      <c r="CN102" s="488"/>
      <c r="CO102" s="488"/>
      <c r="CP102" s="488"/>
      <c r="CQ102" s="488"/>
      <c r="CR102" s="489"/>
      <c r="CS102" s="212"/>
      <c r="CT102" s="487"/>
      <c r="CU102" s="488"/>
      <c r="CV102" s="488"/>
      <c r="CW102" s="488"/>
      <c r="CX102" s="488"/>
      <c r="CY102" s="488"/>
      <c r="CZ102" s="478"/>
      <c r="DA102" s="488"/>
      <c r="DB102" s="488"/>
      <c r="DC102" s="488"/>
      <c r="DD102" s="488"/>
      <c r="DE102" s="489"/>
      <c r="DF102" s="390">
        <f t="shared" si="6"/>
        <v>0</v>
      </c>
      <c r="DG102" s="487"/>
      <c r="DH102" s="490"/>
      <c r="DI102" s="488"/>
      <c r="DJ102" s="488"/>
      <c r="DK102" s="488"/>
      <c r="DL102" s="488"/>
      <c r="DM102" s="488"/>
      <c r="DN102" s="488"/>
      <c r="DO102" s="488"/>
      <c r="DP102" s="488"/>
      <c r="DQ102" s="488"/>
      <c r="DR102" s="489"/>
      <c r="DS102" s="226"/>
      <c r="DT102" s="487"/>
      <c r="DU102" s="488"/>
      <c r="DV102" s="488"/>
      <c r="DW102" s="488"/>
      <c r="DX102" s="488"/>
      <c r="DY102" s="488"/>
      <c r="DZ102" s="488"/>
      <c r="EA102" s="488"/>
      <c r="EB102" s="488"/>
      <c r="EC102" s="488"/>
      <c r="ED102" s="488"/>
      <c r="EE102" s="489"/>
      <c r="EF102" s="212"/>
      <c r="EG102" s="487"/>
      <c r="EH102" s="488"/>
      <c r="EI102" s="488"/>
      <c r="EJ102" s="488"/>
      <c r="EK102" s="488"/>
      <c r="EL102" s="488"/>
      <c r="EM102" s="488"/>
      <c r="EN102" s="488"/>
      <c r="EO102" s="488"/>
      <c r="EP102" s="488"/>
      <c r="EQ102" s="488"/>
      <c r="ER102" s="489"/>
      <c r="ES102" s="226"/>
      <c r="ET102" s="487"/>
      <c r="EU102" s="488"/>
      <c r="EV102" s="488"/>
      <c r="EW102" s="488"/>
      <c r="EX102" s="488"/>
      <c r="EY102" s="488"/>
      <c r="EZ102" s="488"/>
      <c r="FA102" s="488"/>
      <c r="FB102" s="488"/>
      <c r="FC102" s="488"/>
      <c r="FD102" s="488"/>
      <c r="FE102" s="489"/>
      <c r="FF102" s="212"/>
      <c r="FG102" s="487"/>
      <c r="FH102" s="488"/>
      <c r="FI102" s="488"/>
      <c r="FJ102" s="488"/>
      <c r="FK102" s="488"/>
      <c r="FL102" s="488"/>
      <c r="FM102" s="488"/>
      <c r="FN102" s="488"/>
      <c r="FO102" s="488"/>
      <c r="FP102" s="488"/>
      <c r="FQ102" s="488"/>
      <c r="FR102" s="489"/>
      <c r="FS102" s="226"/>
      <c r="FT102" s="408"/>
      <c r="FU102" s="409"/>
      <c r="FV102" s="409"/>
      <c r="FW102" s="409"/>
      <c r="FX102" s="409"/>
      <c r="FY102" s="260"/>
      <c r="FZ102" s="412"/>
      <c r="GA102" s="412"/>
      <c r="GB102" s="260"/>
      <c r="GC102" s="260"/>
      <c r="GD102" s="260"/>
      <c r="GE102" s="260"/>
      <c r="GF102" s="262"/>
      <c r="GG102" s="214">
        <v>0</v>
      </c>
      <c r="GH102" s="286"/>
      <c r="GI102" s="260"/>
      <c r="GJ102" s="260"/>
      <c r="GK102" s="260"/>
      <c r="GL102" s="262"/>
      <c r="GM102" s="275"/>
      <c r="GN102" s="275"/>
      <c r="GO102" s="275"/>
      <c r="GP102" s="275"/>
      <c r="GQ102" s="275"/>
      <c r="GR102" s="277"/>
      <c r="GS102" s="275"/>
      <c r="GT102" s="284"/>
      <c r="GU102" s="292">
        <v>0</v>
      </c>
      <c r="GV102" s="214">
        <v>0</v>
      </c>
      <c r="GW102" s="293">
        <v>0</v>
      </c>
      <c r="GX102" s="294"/>
      <c r="GY102" s="293">
        <v>0</v>
      </c>
      <c r="GZ102" s="293">
        <v>0</v>
      </c>
      <c r="HA102" s="293">
        <v>0</v>
      </c>
      <c r="HB102" s="293">
        <v>0</v>
      </c>
      <c r="HC102" s="295">
        <v>0</v>
      </c>
    </row>
    <row r="103" spans="1:211" ht="12.75" customHeight="1">
      <c r="B103" s="328" t="s">
        <v>311</v>
      </c>
      <c r="C103" s="297" t="s">
        <v>312</v>
      </c>
      <c r="D103" s="299" t="s">
        <v>313</v>
      </c>
      <c r="E103" s="299" t="s">
        <v>314</v>
      </c>
      <c r="F103" s="382"/>
      <c r="G103" s="301">
        <v>284.38</v>
      </c>
      <c r="H103" s="301">
        <v>713.79</v>
      </c>
      <c r="I103" s="267">
        <v>1115.4699999999998</v>
      </c>
      <c r="J103" s="302">
        <v>1109.81</v>
      </c>
      <c r="K103" s="302">
        <v>485.88999999999987</v>
      </c>
      <c r="L103" s="261">
        <v>0</v>
      </c>
      <c r="M103" s="261">
        <v>88.71</v>
      </c>
      <c r="N103" s="261">
        <v>355.35000000000008</v>
      </c>
      <c r="O103" s="261">
        <v>1501.6200000000006</v>
      </c>
      <c r="P103" s="261">
        <v>0</v>
      </c>
      <c r="Q103" s="261">
        <v>222.71</v>
      </c>
      <c r="R103" s="303">
        <v>1309.1700000000012</v>
      </c>
      <c r="S103" s="261">
        <f t="shared" si="5"/>
        <v>1531.8800000000012</v>
      </c>
      <c r="T103" s="270">
        <v>300</v>
      </c>
      <c r="U103" s="258">
        <v>300</v>
      </c>
      <c r="V103" s="259">
        <v>300</v>
      </c>
      <c r="W103" s="259">
        <v>300</v>
      </c>
      <c r="X103" s="259">
        <v>300</v>
      </c>
      <c r="Y103" s="259">
        <v>200</v>
      </c>
      <c r="Z103" s="259">
        <v>300</v>
      </c>
      <c r="AA103" s="259">
        <v>300</v>
      </c>
      <c r="AB103" s="259">
        <v>300</v>
      </c>
      <c r="AC103" s="259">
        <v>300</v>
      </c>
      <c r="AD103" s="259">
        <v>300</v>
      </c>
      <c r="AE103" s="268">
        <v>300</v>
      </c>
      <c r="AG103" s="270">
        <v>0</v>
      </c>
      <c r="AH103" s="258">
        <v>400</v>
      </c>
      <c r="AI103" s="259">
        <v>700</v>
      </c>
      <c r="AJ103" s="259">
        <v>1100</v>
      </c>
      <c r="AK103" s="259">
        <v>480</v>
      </c>
      <c r="AL103" s="259">
        <v>0</v>
      </c>
      <c r="AM103" s="259">
        <v>0</v>
      </c>
      <c r="AN103" s="259">
        <v>350</v>
      </c>
      <c r="AO103" s="259">
        <v>1000</v>
      </c>
      <c r="AP103" s="259">
        <v>60</v>
      </c>
      <c r="AQ103" s="259">
        <v>750</v>
      </c>
      <c r="AR103" s="268">
        <v>750</v>
      </c>
      <c r="AS103" s="269">
        <v>0.18918459899133327</v>
      </c>
      <c r="AT103" s="305">
        <v>60350.000000000007</v>
      </c>
      <c r="AU103" s="259">
        <v>60349.999999999985</v>
      </c>
      <c r="AV103" s="259">
        <v>56573.906962984234</v>
      </c>
      <c r="AW103" s="259">
        <v>56252.035033023676</v>
      </c>
      <c r="AX103" s="259">
        <v>56300.000000000022</v>
      </c>
      <c r="AY103" s="259">
        <v>0</v>
      </c>
      <c r="AZ103" s="259">
        <v>48000.000000000007</v>
      </c>
      <c r="BA103" s="259">
        <v>47999.999999999993</v>
      </c>
      <c r="BB103" s="259">
        <v>47999.999999999978</v>
      </c>
      <c r="BC103" s="259">
        <v>0</v>
      </c>
      <c r="BD103" s="259">
        <v>48950.000000000007</v>
      </c>
      <c r="BE103" s="268">
        <v>48949.999999999935</v>
      </c>
      <c r="BG103" s="305">
        <v>60349.999999999993</v>
      </c>
      <c r="BH103" s="259">
        <v>60349.999999999993</v>
      </c>
      <c r="BI103" s="259">
        <v>60349.999999999993</v>
      </c>
      <c r="BJ103" s="259">
        <v>62778.169313758153</v>
      </c>
      <c r="BK103" s="259">
        <v>62778.169313758153</v>
      </c>
      <c r="BL103" s="259">
        <v>62778.169313758161</v>
      </c>
      <c r="BM103" s="259">
        <v>62778.169313758153</v>
      </c>
      <c r="BN103" s="259">
        <v>62778.169313758153</v>
      </c>
      <c r="BO103" s="259">
        <v>62778.169313758153</v>
      </c>
      <c r="BP103" s="259">
        <v>62778.169313758153</v>
      </c>
      <c r="BQ103" s="259">
        <v>62778.169313758153</v>
      </c>
      <c r="BR103" s="268">
        <v>62778.169313758153</v>
      </c>
      <c r="BT103" s="389">
        <v>0</v>
      </c>
      <c r="BU103" s="307">
        <v>60350.000000000007</v>
      </c>
      <c r="BV103" s="307">
        <v>60349.999999999993</v>
      </c>
      <c r="BW103" s="307">
        <v>55699.999999999993</v>
      </c>
      <c r="BX103" s="307">
        <v>55700</v>
      </c>
      <c r="BY103" s="307">
        <v>0</v>
      </c>
      <c r="BZ103" s="307">
        <v>0</v>
      </c>
      <c r="CA103" s="307">
        <v>47999.999999999993</v>
      </c>
      <c r="CB103" s="307">
        <v>47999.999999999993</v>
      </c>
      <c r="CC103" s="307">
        <v>47999.999999999993</v>
      </c>
      <c r="CD103" s="307">
        <v>48000.000000000007</v>
      </c>
      <c r="CE103" s="308">
        <v>48000.000000000007</v>
      </c>
      <c r="CF103" s="212"/>
      <c r="CG103" s="312">
        <v>1.7162333000000001</v>
      </c>
      <c r="CH103" s="274">
        <v>4.3077226499999988</v>
      </c>
      <c r="CI103" s="278">
        <v>6.3106496000000014</v>
      </c>
      <c r="CJ103" s="274">
        <v>6.2429071</v>
      </c>
      <c r="CK103" s="274">
        <v>2.7355607000000002</v>
      </c>
      <c r="CL103" s="274">
        <v>0</v>
      </c>
      <c r="CM103" s="276">
        <v>0.42580800000000002</v>
      </c>
      <c r="CN103" s="276">
        <v>1.7056800000000001</v>
      </c>
      <c r="CO103" s="276">
        <v>7.207776</v>
      </c>
      <c r="CP103" s="276">
        <v>0</v>
      </c>
      <c r="CQ103" s="276">
        <v>1.0901654500000002</v>
      </c>
      <c r="CR103" s="313">
        <v>6.4083871499999967</v>
      </c>
      <c r="CS103" s="212"/>
      <c r="CT103" s="273">
        <v>1.8105</v>
      </c>
      <c r="CU103" s="278">
        <v>1.8105</v>
      </c>
      <c r="CV103" s="278">
        <v>1.8105</v>
      </c>
      <c r="CW103" s="278">
        <v>1.8833450794127446</v>
      </c>
      <c r="CX103" s="278">
        <v>1.8833450794127446</v>
      </c>
      <c r="CY103" s="278">
        <v>1.2555633862751632</v>
      </c>
      <c r="CZ103" s="278">
        <v>1.8833450794127446</v>
      </c>
      <c r="DA103" s="278">
        <v>1.8833450794127446</v>
      </c>
      <c r="DB103" s="278">
        <v>1.8833450794127446</v>
      </c>
      <c r="DC103" s="278">
        <v>1.8833450794127446</v>
      </c>
      <c r="DD103" s="278">
        <v>1.8833450794127446</v>
      </c>
      <c r="DE103" s="278">
        <v>1.8833450794127446</v>
      </c>
      <c r="DF103" s="390">
        <f t="shared" si="6"/>
        <v>5.6500352382382335</v>
      </c>
      <c r="DG103" s="273">
        <v>0</v>
      </c>
      <c r="DH103" s="309">
        <v>2.4140000000000001</v>
      </c>
      <c r="DI103" s="278">
        <v>4.2244999999999999</v>
      </c>
      <c r="DJ103" s="278">
        <v>6.1269999999999998</v>
      </c>
      <c r="DK103" s="278">
        <v>2.6736</v>
      </c>
      <c r="DL103" s="278">
        <v>0</v>
      </c>
      <c r="DM103" s="278">
        <v>0</v>
      </c>
      <c r="DN103" s="278">
        <v>1.68</v>
      </c>
      <c r="DO103" s="278">
        <v>4.8</v>
      </c>
      <c r="DP103" s="278">
        <v>0.28799999999999998</v>
      </c>
      <c r="DQ103" s="278">
        <v>3.6</v>
      </c>
      <c r="DR103" s="282">
        <v>3.6</v>
      </c>
      <c r="DS103" s="226"/>
      <c r="DT103" s="312">
        <v>4.1382736526429655E-16</v>
      </c>
      <c r="DU103" s="274">
        <v>-5.1935057854279872E-16</v>
      </c>
      <c r="DV103" s="274">
        <v>-0.42121184999999672</v>
      </c>
      <c r="DW103" s="274">
        <v>-0.724276908610193</v>
      </c>
      <c r="DX103" s="276">
        <v>-0.31476776878619378</v>
      </c>
      <c r="DY103" s="309">
        <v>0</v>
      </c>
      <c r="DZ103" s="276">
        <v>-0.13109713998234848</v>
      </c>
      <c r="EA103" s="276">
        <v>-0.52514224656439634</v>
      </c>
      <c r="EB103" s="276">
        <v>-2.2191194604925557</v>
      </c>
      <c r="EC103" s="276">
        <v>0</v>
      </c>
      <c r="ED103" s="276">
        <v>-0.30796715878670772</v>
      </c>
      <c r="EE103" s="313">
        <v>-1.8103424420492864</v>
      </c>
      <c r="EF103" s="212"/>
      <c r="EG103" s="491">
        <v>-9.4266700000000009E-2</v>
      </c>
      <c r="EH103" s="274">
        <v>2.4972226499999994</v>
      </c>
      <c r="EI103" s="274">
        <v>4.9213614499999982</v>
      </c>
      <c r="EJ103" s="274">
        <v>5.0838389291974488</v>
      </c>
      <c r="EK103" s="276">
        <v>1.1669833893734494</v>
      </c>
      <c r="EL103" s="309">
        <v>-1.2555633862751634</v>
      </c>
      <c r="EM103" s="276">
        <v>-1.3264399394303961</v>
      </c>
      <c r="EN103" s="276">
        <v>0.34747716715165183</v>
      </c>
      <c r="EO103" s="276">
        <v>7.543550381079811</v>
      </c>
      <c r="EP103" s="276">
        <v>-1.8833450794127446</v>
      </c>
      <c r="EQ103" s="276">
        <v>-0.48521247062603673</v>
      </c>
      <c r="ER103" s="313">
        <v>6.3353845126365389</v>
      </c>
      <c r="ES103" s="283"/>
      <c r="ET103" s="312">
        <v>1.7162333000000001</v>
      </c>
      <c r="EU103" s="274">
        <v>-1.5580517356283962E-15</v>
      </c>
      <c r="EV103" s="274">
        <v>-0.42121184999999672</v>
      </c>
      <c r="EW103" s="274">
        <v>6.1265400000001399E-2</v>
      </c>
      <c r="EX103" s="276">
        <v>2.9153400000001054E-2</v>
      </c>
      <c r="EY103" s="309">
        <v>0</v>
      </c>
      <c r="EZ103" s="276">
        <v>0.42580800000000002</v>
      </c>
      <c r="FA103" s="276">
        <v>0</v>
      </c>
      <c r="FB103" s="276">
        <v>-2.1851446945220238E-15</v>
      </c>
      <c r="FC103" s="276">
        <v>0</v>
      </c>
      <c r="FD103" s="276">
        <v>2.1157450000000001E-2</v>
      </c>
      <c r="FE103" s="313">
        <v>0.12437114999999059</v>
      </c>
      <c r="FF103" s="212"/>
      <c r="FG103" s="491">
        <v>0</v>
      </c>
      <c r="FH103" s="274">
        <v>1.89372265</v>
      </c>
      <c r="FI103" s="274">
        <v>2.5073614499999985</v>
      </c>
      <c r="FJ103" s="274">
        <v>5.4641699999999689E-2</v>
      </c>
      <c r="FK103" s="276">
        <v>3.280729999999929E-2</v>
      </c>
      <c r="FL103" s="309">
        <v>0</v>
      </c>
      <c r="FM103" s="276">
        <v>0</v>
      </c>
      <c r="FN103" s="276">
        <v>2.568000000000038E-2</v>
      </c>
      <c r="FO103" s="276">
        <v>2.4077760000000024</v>
      </c>
      <c r="FP103" s="276">
        <v>-0.28799999999999998</v>
      </c>
      <c r="FQ103" s="276">
        <v>-2.5309920000000004</v>
      </c>
      <c r="FR103" s="313">
        <v>2.6840160000000064</v>
      </c>
      <c r="FS103" s="283"/>
      <c r="FT103" s="492">
        <v>7186.9000000000015</v>
      </c>
      <c r="FU103" s="261">
        <v>3500</v>
      </c>
      <c r="FV103" s="261">
        <v>5590</v>
      </c>
      <c r="FW103" s="261">
        <v>3686.9000000000015</v>
      </c>
      <c r="FX103" s="493">
        <v>1.0534000000000003</v>
      </c>
      <c r="FY103" s="494">
        <v>38.15088995</v>
      </c>
      <c r="FZ103" s="495">
        <v>21.753824021577124</v>
      </c>
      <c r="GA103" s="496">
        <v>29.407100000000003</v>
      </c>
      <c r="GB103" s="497">
        <v>16.397065928422876</v>
      </c>
      <c r="GC103" s="275">
        <v>22.850990903694559</v>
      </c>
      <c r="GD103" s="275">
        <v>-6.4539249752716783</v>
      </c>
      <c r="GE103" s="275">
        <v>6.7870131000000047</v>
      </c>
      <c r="GF103" s="277">
        <v>1.9567768499999929</v>
      </c>
      <c r="GG103" s="214">
        <v>0</v>
      </c>
      <c r="GH103" s="286">
        <v>1309.1700000000012</v>
      </c>
      <c r="GI103" s="260">
        <v>300</v>
      </c>
      <c r="GJ103" s="260">
        <v>750</v>
      </c>
      <c r="GK103" s="260">
        <v>1009.1700000000012</v>
      </c>
      <c r="GL103" s="291">
        <v>3.3639000000000041</v>
      </c>
      <c r="GM103" s="275">
        <v>6.4083871499999967</v>
      </c>
      <c r="GN103" s="275">
        <v>1.8833450794127446</v>
      </c>
      <c r="GO103" s="275">
        <v>3.6</v>
      </c>
      <c r="GP103" s="275">
        <v>4.5250420705872525</v>
      </c>
      <c r="GQ103" s="275">
        <v>6.3353845126365389</v>
      </c>
      <c r="GR103" s="277">
        <v>-1.8103424420492864</v>
      </c>
      <c r="GS103" s="275">
        <v>2.6840160000000064</v>
      </c>
      <c r="GT103" s="284">
        <v>0.12437114999999059</v>
      </c>
      <c r="GU103" s="292">
        <v>2.648934475240035</v>
      </c>
      <c r="GV103" s="214">
        <v>0</v>
      </c>
      <c r="GW103" s="293">
        <v>3.6864908761691204</v>
      </c>
      <c r="GX103" s="294"/>
      <c r="GY103" s="293">
        <v>8.7437899499999965</v>
      </c>
      <c r="GZ103" s="293">
        <v>0</v>
      </c>
      <c r="HA103" s="293">
        <v>2.8083871499999966</v>
      </c>
      <c r="HB103" s="293">
        <v>0.12437114999999022</v>
      </c>
      <c r="HC103" s="295">
        <v>3.7594526747599626</v>
      </c>
    </row>
    <row r="104" spans="1:211" ht="12.75" customHeight="1">
      <c r="B104" s="328" t="s">
        <v>315</v>
      </c>
      <c r="C104" s="297" t="s">
        <v>312</v>
      </c>
      <c r="D104" s="299" t="s">
        <v>313</v>
      </c>
      <c r="E104" s="299" t="s">
        <v>316</v>
      </c>
      <c r="F104" s="382"/>
      <c r="G104" s="301">
        <v>1503.1000000000008</v>
      </c>
      <c r="H104" s="301">
        <v>700.00000000000011</v>
      </c>
      <c r="I104" s="258">
        <v>192.49</v>
      </c>
      <c r="J104" s="302">
        <v>397.79999999999995</v>
      </c>
      <c r="K104" s="302">
        <v>514.4100000000002</v>
      </c>
      <c r="L104" s="261">
        <v>0</v>
      </c>
      <c r="M104" s="261">
        <v>0</v>
      </c>
      <c r="N104" s="261">
        <v>0</v>
      </c>
      <c r="O104" s="261">
        <v>29.39</v>
      </c>
      <c r="P104" s="261">
        <v>1035.2599999999998</v>
      </c>
      <c r="Q104" s="208">
        <v>1192.25</v>
      </c>
      <c r="R104" s="303">
        <v>455.5</v>
      </c>
      <c r="S104" s="261">
        <f t="shared" si="5"/>
        <v>2683.0099999999998</v>
      </c>
      <c r="T104" s="270">
        <v>1100</v>
      </c>
      <c r="U104" s="267">
        <v>1100</v>
      </c>
      <c r="V104" s="259">
        <v>1100</v>
      </c>
      <c r="W104" s="259">
        <v>500</v>
      </c>
      <c r="X104" s="259">
        <v>1000</v>
      </c>
      <c r="Y104" s="259">
        <v>1000</v>
      </c>
      <c r="Z104" s="259">
        <v>1000</v>
      </c>
      <c r="AA104" s="259">
        <v>500</v>
      </c>
      <c r="AB104" s="259">
        <v>1000</v>
      </c>
      <c r="AC104" s="259">
        <v>1000</v>
      </c>
      <c r="AD104" s="259">
        <v>1200</v>
      </c>
      <c r="AE104" s="268">
        <v>1000</v>
      </c>
      <c r="AG104" s="270">
        <v>0</v>
      </c>
      <c r="AH104" s="267">
        <v>700</v>
      </c>
      <c r="AI104" s="259">
        <v>700</v>
      </c>
      <c r="AJ104" s="259">
        <v>400</v>
      </c>
      <c r="AK104" s="259">
        <v>510</v>
      </c>
      <c r="AL104" s="259">
        <v>0</v>
      </c>
      <c r="AM104" s="259">
        <v>0</v>
      </c>
      <c r="AN104" s="259">
        <v>0</v>
      </c>
      <c r="AO104" s="259">
        <v>500</v>
      </c>
      <c r="AP104" s="259">
        <v>971</v>
      </c>
      <c r="AQ104" s="259">
        <v>1250</v>
      </c>
      <c r="AR104" s="268">
        <v>1250</v>
      </c>
      <c r="AS104" s="269">
        <v>0.31530766498555546</v>
      </c>
      <c r="AT104" s="305">
        <v>61099.99999999992</v>
      </c>
      <c r="AU104" s="259">
        <v>61099.999999999985</v>
      </c>
      <c r="AV104" s="259">
        <v>61100</v>
      </c>
      <c r="AW104" s="259">
        <v>61100.000000000015</v>
      </c>
      <c r="AX104" s="259">
        <v>61099.999999999971</v>
      </c>
      <c r="AY104" s="259">
        <v>0</v>
      </c>
      <c r="AZ104" s="259">
        <v>0</v>
      </c>
      <c r="BA104" s="259">
        <v>0</v>
      </c>
      <c r="BB104" s="259">
        <v>48700</v>
      </c>
      <c r="BC104" s="259">
        <v>48759.829897803465</v>
      </c>
      <c r="BD104" s="259">
        <v>49749.999999999985</v>
      </c>
      <c r="BE104" s="268">
        <v>49749.999999999993</v>
      </c>
      <c r="BG104" s="305">
        <v>61100</v>
      </c>
      <c r="BH104" s="259">
        <v>61100</v>
      </c>
      <c r="BI104" s="259">
        <v>61100</v>
      </c>
      <c r="BJ104" s="259">
        <v>63286.723449419558</v>
      </c>
      <c r="BK104" s="259">
        <v>63286.723449419558</v>
      </c>
      <c r="BL104" s="259">
        <v>63286.723449419558</v>
      </c>
      <c r="BM104" s="259">
        <v>63286.723449419558</v>
      </c>
      <c r="BN104" s="259">
        <v>63286.723449419558</v>
      </c>
      <c r="BO104" s="259">
        <v>63286.723449419558</v>
      </c>
      <c r="BP104" s="259">
        <v>63286.723449419558</v>
      </c>
      <c r="BQ104" s="259">
        <v>63286.723449419565</v>
      </c>
      <c r="BR104" s="268">
        <v>63286.723449419558</v>
      </c>
      <c r="BT104" s="389">
        <v>0</v>
      </c>
      <c r="BU104" s="307">
        <v>61100</v>
      </c>
      <c r="BV104" s="307">
        <v>61100</v>
      </c>
      <c r="BW104" s="307">
        <v>61100</v>
      </c>
      <c r="BX104" s="307">
        <v>61100</v>
      </c>
      <c r="BY104" s="307">
        <v>0</v>
      </c>
      <c r="BZ104" s="307">
        <v>0</v>
      </c>
      <c r="CA104" s="307">
        <v>0</v>
      </c>
      <c r="CB104" s="307">
        <v>48700</v>
      </c>
      <c r="CC104" s="307">
        <v>48700</v>
      </c>
      <c r="CD104" s="307">
        <v>48700</v>
      </c>
      <c r="CE104" s="308">
        <v>48700</v>
      </c>
      <c r="CF104" s="212"/>
      <c r="CG104" s="312">
        <v>9.1839409999999937</v>
      </c>
      <c r="CH104" s="274">
        <v>4.2769999999999992</v>
      </c>
      <c r="CI104" s="274">
        <v>1.1761139</v>
      </c>
      <c r="CJ104" s="274">
        <v>2.4305580000000004</v>
      </c>
      <c r="CK104" s="274">
        <v>3.1430450999999997</v>
      </c>
      <c r="CL104" s="309">
        <v>0</v>
      </c>
      <c r="CM104" s="276">
        <v>0</v>
      </c>
      <c r="CN104" s="276">
        <v>0</v>
      </c>
      <c r="CO104" s="276">
        <v>0.14312930000000001</v>
      </c>
      <c r="CP104" s="276">
        <v>5.0479101499999999</v>
      </c>
      <c r="CQ104" s="276">
        <v>5.9314437499999979</v>
      </c>
      <c r="CR104" s="313">
        <v>2.2661124999999998</v>
      </c>
      <c r="CS104" s="212"/>
      <c r="CT104" s="273">
        <v>6.7210000000000001</v>
      </c>
      <c r="CU104" s="278">
        <v>6.7210000000000001</v>
      </c>
      <c r="CV104" s="278">
        <v>6.7210000000000001</v>
      </c>
      <c r="CW104" s="278">
        <v>3.164336172470978</v>
      </c>
      <c r="CX104" s="278">
        <v>6.328672344941956</v>
      </c>
      <c r="CY104" s="278">
        <v>6.328672344941956</v>
      </c>
      <c r="CZ104" s="278">
        <v>6.328672344941956</v>
      </c>
      <c r="DA104" s="278">
        <v>3.164336172470978</v>
      </c>
      <c r="DB104" s="278">
        <v>6.328672344941956</v>
      </c>
      <c r="DC104" s="278">
        <v>6.328672344941956</v>
      </c>
      <c r="DD104" s="278">
        <v>7.5944068139303473</v>
      </c>
      <c r="DE104" s="278">
        <v>6.328672344941956</v>
      </c>
      <c r="DF104" s="390">
        <f t="shared" si="6"/>
        <v>20.251751503814258</v>
      </c>
      <c r="DG104" s="273">
        <v>0</v>
      </c>
      <c r="DH104" s="281">
        <v>4.2770000000000001</v>
      </c>
      <c r="DI104" s="278">
        <v>4.2770000000000001</v>
      </c>
      <c r="DJ104" s="278">
        <v>2.444</v>
      </c>
      <c r="DK104" s="278">
        <v>3.1160999999999999</v>
      </c>
      <c r="DL104" s="278">
        <v>0</v>
      </c>
      <c r="DM104" s="278">
        <v>0</v>
      </c>
      <c r="DN104" s="278">
        <v>0</v>
      </c>
      <c r="DO104" s="278">
        <v>2.4350000000000001</v>
      </c>
      <c r="DP104" s="278">
        <v>4.7287699999999999</v>
      </c>
      <c r="DQ104" s="278">
        <v>6.0875000000000004</v>
      </c>
      <c r="DR104" s="282">
        <v>6.0875000000000004</v>
      </c>
      <c r="DS104" s="226"/>
      <c r="DT104" s="312">
        <v>-1.2030141078867025E-14</v>
      </c>
      <c r="DU104" s="274">
        <v>-1.0186340659856797E-15</v>
      </c>
      <c r="DV104" s="274">
        <v>0</v>
      </c>
      <c r="DW104" s="274">
        <v>-8.6987858817909436E-2</v>
      </c>
      <c r="DX104" s="276">
        <v>-0.11248724096159304</v>
      </c>
      <c r="DY104" s="309">
        <v>0</v>
      </c>
      <c r="DZ104" s="276">
        <v>0</v>
      </c>
      <c r="EA104" s="276">
        <v>0</v>
      </c>
      <c r="EB104" s="276">
        <v>-4.2870380217844083E-2</v>
      </c>
      <c r="EC104" s="276">
        <v>-1.5039111818246071</v>
      </c>
      <c r="ED104" s="276">
        <v>-1.6139158532570494</v>
      </c>
      <c r="EE104" s="313">
        <v>-0.61659775312106124</v>
      </c>
      <c r="EF104" s="212"/>
      <c r="EG104" s="312">
        <v>2.4629410000000047</v>
      </c>
      <c r="EH104" s="274">
        <v>-2.4439999999999991</v>
      </c>
      <c r="EI104" s="274">
        <v>-5.5448861000000003</v>
      </c>
      <c r="EJ104" s="274">
        <v>-0.64679031365306816</v>
      </c>
      <c r="EK104" s="276">
        <v>-3.0731400039803631</v>
      </c>
      <c r="EL104" s="309">
        <v>-6.328672344941956</v>
      </c>
      <c r="EM104" s="276">
        <v>-6.328672344941956</v>
      </c>
      <c r="EN104" s="276">
        <v>-3.164336172470978</v>
      </c>
      <c r="EO104" s="276">
        <v>-6.1426726647241114</v>
      </c>
      <c r="EP104" s="276">
        <v>0.22314898688265189</v>
      </c>
      <c r="EQ104" s="276">
        <v>-4.9047210673300166E-2</v>
      </c>
      <c r="ER104" s="313">
        <v>-3.4459620918208951</v>
      </c>
      <c r="ES104" s="283"/>
      <c r="ET104" s="312">
        <v>9.1839409999999919</v>
      </c>
      <c r="EU104" s="274">
        <v>-1.0186340659856797E-15</v>
      </c>
      <c r="EV104" s="274">
        <v>0</v>
      </c>
      <c r="EW104" s="274">
        <v>5.788751877844333E-16</v>
      </c>
      <c r="EX104" s="276">
        <v>-1.497130142524839E-15</v>
      </c>
      <c r="EY104" s="309">
        <v>0</v>
      </c>
      <c r="EZ104" s="276">
        <v>0</v>
      </c>
      <c r="FA104" s="276">
        <v>0</v>
      </c>
      <c r="FB104" s="276">
        <v>0</v>
      </c>
      <c r="FC104" s="276">
        <v>6.1939500000015605E-3</v>
      </c>
      <c r="FD104" s="276">
        <v>0.12518624999999825</v>
      </c>
      <c r="FE104" s="313">
        <v>4.7827499999999669E-2</v>
      </c>
      <c r="FF104" s="212"/>
      <c r="FG104" s="312">
        <v>0</v>
      </c>
      <c r="FH104" s="274">
        <v>6.9462657847907394E-16</v>
      </c>
      <c r="FI104" s="274">
        <v>-3.1008860999999999</v>
      </c>
      <c r="FJ104" s="274">
        <v>-1.3442000000000277E-2</v>
      </c>
      <c r="FK104" s="276">
        <v>2.6945100000001193E-2</v>
      </c>
      <c r="FL104" s="309">
        <v>0</v>
      </c>
      <c r="FM104" s="276">
        <v>0</v>
      </c>
      <c r="FN104" s="276">
        <v>0</v>
      </c>
      <c r="FO104" s="276">
        <v>-2.2918707</v>
      </c>
      <c r="FP104" s="276">
        <v>0.31294619999999884</v>
      </c>
      <c r="FQ104" s="276">
        <v>-0.28124250000000001</v>
      </c>
      <c r="FR104" s="313">
        <v>-3.8692150000000001</v>
      </c>
      <c r="FS104" s="283"/>
      <c r="FT104" s="286">
        <v>6020.2000000000007</v>
      </c>
      <c r="FU104" s="260">
        <v>11500</v>
      </c>
      <c r="FV104" s="260">
        <v>6281</v>
      </c>
      <c r="FW104" s="260">
        <v>-5479.7999999999993</v>
      </c>
      <c r="FX104" s="498">
        <v>-0.47650434782608692</v>
      </c>
      <c r="FY104" s="327">
        <v>33.599253699999991</v>
      </c>
      <c r="FZ104" s="275">
        <v>72.058113228524036</v>
      </c>
      <c r="GA104" s="275">
        <v>33.452869999999997</v>
      </c>
      <c r="GB104" s="275">
        <v>-38.458859528524044</v>
      </c>
      <c r="GC104" s="275">
        <v>-34.482089260323967</v>
      </c>
      <c r="GD104" s="275">
        <v>-3.9767702682000774</v>
      </c>
      <c r="GE104" s="275">
        <v>-9.2167649999999988</v>
      </c>
      <c r="GF104" s="277">
        <v>9.3631486999999893</v>
      </c>
      <c r="GG104" s="214">
        <v>0</v>
      </c>
      <c r="GH104" s="286">
        <v>455.5</v>
      </c>
      <c r="GI104" s="260">
        <v>1000</v>
      </c>
      <c r="GJ104" s="260">
        <v>1250</v>
      </c>
      <c r="GK104" s="260">
        <v>-544.5</v>
      </c>
      <c r="GL104" s="291">
        <v>-0.54449999999999998</v>
      </c>
      <c r="GM104" s="275">
        <v>2.2661124999999998</v>
      </c>
      <c r="GN104" s="275">
        <v>6.328672344941956</v>
      </c>
      <c r="GO104" s="275">
        <v>6.0875000000000004</v>
      </c>
      <c r="GP104" s="275">
        <v>-4.0625598449419567</v>
      </c>
      <c r="GQ104" s="275">
        <v>-3.4459620918208951</v>
      </c>
      <c r="GR104" s="277">
        <v>-0.61659775312106124</v>
      </c>
      <c r="GS104" s="275">
        <v>-3.8692150000000001</v>
      </c>
      <c r="GT104" s="284">
        <v>4.7827499999999669E-2</v>
      </c>
      <c r="GU104" s="292">
        <v>-4.1020444822713094</v>
      </c>
      <c r="GV104" s="214">
        <v>0</v>
      </c>
      <c r="GW104" s="293">
        <v>6.2337536690776441</v>
      </c>
      <c r="GX104" s="294"/>
      <c r="GY104" s="293">
        <v>0.14638369999999412</v>
      </c>
      <c r="GZ104" s="293">
        <v>-3.5527136788005009E-15</v>
      </c>
      <c r="HA104" s="293">
        <v>-3.8213875000000006</v>
      </c>
      <c r="HB104" s="293">
        <v>4.7827499999999468E-2</v>
      </c>
      <c r="HC104" s="295">
        <v>6.3681569822713087</v>
      </c>
    </row>
    <row r="105" spans="1:211" ht="12.75" customHeight="1">
      <c r="B105" s="328" t="s">
        <v>317</v>
      </c>
      <c r="C105" s="297" t="s">
        <v>312</v>
      </c>
      <c r="D105" s="299" t="s">
        <v>317</v>
      </c>
      <c r="E105" s="299" t="s">
        <v>318</v>
      </c>
      <c r="F105" s="382"/>
      <c r="G105" s="386">
        <v>0</v>
      </c>
      <c r="H105" s="386">
        <v>0</v>
      </c>
      <c r="I105" s="334">
        <v>0</v>
      </c>
      <c r="J105" s="302">
        <v>0</v>
      </c>
      <c r="K105" s="336">
        <v>0</v>
      </c>
      <c r="L105" s="332">
        <v>0</v>
      </c>
      <c r="M105" s="332">
        <v>0</v>
      </c>
      <c r="N105" s="332">
        <v>0</v>
      </c>
      <c r="O105" s="332">
        <v>0</v>
      </c>
      <c r="P105" s="332">
        <v>0</v>
      </c>
      <c r="Q105" s="208">
        <v>0</v>
      </c>
      <c r="R105" s="387">
        <v>0</v>
      </c>
      <c r="S105" s="261">
        <f t="shared" si="5"/>
        <v>0</v>
      </c>
      <c r="T105" s="270">
        <v>0</v>
      </c>
      <c r="U105" s="267">
        <v>0</v>
      </c>
      <c r="V105" s="259">
        <v>0</v>
      </c>
      <c r="W105" s="259">
        <v>0</v>
      </c>
      <c r="X105" s="259">
        <v>0</v>
      </c>
      <c r="Y105" s="259">
        <v>0</v>
      </c>
      <c r="Z105" s="259">
        <v>0</v>
      </c>
      <c r="AA105" s="259">
        <v>0</v>
      </c>
      <c r="AB105" s="259">
        <v>0</v>
      </c>
      <c r="AC105" s="259">
        <v>0</v>
      </c>
      <c r="AD105" s="259">
        <v>0</v>
      </c>
      <c r="AE105" s="259">
        <v>0</v>
      </c>
      <c r="AG105" s="270">
        <v>0</v>
      </c>
      <c r="AH105" s="267">
        <v>0</v>
      </c>
      <c r="AI105" s="259">
        <v>0</v>
      </c>
      <c r="AJ105" s="259">
        <v>0</v>
      </c>
      <c r="AK105" s="259">
        <v>0</v>
      </c>
      <c r="AL105" s="259">
        <v>0</v>
      </c>
      <c r="AM105" s="259">
        <v>0</v>
      </c>
      <c r="AN105" s="259">
        <v>0</v>
      </c>
      <c r="AO105" s="259">
        <v>0</v>
      </c>
      <c r="AP105" s="259">
        <v>0</v>
      </c>
      <c r="AQ105" s="259">
        <v>0</v>
      </c>
      <c r="AR105" s="268">
        <v>0</v>
      </c>
      <c r="AS105" s="269">
        <v>0</v>
      </c>
      <c r="AT105" s="351"/>
      <c r="AU105" s="259"/>
      <c r="AV105" s="259"/>
      <c r="AW105" s="259"/>
      <c r="AX105" s="259"/>
      <c r="AY105" s="259"/>
      <c r="AZ105" s="259"/>
      <c r="BA105" s="259"/>
      <c r="BB105" s="259"/>
      <c r="BC105" s="259">
        <v>0</v>
      </c>
      <c r="BD105" s="259"/>
      <c r="BE105" s="268"/>
      <c r="BG105" s="305">
        <v>0</v>
      </c>
      <c r="BH105" s="259">
        <v>0</v>
      </c>
      <c r="BI105" s="259">
        <v>0</v>
      </c>
      <c r="BJ105" s="259">
        <v>0</v>
      </c>
      <c r="BK105" s="259">
        <v>0</v>
      </c>
      <c r="BL105" s="259">
        <v>0</v>
      </c>
      <c r="BM105" s="259">
        <v>0</v>
      </c>
      <c r="BN105" s="259">
        <v>0</v>
      </c>
      <c r="BO105" s="259">
        <v>0</v>
      </c>
      <c r="BP105" s="259">
        <v>0</v>
      </c>
      <c r="BQ105" s="259">
        <v>0</v>
      </c>
      <c r="BR105" s="268">
        <v>0</v>
      </c>
      <c r="BT105" s="389">
        <v>0</v>
      </c>
      <c r="BU105" s="307">
        <v>0</v>
      </c>
      <c r="BV105" s="307">
        <v>0</v>
      </c>
      <c r="BW105" s="307">
        <v>0</v>
      </c>
      <c r="BX105" s="307">
        <v>0</v>
      </c>
      <c r="BY105" s="307"/>
      <c r="BZ105" s="307"/>
      <c r="CA105" s="307"/>
      <c r="CB105" s="307"/>
      <c r="CC105" s="307">
        <v>0</v>
      </c>
      <c r="CD105" s="307">
        <v>0</v>
      </c>
      <c r="CE105" s="308">
        <v>0</v>
      </c>
      <c r="CF105" s="212"/>
      <c r="CG105" s="315">
        <v>0</v>
      </c>
      <c r="CH105" s="329">
        <v>0</v>
      </c>
      <c r="CI105" s="329">
        <v>0</v>
      </c>
      <c r="CJ105" s="329">
        <v>0</v>
      </c>
      <c r="CK105" s="329">
        <v>0</v>
      </c>
      <c r="CL105" s="341">
        <v>0</v>
      </c>
      <c r="CM105" s="338">
        <v>0</v>
      </c>
      <c r="CN105" s="338">
        <v>0</v>
      </c>
      <c r="CO105" s="338">
        <v>0</v>
      </c>
      <c r="CP105" s="338">
        <v>0</v>
      </c>
      <c r="CQ105" s="338">
        <v>0</v>
      </c>
      <c r="CR105" s="339">
        <v>0</v>
      </c>
      <c r="CS105" s="212"/>
      <c r="CT105" s="273">
        <v>0</v>
      </c>
      <c r="CU105" s="278">
        <v>0</v>
      </c>
      <c r="CV105" s="278">
        <v>0</v>
      </c>
      <c r="CW105" s="278">
        <v>0</v>
      </c>
      <c r="CX105" s="278">
        <v>0</v>
      </c>
      <c r="CY105" s="278">
        <v>0</v>
      </c>
      <c r="CZ105" s="278">
        <v>0</v>
      </c>
      <c r="DA105" s="278">
        <v>0</v>
      </c>
      <c r="DB105" s="278">
        <v>0</v>
      </c>
      <c r="DC105" s="278">
        <v>0</v>
      </c>
      <c r="DD105" s="278">
        <v>0</v>
      </c>
      <c r="DE105" s="278">
        <v>0</v>
      </c>
      <c r="DF105" s="390">
        <f t="shared" si="6"/>
        <v>0</v>
      </c>
      <c r="DG105" s="273">
        <v>0</v>
      </c>
      <c r="DH105" s="281">
        <v>0</v>
      </c>
      <c r="DI105" s="278">
        <v>0</v>
      </c>
      <c r="DJ105" s="278">
        <v>0</v>
      </c>
      <c r="DK105" s="278">
        <v>0</v>
      </c>
      <c r="DL105" s="278">
        <v>0</v>
      </c>
      <c r="DM105" s="278">
        <v>0</v>
      </c>
      <c r="DN105" s="278">
        <v>0</v>
      </c>
      <c r="DO105" s="278">
        <v>0</v>
      </c>
      <c r="DP105" s="278">
        <v>0</v>
      </c>
      <c r="DQ105" s="278">
        <v>0</v>
      </c>
      <c r="DR105" s="282">
        <v>0</v>
      </c>
      <c r="DS105" s="226"/>
      <c r="DT105" s="312">
        <v>0</v>
      </c>
      <c r="DU105" s="274">
        <v>0</v>
      </c>
      <c r="DV105" s="274">
        <v>0</v>
      </c>
      <c r="DW105" s="274">
        <v>0</v>
      </c>
      <c r="DX105" s="276">
        <v>0</v>
      </c>
      <c r="DY105" s="309">
        <v>0</v>
      </c>
      <c r="DZ105" s="276">
        <v>0</v>
      </c>
      <c r="EA105" s="276">
        <v>0</v>
      </c>
      <c r="EB105" s="276">
        <v>0</v>
      </c>
      <c r="EC105" s="276">
        <v>0</v>
      </c>
      <c r="ED105" s="276">
        <v>0</v>
      </c>
      <c r="EE105" s="313">
        <v>0</v>
      </c>
      <c r="EF105" s="212"/>
      <c r="EG105" s="312">
        <v>0</v>
      </c>
      <c r="EH105" s="274">
        <v>0</v>
      </c>
      <c r="EI105" s="274">
        <v>0</v>
      </c>
      <c r="EJ105" s="274">
        <v>0</v>
      </c>
      <c r="EK105" s="276">
        <v>0</v>
      </c>
      <c r="EL105" s="309">
        <v>0</v>
      </c>
      <c r="EM105" s="276">
        <v>0</v>
      </c>
      <c r="EN105" s="276">
        <v>0</v>
      </c>
      <c r="EO105" s="276">
        <v>0</v>
      </c>
      <c r="EP105" s="276">
        <v>0</v>
      </c>
      <c r="EQ105" s="276">
        <v>0</v>
      </c>
      <c r="ER105" s="313">
        <v>0</v>
      </c>
      <c r="ES105" s="283"/>
      <c r="ET105" s="312">
        <v>0</v>
      </c>
      <c r="EU105" s="274">
        <v>0</v>
      </c>
      <c r="EV105" s="274">
        <v>0</v>
      </c>
      <c r="EW105" s="274">
        <v>0</v>
      </c>
      <c r="EX105" s="276">
        <v>0</v>
      </c>
      <c r="EY105" s="309">
        <v>0</v>
      </c>
      <c r="EZ105" s="276">
        <v>0</v>
      </c>
      <c r="FA105" s="276">
        <v>0</v>
      </c>
      <c r="FB105" s="276">
        <v>0</v>
      </c>
      <c r="FC105" s="276">
        <v>0</v>
      </c>
      <c r="FD105" s="276">
        <v>0</v>
      </c>
      <c r="FE105" s="313">
        <v>0</v>
      </c>
      <c r="FF105" s="212"/>
      <c r="FG105" s="312">
        <v>0</v>
      </c>
      <c r="FH105" s="274">
        <v>0</v>
      </c>
      <c r="FI105" s="274">
        <v>0</v>
      </c>
      <c r="FJ105" s="274">
        <v>0</v>
      </c>
      <c r="FK105" s="276">
        <v>0</v>
      </c>
      <c r="FL105" s="309"/>
      <c r="FM105" s="276"/>
      <c r="FN105" s="276"/>
      <c r="FO105" s="276"/>
      <c r="FP105" s="276"/>
      <c r="FQ105" s="276"/>
      <c r="FR105" s="313"/>
      <c r="FS105" s="283"/>
      <c r="FT105" s="286">
        <v>0</v>
      </c>
      <c r="FU105" s="260">
        <v>0</v>
      </c>
      <c r="FV105" s="260">
        <v>0</v>
      </c>
      <c r="FW105" s="260">
        <v>0</v>
      </c>
      <c r="FX105" s="498">
        <v>0</v>
      </c>
      <c r="FY105" s="327">
        <v>0</v>
      </c>
      <c r="FZ105" s="275">
        <v>0</v>
      </c>
      <c r="GA105" s="275">
        <v>0</v>
      </c>
      <c r="GB105" s="275">
        <v>0</v>
      </c>
      <c r="GC105" s="275">
        <v>0</v>
      </c>
      <c r="GD105" s="275">
        <v>0</v>
      </c>
      <c r="GE105" s="275">
        <v>0</v>
      </c>
      <c r="GF105" s="277">
        <v>0</v>
      </c>
      <c r="GG105" s="214">
        <v>0</v>
      </c>
      <c r="GH105" s="286">
        <v>0</v>
      </c>
      <c r="GI105" s="260">
        <v>0</v>
      </c>
      <c r="GJ105" s="260">
        <v>0</v>
      </c>
      <c r="GK105" s="260">
        <v>0</v>
      </c>
      <c r="GL105" s="291">
        <v>0</v>
      </c>
      <c r="GM105" s="275">
        <v>0</v>
      </c>
      <c r="GN105" s="275">
        <v>0</v>
      </c>
      <c r="GO105" s="275">
        <v>0</v>
      </c>
      <c r="GP105" s="275">
        <v>0</v>
      </c>
      <c r="GQ105" s="275">
        <v>0</v>
      </c>
      <c r="GR105" s="277">
        <v>0</v>
      </c>
      <c r="GS105" s="275">
        <v>0</v>
      </c>
      <c r="GT105" s="284">
        <v>0</v>
      </c>
      <c r="GU105" s="292">
        <v>0</v>
      </c>
      <c r="GV105" s="214">
        <v>0</v>
      </c>
      <c r="GW105" s="293">
        <v>0</v>
      </c>
      <c r="GX105" s="294"/>
      <c r="GY105" s="293">
        <v>0</v>
      </c>
      <c r="GZ105" s="293">
        <v>0</v>
      </c>
      <c r="HA105" s="293">
        <v>0</v>
      </c>
      <c r="HB105" s="293">
        <v>0</v>
      </c>
      <c r="HC105" s="295">
        <v>0</v>
      </c>
    </row>
    <row r="106" spans="1:211" ht="13.5" customHeight="1">
      <c r="B106" s="328" t="s">
        <v>319</v>
      </c>
      <c r="C106" s="297" t="s">
        <v>312</v>
      </c>
      <c r="D106" s="299" t="s">
        <v>49</v>
      </c>
      <c r="E106" s="299" t="s">
        <v>320</v>
      </c>
      <c r="F106" s="382"/>
      <c r="G106" s="386">
        <v>0</v>
      </c>
      <c r="H106" s="386">
        <v>100</v>
      </c>
      <c r="I106" s="334">
        <v>0</v>
      </c>
      <c r="J106" s="302">
        <v>0</v>
      </c>
      <c r="K106" s="336">
        <v>0</v>
      </c>
      <c r="L106" s="332">
        <v>0</v>
      </c>
      <c r="M106" s="332">
        <v>0</v>
      </c>
      <c r="N106" s="332">
        <v>0</v>
      </c>
      <c r="O106" s="332">
        <v>0.2</v>
      </c>
      <c r="P106" s="332">
        <v>0</v>
      </c>
      <c r="Q106" s="332">
        <v>0</v>
      </c>
      <c r="R106" s="387">
        <v>0</v>
      </c>
      <c r="S106" s="261">
        <f t="shared" si="5"/>
        <v>0</v>
      </c>
      <c r="T106" s="270">
        <v>0</v>
      </c>
      <c r="U106" s="267">
        <v>100</v>
      </c>
      <c r="V106" s="259">
        <v>0</v>
      </c>
      <c r="W106" s="259">
        <v>0</v>
      </c>
      <c r="X106" s="259">
        <v>0</v>
      </c>
      <c r="Y106" s="259">
        <v>0</v>
      </c>
      <c r="Z106" s="259">
        <v>0</v>
      </c>
      <c r="AA106" s="259">
        <v>0</v>
      </c>
      <c r="AB106" s="259">
        <v>0</v>
      </c>
      <c r="AC106" s="259">
        <v>0</v>
      </c>
      <c r="AD106" s="259">
        <v>0</v>
      </c>
      <c r="AE106" s="268">
        <v>0</v>
      </c>
      <c r="AG106" s="270">
        <v>0</v>
      </c>
      <c r="AH106" s="267">
        <v>100</v>
      </c>
      <c r="AI106" s="259">
        <v>0</v>
      </c>
      <c r="AJ106" s="259">
        <v>0</v>
      </c>
      <c r="AK106" s="259">
        <v>0</v>
      </c>
      <c r="AL106" s="259">
        <v>0</v>
      </c>
      <c r="AM106" s="259">
        <v>0</v>
      </c>
      <c r="AN106" s="259">
        <v>0</v>
      </c>
      <c r="AO106" s="259">
        <v>0</v>
      </c>
      <c r="AP106" s="259">
        <v>0</v>
      </c>
      <c r="AQ106" s="259">
        <v>0</v>
      </c>
      <c r="AR106" s="268">
        <v>0</v>
      </c>
      <c r="AS106" s="269">
        <v>0</v>
      </c>
      <c r="AT106" s="351">
        <v>0</v>
      </c>
      <c r="AU106" s="259">
        <v>87000.000000000015</v>
      </c>
      <c r="AV106" s="259">
        <v>0</v>
      </c>
      <c r="AW106" s="259">
        <v>0</v>
      </c>
      <c r="AX106" s="259">
        <v>0</v>
      </c>
      <c r="AY106" s="259">
        <v>0</v>
      </c>
      <c r="AZ106" s="259">
        <v>0</v>
      </c>
      <c r="BA106" s="259">
        <v>0</v>
      </c>
      <c r="BB106" s="259">
        <v>78999.999999999985</v>
      </c>
      <c r="BC106" s="259">
        <v>0</v>
      </c>
      <c r="BD106" s="259">
        <v>0</v>
      </c>
      <c r="BE106" s="268">
        <v>0</v>
      </c>
      <c r="BG106" s="351">
        <v>0</v>
      </c>
      <c r="BH106" s="259">
        <v>87000</v>
      </c>
      <c r="BI106" s="259">
        <v>0</v>
      </c>
      <c r="BJ106" s="259">
        <v>0</v>
      </c>
      <c r="BK106" s="259">
        <v>0</v>
      </c>
      <c r="BL106" s="259">
        <v>0</v>
      </c>
      <c r="BM106" s="259">
        <v>0</v>
      </c>
      <c r="BN106" s="259">
        <v>0</v>
      </c>
      <c r="BO106" s="259">
        <v>78999.999999999985</v>
      </c>
      <c r="BP106" s="259">
        <v>0</v>
      </c>
      <c r="BQ106" s="259">
        <v>0</v>
      </c>
      <c r="BR106" s="268">
        <v>0</v>
      </c>
      <c r="BT106" s="389">
        <v>0</v>
      </c>
      <c r="BU106" s="307">
        <v>87000</v>
      </c>
      <c r="BV106" s="307">
        <v>0</v>
      </c>
      <c r="BW106" s="307">
        <v>0</v>
      </c>
      <c r="BX106" s="307">
        <v>0</v>
      </c>
      <c r="BY106" s="307">
        <v>0</v>
      </c>
      <c r="BZ106" s="307">
        <v>0</v>
      </c>
      <c r="CA106" s="307">
        <v>0</v>
      </c>
      <c r="CB106" s="307">
        <v>0</v>
      </c>
      <c r="CC106" s="307">
        <v>0</v>
      </c>
      <c r="CD106" s="307">
        <v>0</v>
      </c>
      <c r="CE106" s="308">
        <v>0</v>
      </c>
      <c r="CF106" s="212"/>
      <c r="CG106" s="315">
        <v>0</v>
      </c>
      <c r="CH106" s="329">
        <v>0.87000000000000011</v>
      </c>
      <c r="CI106" s="329">
        <v>0</v>
      </c>
      <c r="CJ106" s="329">
        <v>0</v>
      </c>
      <c r="CK106" s="329">
        <v>0</v>
      </c>
      <c r="CL106" s="341">
        <v>0</v>
      </c>
      <c r="CM106" s="338">
        <v>0</v>
      </c>
      <c r="CN106" s="338">
        <v>0</v>
      </c>
      <c r="CO106" s="338">
        <v>1.58E-3</v>
      </c>
      <c r="CP106" s="338">
        <v>0</v>
      </c>
      <c r="CQ106" s="338">
        <v>0</v>
      </c>
      <c r="CR106" s="339">
        <v>0</v>
      </c>
      <c r="CS106" s="212"/>
      <c r="CT106" s="273">
        <v>0</v>
      </c>
      <c r="CU106" s="278">
        <v>0.87</v>
      </c>
      <c r="CV106" s="278">
        <v>0</v>
      </c>
      <c r="CW106" s="278">
        <v>0</v>
      </c>
      <c r="CX106" s="278">
        <v>0</v>
      </c>
      <c r="CY106" s="278">
        <v>0</v>
      </c>
      <c r="CZ106" s="278">
        <v>0</v>
      </c>
      <c r="DA106" s="278">
        <v>0</v>
      </c>
      <c r="DB106" s="278">
        <v>0</v>
      </c>
      <c r="DC106" s="278">
        <v>0</v>
      </c>
      <c r="DD106" s="278">
        <v>0</v>
      </c>
      <c r="DE106" s="278">
        <v>0</v>
      </c>
      <c r="DF106" s="390">
        <f t="shared" si="6"/>
        <v>0</v>
      </c>
      <c r="DG106" s="273">
        <v>0</v>
      </c>
      <c r="DH106" s="281">
        <v>0.87</v>
      </c>
      <c r="DI106" s="278">
        <v>0</v>
      </c>
      <c r="DJ106" s="278">
        <v>0</v>
      </c>
      <c r="DK106" s="278">
        <v>0</v>
      </c>
      <c r="DL106" s="278">
        <v>0</v>
      </c>
      <c r="DM106" s="278">
        <v>0</v>
      </c>
      <c r="DN106" s="278">
        <v>0</v>
      </c>
      <c r="DO106" s="278">
        <v>0</v>
      </c>
      <c r="DP106" s="278">
        <v>0</v>
      </c>
      <c r="DQ106" s="278">
        <v>0</v>
      </c>
      <c r="DR106" s="282">
        <v>0</v>
      </c>
      <c r="DS106" s="226"/>
      <c r="DT106" s="312">
        <v>0</v>
      </c>
      <c r="DU106" s="274">
        <v>1.4551915228366853E-16</v>
      </c>
      <c r="DV106" s="274">
        <v>0</v>
      </c>
      <c r="DW106" s="274">
        <v>0</v>
      </c>
      <c r="DX106" s="276">
        <v>0</v>
      </c>
      <c r="DY106" s="309">
        <v>0</v>
      </c>
      <c r="DZ106" s="276">
        <v>0</v>
      </c>
      <c r="EA106" s="276">
        <v>0</v>
      </c>
      <c r="EB106" s="276">
        <v>0</v>
      </c>
      <c r="EC106" s="276">
        <v>0</v>
      </c>
      <c r="ED106" s="276">
        <v>0</v>
      </c>
      <c r="EE106" s="313">
        <v>0</v>
      </c>
      <c r="EF106" s="212"/>
      <c r="EG106" s="312">
        <v>0</v>
      </c>
      <c r="EH106" s="274">
        <v>0</v>
      </c>
      <c r="EI106" s="274">
        <v>0</v>
      </c>
      <c r="EJ106" s="274">
        <v>0</v>
      </c>
      <c r="EK106" s="276">
        <v>0</v>
      </c>
      <c r="EL106" s="309">
        <v>0</v>
      </c>
      <c r="EM106" s="276">
        <v>0</v>
      </c>
      <c r="EN106" s="276">
        <v>0</v>
      </c>
      <c r="EO106" s="276">
        <v>1.5799999999999998E-3</v>
      </c>
      <c r="EP106" s="276">
        <v>0</v>
      </c>
      <c r="EQ106" s="276">
        <v>0</v>
      </c>
      <c r="ER106" s="313">
        <v>0</v>
      </c>
      <c r="ES106" s="283"/>
      <c r="ET106" s="312">
        <v>0</v>
      </c>
      <c r="EU106" s="274">
        <v>1.4551915228366853E-16</v>
      </c>
      <c r="EV106" s="274">
        <v>0</v>
      </c>
      <c r="EW106" s="274">
        <v>0</v>
      </c>
      <c r="EX106" s="276">
        <v>0</v>
      </c>
      <c r="EY106" s="309">
        <v>0</v>
      </c>
      <c r="EZ106" s="276">
        <v>0</v>
      </c>
      <c r="FA106" s="276">
        <v>0</v>
      </c>
      <c r="FB106" s="276">
        <v>1.5799999999999998E-3</v>
      </c>
      <c r="FC106" s="276">
        <v>0</v>
      </c>
      <c r="FD106" s="276">
        <v>0</v>
      </c>
      <c r="FE106" s="313">
        <v>0</v>
      </c>
      <c r="FF106" s="212"/>
      <c r="FG106" s="312">
        <v>0</v>
      </c>
      <c r="FH106" s="274">
        <v>0</v>
      </c>
      <c r="FI106" s="274">
        <v>0</v>
      </c>
      <c r="FJ106" s="274">
        <v>0</v>
      </c>
      <c r="FK106" s="276">
        <v>0</v>
      </c>
      <c r="FL106" s="309">
        <v>0</v>
      </c>
      <c r="FM106" s="276">
        <v>0</v>
      </c>
      <c r="FN106" s="276">
        <v>0</v>
      </c>
      <c r="FO106" s="276">
        <v>0</v>
      </c>
      <c r="FP106" s="276">
        <v>0</v>
      </c>
      <c r="FQ106" s="276">
        <v>0</v>
      </c>
      <c r="FR106" s="313">
        <v>0</v>
      </c>
      <c r="FS106" s="283"/>
      <c r="FT106" s="286">
        <v>100.2</v>
      </c>
      <c r="FU106" s="260">
        <v>100</v>
      </c>
      <c r="FV106" s="260">
        <v>100</v>
      </c>
      <c r="FW106" s="260">
        <v>0.20000000000000284</v>
      </c>
      <c r="FX106" s="498">
        <v>2.0000000000000282E-3</v>
      </c>
      <c r="FY106" s="327">
        <v>0.87158000000000013</v>
      </c>
      <c r="FZ106" s="275">
        <v>0.87</v>
      </c>
      <c r="GA106" s="275">
        <v>0.87</v>
      </c>
      <c r="GB106" s="275">
        <v>1.5800000000001369E-3</v>
      </c>
      <c r="GC106" s="275">
        <v>1.5799999999999998E-3</v>
      </c>
      <c r="GD106" s="275">
        <v>1.4551915228366853E-16</v>
      </c>
      <c r="GE106" s="275">
        <v>0</v>
      </c>
      <c r="GF106" s="277">
        <v>1.5800000000001453E-3</v>
      </c>
      <c r="GG106" s="214">
        <v>8.4567769453869346E-18</v>
      </c>
      <c r="GH106" s="286">
        <v>0</v>
      </c>
      <c r="GI106" s="260">
        <v>0</v>
      </c>
      <c r="GJ106" s="260">
        <v>0</v>
      </c>
      <c r="GK106" s="260">
        <v>0</v>
      </c>
      <c r="GL106" s="291">
        <v>0</v>
      </c>
      <c r="GM106" s="275">
        <v>0</v>
      </c>
      <c r="GN106" s="275">
        <v>0</v>
      </c>
      <c r="GO106" s="275">
        <v>0</v>
      </c>
      <c r="GP106" s="275">
        <v>0</v>
      </c>
      <c r="GQ106" s="275">
        <v>0</v>
      </c>
      <c r="GR106" s="277">
        <v>0</v>
      </c>
      <c r="GS106" s="275">
        <v>0</v>
      </c>
      <c r="GT106" s="284">
        <v>0</v>
      </c>
      <c r="GU106" s="292">
        <v>0</v>
      </c>
      <c r="GV106" s="214">
        <v>0</v>
      </c>
      <c r="GW106" s="293">
        <v>0</v>
      </c>
      <c r="GX106" s="294"/>
      <c r="GY106" s="293">
        <v>1.5800000000001369E-3</v>
      </c>
      <c r="GZ106" s="293">
        <v>8.4567769453869346E-18</v>
      </c>
      <c r="HA106" s="293">
        <v>0</v>
      </c>
      <c r="HB106" s="293">
        <v>0</v>
      </c>
      <c r="HC106" s="295">
        <v>0</v>
      </c>
    </row>
    <row r="107" spans="1:211" ht="13.5" customHeight="1" thickBot="1">
      <c r="B107" s="328" t="s">
        <v>321</v>
      </c>
      <c r="C107" s="297" t="s">
        <v>312</v>
      </c>
      <c r="D107" s="299" t="s">
        <v>322</v>
      </c>
      <c r="E107" s="299" t="s">
        <v>312</v>
      </c>
      <c r="F107" s="382"/>
      <c r="G107" s="386">
        <v>31.1</v>
      </c>
      <c r="H107" s="386">
        <v>0</v>
      </c>
      <c r="I107" s="499">
        <v>0.5</v>
      </c>
      <c r="J107" s="302">
        <v>0</v>
      </c>
      <c r="K107" s="329">
        <v>0</v>
      </c>
      <c r="L107" s="332">
        <v>0</v>
      </c>
      <c r="M107" s="332">
        <v>0</v>
      </c>
      <c r="N107" s="332">
        <v>0</v>
      </c>
      <c r="O107" s="332">
        <v>0.6</v>
      </c>
      <c r="P107" s="332">
        <v>135.155</v>
      </c>
      <c r="Q107" s="332">
        <v>139.63800000000001</v>
      </c>
      <c r="R107" s="387">
        <v>261.28000000000003</v>
      </c>
      <c r="S107" s="261">
        <f t="shared" si="5"/>
        <v>536.07300000000009</v>
      </c>
      <c r="T107" s="333">
        <v>0</v>
      </c>
      <c r="U107" s="455">
        <v>0</v>
      </c>
      <c r="V107" s="335">
        <v>0</v>
      </c>
      <c r="W107" s="335">
        <v>0</v>
      </c>
      <c r="X107" s="259">
        <v>0</v>
      </c>
      <c r="Y107" s="259">
        <v>0</v>
      </c>
      <c r="Z107" s="259">
        <v>0</v>
      </c>
      <c r="AA107" s="259">
        <v>0</v>
      </c>
      <c r="AB107" s="259">
        <v>0</v>
      </c>
      <c r="AC107" s="259">
        <v>0</v>
      </c>
      <c r="AD107" s="259">
        <v>0</v>
      </c>
      <c r="AE107" s="268">
        <v>0</v>
      </c>
      <c r="AG107" s="333">
        <v>0</v>
      </c>
      <c r="AH107" s="455">
        <v>0</v>
      </c>
      <c r="AI107" s="335">
        <v>0</v>
      </c>
      <c r="AJ107" s="335">
        <v>0</v>
      </c>
      <c r="AK107" s="335">
        <v>0</v>
      </c>
      <c r="AL107" s="335">
        <v>0</v>
      </c>
      <c r="AM107" s="335">
        <v>0</v>
      </c>
      <c r="AN107" s="335">
        <v>0</v>
      </c>
      <c r="AO107" s="335">
        <v>0</v>
      </c>
      <c r="AP107" s="335">
        <v>0</v>
      </c>
      <c r="AQ107" s="335">
        <v>0</v>
      </c>
      <c r="AR107" s="308">
        <v>0</v>
      </c>
      <c r="AS107" s="269">
        <v>0</v>
      </c>
      <c r="AT107" s="351">
        <v>73024.21028938907</v>
      </c>
      <c r="AU107" s="259">
        <v>0</v>
      </c>
      <c r="AV107" s="259">
        <v>150000</v>
      </c>
      <c r="AW107" s="259">
        <v>0</v>
      </c>
      <c r="AX107" s="259">
        <v>0</v>
      </c>
      <c r="AY107" s="259">
        <v>0</v>
      </c>
      <c r="AZ107" s="259">
        <v>0</v>
      </c>
      <c r="BA107" s="259">
        <v>0</v>
      </c>
      <c r="BB107" s="259">
        <v>150000</v>
      </c>
      <c r="BC107" s="259">
        <v>67560.089970774294</v>
      </c>
      <c r="BD107" s="259">
        <v>70093.882825591878</v>
      </c>
      <c r="BE107" s="268">
        <v>75369.999999999985</v>
      </c>
      <c r="BG107" s="351">
        <v>73024.21028938907</v>
      </c>
      <c r="BH107" s="259">
        <v>0</v>
      </c>
      <c r="BI107" s="259">
        <v>150000</v>
      </c>
      <c r="BJ107" s="259">
        <v>0</v>
      </c>
      <c r="BK107" s="259">
        <v>0</v>
      </c>
      <c r="BL107" s="259">
        <v>0</v>
      </c>
      <c r="BM107" s="259">
        <v>0</v>
      </c>
      <c r="BN107" s="259">
        <v>0</v>
      </c>
      <c r="BO107" s="259">
        <v>150000</v>
      </c>
      <c r="BP107" s="259">
        <v>67560.089970774294</v>
      </c>
      <c r="BQ107" s="259">
        <v>70093.882825591878</v>
      </c>
      <c r="BR107" s="268">
        <v>75369.999999999985</v>
      </c>
      <c r="BT107" s="389">
        <v>0</v>
      </c>
      <c r="BU107" s="307">
        <v>0</v>
      </c>
      <c r="BV107" s="307">
        <v>0</v>
      </c>
      <c r="BW107" s="307">
        <v>0</v>
      </c>
      <c r="BX107" s="307">
        <v>0</v>
      </c>
      <c r="BY107" s="307">
        <v>0</v>
      </c>
      <c r="BZ107" s="307">
        <v>0</v>
      </c>
      <c r="CA107" s="307">
        <v>0</v>
      </c>
      <c r="CB107" s="307">
        <v>0</v>
      </c>
      <c r="CC107" s="307">
        <v>0</v>
      </c>
      <c r="CD107" s="307">
        <v>0</v>
      </c>
      <c r="CE107" s="308">
        <v>0</v>
      </c>
      <c r="CF107" s="212"/>
      <c r="CG107" s="273">
        <v>0.22710529400000001</v>
      </c>
      <c r="CH107" s="329">
        <v>0</v>
      </c>
      <c r="CI107" s="329">
        <v>7.4999999999999997E-3</v>
      </c>
      <c r="CJ107" s="500">
        <v>0</v>
      </c>
      <c r="CK107" s="329">
        <v>0</v>
      </c>
      <c r="CL107" s="338">
        <v>0</v>
      </c>
      <c r="CM107" s="338">
        <v>0</v>
      </c>
      <c r="CN107" s="338">
        <v>0</v>
      </c>
      <c r="CO107" s="338">
        <v>8.9999999999999993E-3</v>
      </c>
      <c r="CP107" s="338">
        <v>0.91310839599999993</v>
      </c>
      <c r="CQ107" s="338">
        <v>0.97877696099999989</v>
      </c>
      <c r="CR107" s="339">
        <v>1.9692673599999999</v>
      </c>
      <c r="CS107" s="212"/>
      <c r="CT107" s="273">
        <v>0</v>
      </c>
      <c r="CU107" s="278">
        <v>0</v>
      </c>
      <c r="CV107" s="278">
        <v>0</v>
      </c>
      <c r="CW107" s="278">
        <v>0</v>
      </c>
      <c r="CX107" s="278">
        <v>0</v>
      </c>
      <c r="CY107" s="278">
        <v>0</v>
      </c>
      <c r="CZ107" s="278">
        <v>0</v>
      </c>
      <c r="DA107" s="278">
        <v>0</v>
      </c>
      <c r="DB107" s="278">
        <v>0</v>
      </c>
      <c r="DC107" s="278">
        <v>0</v>
      </c>
      <c r="DD107" s="278">
        <v>0</v>
      </c>
      <c r="DE107" s="278">
        <v>0</v>
      </c>
      <c r="DF107" s="390">
        <f t="shared" si="6"/>
        <v>0</v>
      </c>
      <c r="DG107" s="326">
        <v>0</v>
      </c>
      <c r="DH107" s="415">
        <v>0</v>
      </c>
      <c r="DI107" s="342">
        <v>0</v>
      </c>
      <c r="DJ107" s="342">
        <v>0</v>
      </c>
      <c r="DK107" s="278">
        <v>0</v>
      </c>
      <c r="DL107" s="278">
        <v>0</v>
      </c>
      <c r="DM107" s="278">
        <v>0</v>
      </c>
      <c r="DN107" s="278">
        <v>0</v>
      </c>
      <c r="DO107" s="278">
        <v>0</v>
      </c>
      <c r="DP107" s="278">
        <v>0</v>
      </c>
      <c r="DQ107" s="278">
        <v>0</v>
      </c>
      <c r="DR107" s="282">
        <v>0</v>
      </c>
      <c r="DS107" s="226"/>
      <c r="DT107" s="315">
        <v>0</v>
      </c>
      <c r="DU107" s="329">
        <v>0</v>
      </c>
      <c r="DV107" s="329">
        <v>0</v>
      </c>
      <c r="DW107" s="274">
        <v>0</v>
      </c>
      <c r="DX107" s="338">
        <v>0</v>
      </c>
      <c r="DY107" s="338">
        <v>0</v>
      </c>
      <c r="DZ107" s="338">
        <v>0</v>
      </c>
      <c r="EA107" s="338">
        <v>0</v>
      </c>
      <c r="EB107" s="338">
        <v>0</v>
      </c>
      <c r="EC107" s="338">
        <v>0</v>
      </c>
      <c r="ED107" s="338">
        <v>0</v>
      </c>
      <c r="EE107" s="339">
        <v>0</v>
      </c>
      <c r="EF107" s="212"/>
      <c r="EG107" s="315">
        <v>0.22710529399999999</v>
      </c>
      <c r="EH107" s="329">
        <v>0</v>
      </c>
      <c r="EI107" s="329">
        <v>7.4999999999999997E-3</v>
      </c>
      <c r="EJ107" s="274">
        <v>0</v>
      </c>
      <c r="EK107" s="276">
        <v>0</v>
      </c>
      <c r="EL107" s="338">
        <v>0</v>
      </c>
      <c r="EM107" s="338">
        <v>0</v>
      </c>
      <c r="EN107" s="338">
        <v>0</v>
      </c>
      <c r="EO107" s="338">
        <v>8.9999999999999993E-3</v>
      </c>
      <c r="EP107" s="338">
        <v>0.91310839599999993</v>
      </c>
      <c r="EQ107" s="338">
        <v>0.97877696099999989</v>
      </c>
      <c r="ER107" s="339">
        <v>1.9692673599999997</v>
      </c>
      <c r="ES107" s="283"/>
      <c r="ET107" s="315">
        <v>0.22710529399999999</v>
      </c>
      <c r="EU107" s="329">
        <v>0</v>
      </c>
      <c r="EV107" s="329">
        <v>7.4999999999999997E-3</v>
      </c>
      <c r="EW107" s="274">
        <v>0</v>
      </c>
      <c r="EX107" s="338">
        <v>0</v>
      </c>
      <c r="EY107" s="338">
        <v>0</v>
      </c>
      <c r="EZ107" s="338">
        <v>0</v>
      </c>
      <c r="FA107" s="338">
        <v>0</v>
      </c>
      <c r="FB107" s="338">
        <v>8.9999999999999993E-3</v>
      </c>
      <c r="FC107" s="338">
        <v>0.91310839599999993</v>
      </c>
      <c r="FD107" s="338">
        <v>0.97877696099999989</v>
      </c>
      <c r="FE107" s="339">
        <v>1.9692673599999997</v>
      </c>
      <c r="FF107" s="212"/>
      <c r="FG107" s="315">
        <v>0</v>
      </c>
      <c r="FH107" s="329">
        <v>0</v>
      </c>
      <c r="FI107" s="329">
        <v>0</v>
      </c>
      <c r="FJ107" s="274">
        <v>0</v>
      </c>
      <c r="FK107" s="338">
        <v>0</v>
      </c>
      <c r="FL107" s="338">
        <v>0</v>
      </c>
      <c r="FM107" s="338">
        <v>0</v>
      </c>
      <c r="FN107" s="338">
        <v>0</v>
      </c>
      <c r="FO107" s="338">
        <v>0</v>
      </c>
      <c r="FP107" s="338">
        <v>0</v>
      </c>
      <c r="FQ107" s="338">
        <v>0</v>
      </c>
      <c r="FR107" s="339">
        <v>0</v>
      </c>
      <c r="FS107" s="283"/>
      <c r="FT107" s="501">
        <v>568.27300000000014</v>
      </c>
      <c r="FU107" s="502">
        <v>0</v>
      </c>
      <c r="FV107" s="502">
        <v>0</v>
      </c>
      <c r="FW107" s="502">
        <v>568.27300000000014</v>
      </c>
      <c r="FX107" s="503">
        <v>0</v>
      </c>
      <c r="FY107" s="504">
        <v>4.1047580109999995</v>
      </c>
      <c r="FZ107" s="458">
        <v>0</v>
      </c>
      <c r="GA107" s="458">
        <v>0</v>
      </c>
      <c r="GB107" s="458">
        <v>4.1047580109999995</v>
      </c>
      <c r="GC107" s="275">
        <v>4.1047580109999995</v>
      </c>
      <c r="GD107" s="458">
        <v>0</v>
      </c>
      <c r="GE107" s="275">
        <v>0</v>
      </c>
      <c r="GF107" s="277">
        <v>4.1047580109999995</v>
      </c>
      <c r="GG107" s="214">
        <v>0</v>
      </c>
      <c r="GH107" s="286">
        <v>261.28000000000003</v>
      </c>
      <c r="GI107" s="260">
        <v>0</v>
      </c>
      <c r="GJ107" s="260">
        <v>0</v>
      </c>
      <c r="GK107" s="260">
        <v>261.28000000000003</v>
      </c>
      <c r="GL107" s="291">
        <v>0</v>
      </c>
      <c r="GM107" s="275">
        <v>1.9692673599999999</v>
      </c>
      <c r="GN107" s="275">
        <v>0</v>
      </c>
      <c r="GO107" s="275">
        <v>0</v>
      </c>
      <c r="GP107" s="275">
        <v>1.9692673599999999</v>
      </c>
      <c r="GQ107" s="275">
        <v>1.9692673599999997</v>
      </c>
      <c r="GR107" s="277">
        <v>0</v>
      </c>
      <c r="GS107" s="275">
        <v>0</v>
      </c>
      <c r="GT107" s="284">
        <v>1.9692673599999997</v>
      </c>
      <c r="GU107" s="292">
        <v>1.9692673599999997</v>
      </c>
      <c r="GV107" s="214">
        <v>0</v>
      </c>
      <c r="GW107" s="293">
        <v>0</v>
      </c>
      <c r="GX107" s="294"/>
      <c r="GY107" s="293">
        <v>4.1047580109999995</v>
      </c>
      <c r="GZ107" s="293">
        <v>0</v>
      </c>
      <c r="HA107" s="293">
        <v>1.9692673599999999</v>
      </c>
      <c r="HB107" s="293">
        <v>1.9692673599999999</v>
      </c>
      <c r="HC107" s="295">
        <v>0</v>
      </c>
    </row>
    <row r="108" spans="1:211" s="381" customFormat="1" ht="13.5" customHeight="1" thickBot="1">
      <c r="A108" s="352"/>
      <c r="B108" s="505"/>
      <c r="C108" s="506"/>
      <c r="D108" s="1087" t="s">
        <v>323</v>
      </c>
      <c r="E108" s="1088"/>
      <c r="F108" s="1089"/>
      <c r="G108" s="421">
        <v>1818.5800000000008</v>
      </c>
      <c r="H108" s="421">
        <v>1513.79</v>
      </c>
      <c r="I108" s="421">
        <v>1308.4599999999998</v>
      </c>
      <c r="J108" s="421">
        <v>1507.61</v>
      </c>
      <c r="K108" s="421">
        <v>1000.3000000000001</v>
      </c>
      <c r="L108" s="421">
        <v>0</v>
      </c>
      <c r="M108" s="421">
        <v>88.71</v>
      </c>
      <c r="N108" s="421">
        <v>355.35000000000008</v>
      </c>
      <c r="O108" s="421">
        <v>1531.8100000000006</v>
      </c>
      <c r="P108" s="421">
        <v>1170.4149999999997</v>
      </c>
      <c r="Q108" s="421">
        <v>1554.598</v>
      </c>
      <c r="R108" s="421">
        <v>2025.9500000000012</v>
      </c>
      <c r="S108" s="261">
        <f t="shared" si="5"/>
        <v>4750.9630000000016</v>
      </c>
      <c r="T108" s="421">
        <v>1400</v>
      </c>
      <c r="U108" s="355">
        <v>1500</v>
      </c>
      <c r="V108" s="357">
        <v>1400</v>
      </c>
      <c r="W108" s="355">
        <v>800</v>
      </c>
      <c r="X108" s="355">
        <v>1300</v>
      </c>
      <c r="Y108" s="355">
        <v>1200</v>
      </c>
      <c r="Z108" s="355">
        <v>1300</v>
      </c>
      <c r="AA108" s="355">
        <v>800</v>
      </c>
      <c r="AB108" s="355">
        <v>1300</v>
      </c>
      <c r="AC108" s="355">
        <v>1300</v>
      </c>
      <c r="AD108" s="355">
        <v>1500</v>
      </c>
      <c r="AE108" s="355">
        <v>1300</v>
      </c>
      <c r="AF108" s="360"/>
      <c r="AG108" s="421">
        <v>0</v>
      </c>
      <c r="AH108" s="355">
        <v>1200</v>
      </c>
      <c r="AI108" s="357">
        <v>1400</v>
      </c>
      <c r="AJ108" s="355">
        <v>1500</v>
      </c>
      <c r="AK108" s="355">
        <v>990</v>
      </c>
      <c r="AL108" s="357">
        <v>0</v>
      </c>
      <c r="AM108" s="357">
        <v>0</v>
      </c>
      <c r="AN108" s="357">
        <v>350</v>
      </c>
      <c r="AO108" s="357">
        <v>1500</v>
      </c>
      <c r="AP108" s="357">
        <v>1031</v>
      </c>
      <c r="AQ108" s="357">
        <v>2000</v>
      </c>
      <c r="AR108" s="355">
        <v>2000</v>
      </c>
      <c r="AS108" s="507">
        <v>0.50449226397688873</v>
      </c>
      <c r="AT108" s="508">
        <v>61186.637893301304</v>
      </c>
      <c r="AU108" s="509">
        <v>62457.293614041562</v>
      </c>
      <c r="AV108" s="509">
        <v>57275.44976537305</v>
      </c>
      <c r="AW108" s="509">
        <v>57531.225582212915</v>
      </c>
      <c r="AX108" s="509">
        <v>58768.427471758463</v>
      </c>
      <c r="AY108" s="509">
        <v>0</v>
      </c>
      <c r="AZ108" s="509">
        <v>48000.000000000007</v>
      </c>
      <c r="BA108" s="509">
        <v>47999.999999999993</v>
      </c>
      <c r="BB108" s="509">
        <v>48057.430751855631</v>
      </c>
      <c r="BC108" s="509">
        <v>50930.811259254202</v>
      </c>
      <c r="BD108" s="509">
        <v>51462.732880140065</v>
      </c>
      <c r="BE108" s="509">
        <v>52537.165329845207</v>
      </c>
      <c r="BF108" s="360"/>
      <c r="BG108" s="508">
        <v>60939.28571428571</v>
      </c>
      <c r="BH108" s="509">
        <v>62676.666666666664</v>
      </c>
      <c r="BI108" s="509">
        <v>60939.28571428571</v>
      </c>
      <c r="BJ108" s="509">
        <v>63096.015648546534</v>
      </c>
      <c r="BK108" s="509">
        <v>63169.364802728465</v>
      </c>
      <c r="BL108" s="509">
        <v>63201.964426809325</v>
      </c>
      <c r="BM108" s="509">
        <v>63169.364802728465</v>
      </c>
      <c r="BN108" s="509">
        <v>63096.015648546534</v>
      </c>
      <c r="BO108" s="509">
        <v>63169.364802728465</v>
      </c>
      <c r="BP108" s="509">
        <v>63169.364802728465</v>
      </c>
      <c r="BQ108" s="509">
        <v>63185.012622287279</v>
      </c>
      <c r="BR108" s="510">
        <v>63169.364802728465</v>
      </c>
      <c r="BS108" s="360"/>
      <c r="BT108" s="468">
        <v>0</v>
      </c>
      <c r="BU108" s="469">
        <v>63008.333333333336</v>
      </c>
      <c r="BV108" s="469">
        <v>60725</v>
      </c>
      <c r="BW108" s="469">
        <v>57139.999999999993</v>
      </c>
      <c r="BX108" s="469">
        <v>58481.818181818184</v>
      </c>
      <c r="BY108" s="469">
        <v>0</v>
      </c>
      <c r="BZ108" s="469">
        <v>0</v>
      </c>
      <c r="CA108" s="469">
        <v>47999.999999999993</v>
      </c>
      <c r="CB108" s="469">
        <v>48233.333333333328</v>
      </c>
      <c r="CC108" s="469">
        <v>48659.26285160039</v>
      </c>
      <c r="CD108" s="469">
        <v>48437.5</v>
      </c>
      <c r="CE108" s="355">
        <v>48437.5</v>
      </c>
      <c r="CF108" s="361"/>
      <c r="CG108" s="364">
        <v>11.127279593999994</v>
      </c>
      <c r="CH108" s="369">
        <v>9.4547226499999972</v>
      </c>
      <c r="CI108" s="369">
        <v>7.4942635000000015</v>
      </c>
      <c r="CJ108" s="369">
        <v>8.6734651000000014</v>
      </c>
      <c r="CK108" s="369">
        <v>5.8786057999999999</v>
      </c>
      <c r="CL108" s="369">
        <v>0</v>
      </c>
      <c r="CM108" s="369">
        <v>0.42580800000000002</v>
      </c>
      <c r="CN108" s="369">
        <v>1.7056800000000001</v>
      </c>
      <c r="CO108" s="369">
        <v>7.3614853</v>
      </c>
      <c r="CP108" s="369">
        <v>5.961018546</v>
      </c>
      <c r="CQ108" s="369">
        <v>8.000386160999998</v>
      </c>
      <c r="CR108" s="370">
        <v>10.643767009999996</v>
      </c>
      <c r="CS108" s="361"/>
      <c r="CT108" s="364">
        <v>8.5314999999999994</v>
      </c>
      <c r="CU108" s="369">
        <v>9.4014999999999986</v>
      </c>
      <c r="CV108" s="369">
        <v>8.5314999999999994</v>
      </c>
      <c r="CW108" s="369">
        <v>5.0476812518837226</v>
      </c>
      <c r="CX108" s="369">
        <v>8.2120174243547002</v>
      </c>
      <c r="CY108" s="369">
        <v>7.5842357312171194</v>
      </c>
      <c r="CZ108" s="369">
        <v>8.2120174243547002</v>
      </c>
      <c r="DA108" s="369">
        <v>5.0476812518837226</v>
      </c>
      <c r="DB108" s="369">
        <v>8.2120174243547002</v>
      </c>
      <c r="DC108" s="369">
        <v>8.2120174243547002</v>
      </c>
      <c r="DD108" s="369">
        <v>9.4777518933430915</v>
      </c>
      <c r="DE108" s="370">
        <v>8.2120174243547002</v>
      </c>
      <c r="DF108" s="390">
        <f t="shared" si="6"/>
        <v>25.901786742052494</v>
      </c>
      <c r="DG108" s="363">
        <v>0</v>
      </c>
      <c r="DH108" s="367">
        <v>7.5610000000000008</v>
      </c>
      <c r="DI108" s="368">
        <v>8.5015000000000001</v>
      </c>
      <c r="DJ108" s="367">
        <v>8.5709999999999997</v>
      </c>
      <c r="DK108" s="367">
        <v>5.7896999999999998</v>
      </c>
      <c r="DL108" s="367">
        <v>0</v>
      </c>
      <c r="DM108" s="367">
        <v>0</v>
      </c>
      <c r="DN108" s="369">
        <v>1.68</v>
      </c>
      <c r="DO108" s="369">
        <v>7.2349999999999994</v>
      </c>
      <c r="DP108" s="369">
        <v>5.0167700000000002</v>
      </c>
      <c r="DQ108" s="369">
        <v>9.6875</v>
      </c>
      <c r="DR108" s="370">
        <v>9.6875</v>
      </c>
      <c r="DS108" s="371"/>
      <c r="DT108" s="363">
        <v>-1.1616313713602729E-14</v>
      </c>
      <c r="DU108" s="369">
        <v>-1.39246549224481E-15</v>
      </c>
      <c r="DV108" s="369">
        <v>-0.42121184999999672</v>
      </c>
      <c r="DW108" s="369">
        <v>-0.81126476742810238</v>
      </c>
      <c r="DX108" s="369">
        <v>-0.42725500974778685</v>
      </c>
      <c r="DY108" s="369">
        <v>0</v>
      </c>
      <c r="DZ108" s="369">
        <v>-0.13109713998234848</v>
      </c>
      <c r="EA108" s="369">
        <v>-0.52514224656439634</v>
      </c>
      <c r="EB108" s="369">
        <v>-2.2619898407103998</v>
      </c>
      <c r="EC108" s="369">
        <v>-1.5039111818246071</v>
      </c>
      <c r="ED108" s="369">
        <v>-1.9218830120437571</v>
      </c>
      <c r="EE108" s="370">
        <v>-2.4269401951703475</v>
      </c>
      <c r="EF108" s="361"/>
      <c r="EG108" s="363">
        <v>2.5507966214285767</v>
      </c>
      <c r="EH108" s="363">
        <v>8.643112333333311E-2</v>
      </c>
      <c r="EI108" s="363">
        <v>-0.55783822142857253</v>
      </c>
      <c r="EJ108" s="363">
        <v>4.4647371633068014</v>
      </c>
      <c r="EK108" s="363">
        <v>-1.8931858631377716</v>
      </c>
      <c r="EL108" s="363">
        <v>-7.5842357312171194</v>
      </c>
      <c r="EM108" s="363">
        <v>-7.6551122843723522</v>
      </c>
      <c r="EN108" s="363">
        <v>-2.8168590053193263</v>
      </c>
      <c r="EO108" s="363">
        <v>1.4114577163556994</v>
      </c>
      <c r="EP108" s="363">
        <v>-0.74708769653009277</v>
      </c>
      <c r="EQ108" s="363">
        <v>0.44451727970066301</v>
      </c>
      <c r="ER108" s="363">
        <v>4.8586897808156433</v>
      </c>
      <c r="ES108" s="372"/>
      <c r="ET108" s="363">
        <v>11.127279593999992</v>
      </c>
      <c r="EU108" s="369">
        <v>-2.4311666493304076E-15</v>
      </c>
      <c r="EV108" s="369">
        <v>-0.41371184999999672</v>
      </c>
      <c r="EW108" s="369">
        <v>6.1265400000001975E-2</v>
      </c>
      <c r="EX108" s="369">
        <v>2.9153399999999555E-2</v>
      </c>
      <c r="EY108" s="369">
        <v>0</v>
      </c>
      <c r="EZ108" s="369">
        <v>0.42580800000000002</v>
      </c>
      <c r="FA108" s="369">
        <v>0</v>
      </c>
      <c r="FB108" s="369">
        <v>1.0579999999997813E-2</v>
      </c>
      <c r="FC108" s="369">
        <v>0.91930234600000149</v>
      </c>
      <c r="FD108" s="369">
        <v>1.1251206609999982</v>
      </c>
      <c r="FE108" s="370">
        <v>2.14146600999999</v>
      </c>
      <c r="FF108" s="361"/>
      <c r="FG108" s="364">
        <v>0</v>
      </c>
      <c r="FH108" s="369">
        <v>1.8937226500000006</v>
      </c>
      <c r="FI108" s="369">
        <v>-0.59352465000000132</v>
      </c>
      <c r="FJ108" s="369">
        <v>4.1199699999999409E-2</v>
      </c>
      <c r="FK108" s="369">
        <v>5.9752400000000483E-2</v>
      </c>
      <c r="FL108" s="369">
        <v>0</v>
      </c>
      <c r="FM108" s="369">
        <v>0</v>
      </c>
      <c r="FN108" s="369">
        <v>2.568000000000038E-2</v>
      </c>
      <c r="FO108" s="369">
        <v>0.11590530000000232</v>
      </c>
      <c r="FP108" s="369">
        <v>2.4946199999998864E-2</v>
      </c>
      <c r="FQ108" s="369">
        <v>-2.8122345000000002</v>
      </c>
      <c r="FR108" s="369">
        <v>-1.1851989999999937</v>
      </c>
      <c r="FS108" s="372"/>
      <c r="FT108" s="373">
        <v>13875.573000000004</v>
      </c>
      <c r="FU108" s="373">
        <v>15100</v>
      </c>
      <c r="FV108" s="511">
        <v>11971</v>
      </c>
      <c r="FW108" s="512">
        <v>-1224.426999999996</v>
      </c>
      <c r="FX108" s="385">
        <v>-8.1087880794701722E-2</v>
      </c>
      <c r="FY108" s="513">
        <v>76.72648166099998</v>
      </c>
      <c r="FZ108" s="513">
        <v>94.681937250101157</v>
      </c>
      <c r="GA108" s="513">
        <v>63.729970000000002</v>
      </c>
      <c r="GB108" s="513">
        <v>-17.95545558910117</v>
      </c>
      <c r="GC108" s="513">
        <v>-7.5247603456294083</v>
      </c>
      <c r="GD108" s="513">
        <v>-10.430695243471757</v>
      </c>
      <c r="GE108" s="513">
        <v>-2.4297518999999941</v>
      </c>
      <c r="GF108" s="380">
        <v>15.426263560999983</v>
      </c>
      <c r="GG108" s="514">
        <v>0</v>
      </c>
      <c r="GH108" s="512">
        <v>2025.9500000000012</v>
      </c>
      <c r="GI108" s="512">
        <v>1300</v>
      </c>
      <c r="GJ108" s="512">
        <v>2000</v>
      </c>
      <c r="GK108" s="512">
        <v>725.95000000000118</v>
      </c>
      <c r="GL108" s="515">
        <v>0.5584230769230778</v>
      </c>
      <c r="GM108" s="378">
        <v>10.643767009999996</v>
      </c>
      <c r="GN108" s="378">
        <v>8.2120174243547002</v>
      </c>
      <c r="GO108" s="378">
        <v>9.6875</v>
      </c>
      <c r="GP108" s="378">
        <v>2.4317495856452958</v>
      </c>
      <c r="GQ108" s="378">
        <v>4.8586897808156433</v>
      </c>
      <c r="GR108" s="378">
        <v>-2.4269401951703475</v>
      </c>
      <c r="GS108" s="378">
        <v>-1.1851989999999937</v>
      </c>
      <c r="GT108" s="379">
        <v>2.14146600999999</v>
      </c>
      <c r="GU108" s="380">
        <v>-0.11610969268128085</v>
      </c>
      <c r="GV108" s="214">
        <v>0</v>
      </c>
      <c r="GW108" s="380">
        <v>9.9202445452467636</v>
      </c>
      <c r="GX108" s="380">
        <v>0</v>
      </c>
      <c r="GY108" s="380">
        <v>12.996511660999991</v>
      </c>
      <c r="GZ108" s="380">
        <v>-3.544256901855114E-15</v>
      </c>
      <c r="HA108" s="380">
        <v>0.95626700999999592</v>
      </c>
      <c r="HB108" s="380">
        <v>2.1414660099999896</v>
      </c>
      <c r="HC108" s="380">
        <v>10.127609657031272</v>
      </c>
    </row>
    <row r="109" spans="1:211" ht="13.5" customHeight="1">
      <c r="B109" s="328" t="s">
        <v>324</v>
      </c>
      <c r="C109" s="297" t="s">
        <v>312</v>
      </c>
      <c r="D109" s="299" t="s">
        <v>313</v>
      </c>
      <c r="E109" s="299" t="s">
        <v>325</v>
      </c>
      <c r="F109" s="382"/>
      <c r="G109" s="386"/>
      <c r="H109" s="304">
        <v>0</v>
      </c>
      <c r="I109" s="448"/>
      <c r="J109" s="259"/>
      <c r="K109" s="516"/>
      <c r="L109" s="260">
        <v>0</v>
      </c>
      <c r="M109" s="275">
        <v>0</v>
      </c>
      <c r="N109" s="260"/>
      <c r="O109" s="260">
        <v>0</v>
      </c>
      <c r="P109" s="260">
        <v>0</v>
      </c>
      <c r="Q109" s="260"/>
      <c r="R109" s="262">
        <v>0</v>
      </c>
      <c r="S109" s="261">
        <f t="shared" si="5"/>
        <v>0</v>
      </c>
      <c r="T109" s="270">
        <v>0</v>
      </c>
      <c r="U109" s="267">
        <v>0</v>
      </c>
      <c r="V109" s="259">
        <v>0</v>
      </c>
      <c r="W109" s="259">
        <v>0</v>
      </c>
      <c r="X109" s="259">
        <v>0</v>
      </c>
      <c r="Y109" s="259">
        <v>0</v>
      </c>
      <c r="Z109" s="259">
        <v>0</v>
      </c>
      <c r="AA109" s="259">
        <v>0</v>
      </c>
      <c r="AB109" s="259">
        <v>0</v>
      </c>
      <c r="AC109" s="259">
        <v>0</v>
      </c>
      <c r="AD109" s="259">
        <v>0</v>
      </c>
      <c r="AE109" s="268">
        <v>0</v>
      </c>
      <c r="AG109" s="270">
        <v>0</v>
      </c>
      <c r="AH109" s="267">
        <v>0</v>
      </c>
      <c r="AI109" s="259">
        <v>0</v>
      </c>
      <c r="AJ109" s="259">
        <v>0</v>
      </c>
      <c r="AK109" s="259">
        <v>0</v>
      </c>
      <c r="AL109" s="259">
        <v>0</v>
      </c>
      <c r="AM109" s="259">
        <v>0</v>
      </c>
      <c r="AN109" s="259">
        <v>0</v>
      </c>
      <c r="AO109" s="259">
        <v>0</v>
      </c>
      <c r="AP109" s="259">
        <v>0</v>
      </c>
      <c r="AQ109" s="259">
        <v>0</v>
      </c>
      <c r="AR109" s="268">
        <v>0</v>
      </c>
      <c r="AS109" s="269">
        <v>0</v>
      </c>
      <c r="AT109" s="270">
        <v>0</v>
      </c>
      <c r="AU109" s="259">
        <v>0</v>
      </c>
      <c r="AV109" s="259">
        <v>0</v>
      </c>
      <c r="AW109" s="259">
        <v>0</v>
      </c>
      <c r="AX109" s="259">
        <v>0</v>
      </c>
      <c r="AY109" s="259">
        <v>0</v>
      </c>
      <c r="AZ109" s="259">
        <v>0</v>
      </c>
      <c r="BA109" s="259">
        <v>0</v>
      </c>
      <c r="BB109" s="259">
        <v>0</v>
      </c>
      <c r="BC109" s="259">
        <v>0</v>
      </c>
      <c r="BD109" s="259">
        <v>0</v>
      </c>
      <c r="BE109" s="268">
        <v>0</v>
      </c>
      <c r="BG109" s="270">
        <v>0</v>
      </c>
      <c r="BH109" s="259">
        <v>0</v>
      </c>
      <c r="BI109" s="259">
        <v>0</v>
      </c>
      <c r="BJ109" s="259">
        <v>0</v>
      </c>
      <c r="BK109" s="259">
        <v>0</v>
      </c>
      <c r="BL109" s="259">
        <v>0</v>
      </c>
      <c r="BM109" s="259">
        <v>0</v>
      </c>
      <c r="BN109" s="259">
        <v>0</v>
      </c>
      <c r="BO109" s="259">
        <v>0</v>
      </c>
      <c r="BP109" s="259">
        <v>0</v>
      </c>
      <c r="BQ109" s="259">
        <v>0</v>
      </c>
      <c r="BR109" s="268">
        <v>0</v>
      </c>
      <c r="BT109" s="389">
        <v>0</v>
      </c>
      <c r="BU109" s="307">
        <v>0</v>
      </c>
      <c r="BV109" s="307">
        <v>0</v>
      </c>
      <c r="BW109" s="307">
        <v>0</v>
      </c>
      <c r="BX109" s="307">
        <v>0</v>
      </c>
      <c r="BY109" s="307">
        <v>0</v>
      </c>
      <c r="BZ109" s="307">
        <v>0</v>
      </c>
      <c r="CA109" s="307">
        <v>0</v>
      </c>
      <c r="CB109" s="307">
        <v>0</v>
      </c>
      <c r="CC109" s="307">
        <v>0</v>
      </c>
      <c r="CD109" s="307">
        <v>0</v>
      </c>
      <c r="CE109" s="308">
        <v>0</v>
      </c>
      <c r="CF109" s="212"/>
      <c r="CG109" s="517">
        <v>0</v>
      </c>
      <c r="CH109" s="518">
        <v>0</v>
      </c>
      <c r="CI109" s="278"/>
      <c r="CJ109" s="518"/>
      <c r="CK109" s="289"/>
      <c r="CL109" s="519">
        <v>0</v>
      </c>
      <c r="CM109" s="289">
        <v>0</v>
      </c>
      <c r="CN109" s="289"/>
      <c r="CO109" s="289">
        <v>0</v>
      </c>
      <c r="CP109" s="289"/>
      <c r="CQ109" s="289"/>
      <c r="CR109" s="285"/>
      <c r="CS109" s="212"/>
      <c r="CT109" s="270">
        <v>0</v>
      </c>
      <c r="CU109" s="278">
        <v>0</v>
      </c>
      <c r="CV109" s="278">
        <v>0</v>
      </c>
      <c r="CW109" s="278">
        <v>0</v>
      </c>
      <c r="CX109" s="278">
        <v>0</v>
      </c>
      <c r="CY109" s="278">
        <v>0</v>
      </c>
      <c r="CZ109" s="278">
        <v>0</v>
      </c>
      <c r="DA109" s="278">
        <v>0</v>
      </c>
      <c r="DB109" s="278">
        <v>0</v>
      </c>
      <c r="DC109" s="278">
        <v>0</v>
      </c>
      <c r="DD109" s="278">
        <v>0</v>
      </c>
      <c r="DE109" s="278">
        <v>0</v>
      </c>
      <c r="DF109" s="390">
        <f t="shared" si="6"/>
        <v>0</v>
      </c>
      <c r="DG109" s="273">
        <v>0</v>
      </c>
      <c r="DH109" s="281">
        <v>0</v>
      </c>
      <c r="DI109" s="278">
        <v>0</v>
      </c>
      <c r="DJ109" s="278">
        <v>0</v>
      </c>
      <c r="DK109" s="278">
        <v>0</v>
      </c>
      <c r="DL109" s="278">
        <v>0</v>
      </c>
      <c r="DM109" s="278">
        <v>0</v>
      </c>
      <c r="DN109" s="278">
        <v>0</v>
      </c>
      <c r="DO109" s="278">
        <v>0</v>
      </c>
      <c r="DP109" s="278">
        <v>0</v>
      </c>
      <c r="DQ109" s="278">
        <v>0</v>
      </c>
      <c r="DR109" s="282">
        <v>0</v>
      </c>
      <c r="DS109" s="226"/>
      <c r="DT109" s="273">
        <v>0</v>
      </c>
      <c r="DU109" s="278">
        <v>0</v>
      </c>
      <c r="DV109" s="278">
        <v>0</v>
      </c>
      <c r="DW109" s="278">
        <v>0</v>
      </c>
      <c r="DX109" s="275">
        <v>0</v>
      </c>
      <c r="DY109" s="275">
        <v>0</v>
      </c>
      <c r="DZ109" s="275">
        <v>0</v>
      </c>
      <c r="EA109" s="275">
        <v>0</v>
      </c>
      <c r="EB109" s="275">
        <v>0</v>
      </c>
      <c r="EC109" s="275">
        <v>0</v>
      </c>
      <c r="ED109" s="275">
        <v>0</v>
      </c>
      <c r="EE109" s="277">
        <v>0</v>
      </c>
      <c r="EF109" s="212"/>
      <c r="EG109" s="273">
        <v>0</v>
      </c>
      <c r="EH109" s="278">
        <v>0</v>
      </c>
      <c r="EI109" s="278">
        <v>0</v>
      </c>
      <c r="EJ109" s="278">
        <v>0</v>
      </c>
      <c r="EK109" s="275">
        <v>0</v>
      </c>
      <c r="EL109" s="275">
        <v>0</v>
      </c>
      <c r="EM109" s="275">
        <v>0</v>
      </c>
      <c r="EN109" s="275">
        <v>0</v>
      </c>
      <c r="EO109" s="275">
        <v>0</v>
      </c>
      <c r="EP109" s="275">
        <v>0</v>
      </c>
      <c r="EQ109" s="275">
        <v>0</v>
      </c>
      <c r="ER109" s="313">
        <v>0</v>
      </c>
      <c r="ES109" s="283"/>
      <c r="ET109" s="273">
        <v>0</v>
      </c>
      <c r="EU109" s="278">
        <v>0</v>
      </c>
      <c r="EV109" s="278">
        <v>0</v>
      </c>
      <c r="EW109" s="278">
        <v>0</v>
      </c>
      <c r="EX109" s="275">
        <v>0</v>
      </c>
      <c r="EY109" s="275">
        <v>0</v>
      </c>
      <c r="EZ109" s="275">
        <v>0</v>
      </c>
      <c r="FA109" s="275">
        <v>0</v>
      </c>
      <c r="FB109" s="275">
        <v>0</v>
      </c>
      <c r="FC109" s="275">
        <v>0</v>
      </c>
      <c r="FD109" s="275">
        <v>0</v>
      </c>
      <c r="FE109" s="277">
        <v>0</v>
      </c>
      <c r="FF109" s="212"/>
      <c r="FG109" s="273">
        <v>0</v>
      </c>
      <c r="FH109" s="278">
        <v>0</v>
      </c>
      <c r="FI109" s="278">
        <v>0</v>
      </c>
      <c r="FJ109" s="278">
        <v>0</v>
      </c>
      <c r="FK109" s="275">
        <v>0</v>
      </c>
      <c r="FL109" s="275">
        <v>0</v>
      </c>
      <c r="FM109" s="275">
        <v>0</v>
      </c>
      <c r="FN109" s="275">
        <v>0</v>
      </c>
      <c r="FO109" s="275">
        <v>0</v>
      </c>
      <c r="FP109" s="275">
        <v>0</v>
      </c>
      <c r="FQ109" s="275">
        <v>0</v>
      </c>
      <c r="FR109" s="313">
        <v>0</v>
      </c>
      <c r="FS109" s="283"/>
      <c r="FT109" s="286">
        <v>0</v>
      </c>
      <c r="FU109" s="260">
        <v>0</v>
      </c>
      <c r="FV109" s="260">
        <v>0</v>
      </c>
      <c r="FW109" s="260">
        <v>0</v>
      </c>
      <c r="FX109" s="287">
        <v>0</v>
      </c>
      <c r="FY109" s="452">
        <v>0</v>
      </c>
      <c r="FZ109" s="275">
        <v>0</v>
      </c>
      <c r="GA109" s="275">
        <v>0</v>
      </c>
      <c r="GB109" s="289">
        <v>0</v>
      </c>
      <c r="GC109" s="289">
        <v>0</v>
      </c>
      <c r="GD109" s="289">
        <v>0</v>
      </c>
      <c r="GE109" s="289">
        <v>0</v>
      </c>
      <c r="GF109" s="290">
        <v>0</v>
      </c>
      <c r="GG109" s="214">
        <v>0</v>
      </c>
      <c r="GH109" s="286">
        <v>0</v>
      </c>
      <c r="GI109" s="260">
        <v>0</v>
      </c>
      <c r="GJ109" s="260">
        <v>0</v>
      </c>
      <c r="GK109" s="260">
        <v>0</v>
      </c>
      <c r="GL109" s="291">
        <v>0</v>
      </c>
      <c r="GM109" s="275">
        <v>0</v>
      </c>
      <c r="GN109" s="275">
        <v>0</v>
      </c>
      <c r="GO109" s="275">
        <v>0</v>
      </c>
      <c r="GP109" s="275">
        <v>0</v>
      </c>
      <c r="GQ109" s="275">
        <v>0</v>
      </c>
      <c r="GR109" s="277">
        <v>0</v>
      </c>
      <c r="GS109" s="275">
        <v>0</v>
      </c>
      <c r="GT109" s="284">
        <v>0</v>
      </c>
      <c r="GU109" s="292">
        <v>0</v>
      </c>
      <c r="GV109" s="214">
        <v>0</v>
      </c>
      <c r="GW109" s="293">
        <v>0</v>
      </c>
      <c r="GX109" s="294"/>
      <c r="GY109" s="293">
        <v>0</v>
      </c>
      <c r="GZ109" s="293">
        <v>0</v>
      </c>
      <c r="HA109" s="293">
        <v>0</v>
      </c>
      <c r="HB109" s="293">
        <v>0</v>
      </c>
      <c r="HC109" s="295">
        <v>0</v>
      </c>
    </row>
    <row r="110" spans="1:211" ht="12.75" customHeight="1">
      <c r="B110" s="328" t="s">
        <v>326</v>
      </c>
      <c r="C110" s="297" t="s">
        <v>312</v>
      </c>
      <c r="D110" s="299" t="s">
        <v>313</v>
      </c>
      <c r="E110" s="299" t="s">
        <v>327</v>
      </c>
      <c r="F110" s="382"/>
      <c r="G110" s="386"/>
      <c r="H110" s="304">
        <v>0</v>
      </c>
      <c r="I110" s="267"/>
      <c r="J110" s="259"/>
      <c r="K110" s="516"/>
      <c r="L110" s="260">
        <v>0</v>
      </c>
      <c r="M110" s="275">
        <v>0</v>
      </c>
      <c r="N110" s="260"/>
      <c r="O110" s="260">
        <v>0</v>
      </c>
      <c r="P110" s="260">
        <v>0</v>
      </c>
      <c r="Q110" s="260"/>
      <c r="R110" s="262">
        <v>0</v>
      </c>
      <c r="S110" s="261">
        <f t="shared" si="5"/>
        <v>0</v>
      </c>
      <c r="T110" s="270">
        <v>0</v>
      </c>
      <c r="U110" s="267">
        <v>0</v>
      </c>
      <c r="V110" s="259">
        <v>0</v>
      </c>
      <c r="W110" s="259">
        <v>0</v>
      </c>
      <c r="X110" s="259">
        <v>0</v>
      </c>
      <c r="Y110" s="259">
        <v>100</v>
      </c>
      <c r="Z110" s="259">
        <v>0</v>
      </c>
      <c r="AA110" s="259">
        <v>100</v>
      </c>
      <c r="AB110" s="259">
        <v>0</v>
      </c>
      <c r="AC110" s="259">
        <v>0</v>
      </c>
      <c r="AD110" s="259">
        <v>100</v>
      </c>
      <c r="AE110" s="268">
        <v>0</v>
      </c>
      <c r="AG110" s="270">
        <v>0</v>
      </c>
      <c r="AH110" s="267">
        <v>0</v>
      </c>
      <c r="AI110" s="259">
        <v>0</v>
      </c>
      <c r="AJ110" s="259">
        <v>0</v>
      </c>
      <c r="AK110" s="259">
        <v>0</v>
      </c>
      <c r="AL110" s="259">
        <v>0</v>
      </c>
      <c r="AM110" s="259">
        <v>0</v>
      </c>
      <c r="AN110" s="259">
        <v>0</v>
      </c>
      <c r="AO110" s="259">
        <v>0</v>
      </c>
      <c r="AP110" s="259">
        <v>0</v>
      </c>
      <c r="AQ110" s="259">
        <v>0</v>
      </c>
      <c r="AR110" s="268">
        <v>0</v>
      </c>
      <c r="AS110" s="269">
        <v>0</v>
      </c>
      <c r="AT110" s="270">
        <v>0</v>
      </c>
      <c r="AU110" s="259">
        <v>0</v>
      </c>
      <c r="AV110" s="259">
        <v>0</v>
      </c>
      <c r="AW110" s="259">
        <v>0</v>
      </c>
      <c r="AX110" s="259">
        <v>0</v>
      </c>
      <c r="AY110" s="259">
        <v>0</v>
      </c>
      <c r="AZ110" s="259">
        <v>0</v>
      </c>
      <c r="BA110" s="259">
        <v>0</v>
      </c>
      <c r="BB110" s="259">
        <v>0</v>
      </c>
      <c r="BC110" s="259">
        <v>0</v>
      </c>
      <c r="BD110" s="259">
        <v>0</v>
      </c>
      <c r="BE110" s="268">
        <v>0</v>
      </c>
      <c r="BG110" s="270">
        <v>0</v>
      </c>
      <c r="BH110" s="259">
        <v>0</v>
      </c>
      <c r="BI110" s="259">
        <v>0</v>
      </c>
      <c r="BJ110" s="259">
        <v>0</v>
      </c>
      <c r="BK110" s="259">
        <v>0</v>
      </c>
      <c r="BL110" s="259">
        <v>190000</v>
      </c>
      <c r="BM110" s="259">
        <v>0</v>
      </c>
      <c r="BN110" s="259">
        <v>190000</v>
      </c>
      <c r="BO110" s="259">
        <v>0</v>
      </c>
      <c r="BP110" s="259">
        <v>0</v>
      </c>
      <c r="BQ110" s="259">
        <v>190000</v>
      </c>
      <c r="BR110" s="268">
        <v>0</v>
      </c>
      <c r="BT110" s="389">
        <v>0</v>
      </c>
      <c r="BU110" s="307">
        <v>0</v>
      </c>
      <c r="BV110" s="307">
        <v>0</v>
      </c>
      <c r="BW110" s="307">
        <v>0</v>
      </c>
      <c r="BX110" s="307">
        <v>0</v>
      </c>
      <c r="BY110" s="307">
        <v>0</v>
      </c>
      <c r="BZ110" s="307">
        <v>0</v>
      </c>
      <c r="CA110" s="307">
        <v>0</v>
      </c>
      <c r="CB110" s="307">
        <v>0</v>
      </c>
      <c r="CC110" s="307">
        <v>0</v>
      </c>
      <c r="CD110" s="307">
        <v>0</v>
      </c>
      <c r="CE110" s="308">
        <v>0</v>
      </c>
      <c r="CF110" s="212"/>
      <c r="CG110" s="273">
        <v>0</v>
      </c>
      <c r="CH110" s="278">
        <v>0</v>
      </c>
      <c r="CI110" s="278"/>
      <c r="CJ110" s="278"/>
      <c r="CK110" s="520"/>
      <c r="CL110" s="275">
        <v>0</v>
      </c>
      <c r="CM110" s="275">
        <v>0</v>
      </c>
      <c r="CN110" s="275"/>
      <c r="CO110" s="275">
        <v>0</v>
      </c>
      <c r="CP110" s="275"/>
      <c r="CQ110" s="275"/>
      <c r="CR110" s="285"/>
      <c r="CS110" s="212"/>
      <c r="CT110" s="270">
        <v>0</v>
      </c>
      <c r="CU110" s="278">
        <v>0</v>
      </c>
      <c r="CV110" s="278">
        <v>0</v>
      </c>
      <c r="CW110" s="278">
        <v>0</v>
      </c>
      <c r="CX110" s="278">
        <v>0</v>
      </c>
      <c r="CY110" s="278">
        <v>1.9</v>
      </c>
      <c r="CZ110" s="278">
        <v>0</v>
      </c>
      <c r="DA110" s="278">
        <v>1.9</v>
      </c>
      <c r="DB110" s="278">
        <v>0</v>
      </c>
      <c r="DC110" s="278">
        <v>0</v>
      </c>
      <c r="DD110" s="278">
        <v>1.9</v>
      </c>
      <c r="DE110" s="278">
        <v>0</v>
      </c>
      <c r="DF110" s="390">
        <f t="shared" si="6"/>
        <v>1.9</v>
      </c>
      <c r="DG110" s="273">
        <v>0</v>
      </c>
      <c r="DH110" s="281">
        <v>0</v>
      </c>
      <c r="DI110" s="278">
        <v>0</v>
      </c>
      <c r="DJ110" s="278">
        <v>0</v>
      </c>
      <c r="DK110" s="278">
        <v>0</v>
      </c>
      <c r="DL110" s="278">
        <v>0</v>
      </c>
      <c r="DM110" s="278">
        <v>0</v>
      </c>
      <c r="DN110" s="278">
        <v>0</v>
      </c>
      <c r="DO110" s="278">
        <v>0</v>
      </c>
      <c r="DP110" s="278">
        <v>0</v>
      </c>
      <c r="DQ110" s="278">
        <v>0</v>
      </c>
      <c r="DR110" s="282">
        <v>0</v>
      </c>
      <c r="DS110" s="226"/>
      <c r="DT110" s="273">
        <v>0</v>
      </c>
      <c r="DU110" s="278">
        <v>0</v>
      </c>
      <c r="DV110" s="278">
        <v>0</v>
      </c>
      <c r="DW110" s="278">
        <v>0</v>
      </c>
      <c r="DX110" s="275">
        <v>0</v>
      </c>
      <c r="DY110" s="275">
        <v>0</v>
      </c>
      <c r="DZ110" s="275">
        <v>0</v>
      </c>
      <c r="EA110" s="275">
        <v>0</v>
      </c>
      <c r="EB110" s="275">
        <v>0</v>
      </c>
      <c r="EC110" s="275">
        <v>0</v>
      </c>
      <c r="ED110" s="275">
        <v>0</v>
      </c>
      <c r="EE110" s="277"/>
      <c r="EF110" s="212"/>
      <c r="EG110" s="273">
        <v>0</v>
      </c>
      <c r="EH110" s="278">
        <v>0</v>
      </c>
      <c r="EI110" s="278">
        <v>0</v>
      </c>
      <c r="EJ110" s="278">
        <v>0</v>
      </c>
      <c r="EK110" s="275">
        <v>0</v>
      </c>
      <c r="EL110" s="275">
        <v>-1.9</v>
      </c>
      <c r="EM110" s="275">
        <v>0</v>
      </c>
      <c r="EN110" s="275">
        <v>-1.9</v>
      </c>
      <c r="EO110" s="275">
        <v>0</v>
      </c>
      <c r="EP110" s="275">
        <v>0</v>
      </c>
      <c r="EQ110" s="275">
        <v>-1.9</v>
      </c>
      <c r="ER110" s="313">
        <v>0</v>
      </c>
      <c r="ES110" s="283"/>
      <c r="ET110" s="273">
        <v>0</v>
      </c>
      <c r="EU110" s="278">
        <v>0</v>
      </c>
      <c r="EV110" s="278">
        <v>0</v>
      </c>
      <c r="EW110" s="278">
        <v>0</v>
      </c>
      <c r="EX110" s="275">
        <v>0</v>
      </c>
      <c r="EY110" s="275">
        <v>0</v>
      </c>
      <c r="EZ110" s="275">
        <v>0</v>
      </c>
      <c r="FA110" s="275">
        <v>0</v>
      </c>
      <c r="FB110" s="275">
        <v>0</v>
      </c>
      <c r="FC110" s="275">
        <v>0</v>
      </c>
      <c r="FD110" s="275">
        <v>0</v>
      </c>
      <c r="FE110" s="277">
        <v>0</v>
      </c>
      <c r="FF110" s="212"/>
      <c r="FG110" s="273">
        <v>0</v>
      </c>
      <c r="FH110" s="278">
        <v>0</v>
      </c>
      <c r="FI110" s="278">
        <v>0</v>
      </c>
      <c r="FJ110" s="278">
        <v>0</v>
      </c>
      <c r="FK110" s="275">
        <v>0</v>
      </c>
      <c r="FL110" s="275">
        <v>0</v>
      </c>
      <c r="FM110" s="275">
        <v>0</v>
      </c>
      <c r="FN110" s="275">
        <v>0</v>
      </c>
      <c r="FO110" s="275">
        <v>0</v>
      </c>
      <c r="FP110" s="275">
        <v>0</v>
      </c>
      <c r="FQ110" s="275">
        <v>0</v>
      </c>
      <c r="FR110" s="313">
        <v>0</v>
      </c>
      <c r="FS110" s="283"/>
      <c r="FT110" s="286">
        <v>0</v>
      </c>
      <c r="FU110" s="260">
        <v>300</v>
      </c>
      <c r="FV110" s="260">
        <v>0</v>
      </c>
      <c r="FW110" s="260">
        <v>-300</v>
      </c>
      <c r="FX110" s="287">
        <v>-1</v>
      </c>
      <c r="FY110" s="327">
        <v>0</v>
      </c>
      <c r="FZ110" s="275">
        <v>5.6999999999999993</v>
      </c>
      <c r="GA110" s="275">
        <v>0</v>
      </c>
      <c r="GB110" s="275">
        <v>-5.6999999999999993</v>
      </c>
      <c r="GC110" s="275">
        <v>-5.6999999999999993</v>
      </c>
      <c r="GD110" s="275">
        <v>0</v>
      </c>
      <c r="GE110" s="275">
        <v>0</v>
      </c>
      <c r="GF110" s="277">
        <v>0</v>
      </c>
      <c r="GG110" s="214">
        <v>0</v>
      </c>
      <c r="GH110" s="286">
        <v>0</v>
      </c>
      <c r="GI110" s="260">
        <v>0</v>
      </c>
      <c r="GJ110" s="260">
        <v>0</v>
      </c>
      <c r="GK110" s="260">
        <v>0</v>
      </c>
      <c r="GL110" s="291">
        <v>0</v>
      </c>
      <c r="GM110" s="275">
        <v>0</v>
      </c>
      <c r="GN110" s="275">
        <v>0</v>
      </c>
      <c r="GO110" s="275">
        <v>0</v>
      </c>
      <c r="GP110" s="275">
        <v>0</v>
      </c>
      <c r="GQ110" s="275">
        <v>0</v>
      </c>
      <c r="GR110" s="277">
        <v>0</v>
      </c>
      <c r="GS110" s="275">
        <v>0</v>
      </c>
      <c r="GT110" s="284">
        <v>0</v>
      </c>
      <c r="GU110" s="292">
        <v>0</v>
      </c>
      <c r="GV110" s="214">
        <v>0</v>
      </c>
      <c r="GW110" s="293">
        <v>0</v>
      </c>
      <c r="GX110" s="294"/>
      <c r="GY110" s="293">
        <v>0</v>
      </c>
      <c r="GZ110" s="293">
        <v>0</v>
      </c>
      <c r="HA110" s="293">
        <v>0</v>
      </c>
      <c r="HB110" s="293">
        <v>0</v>
      </c>
      <c r="HC110" s="295">
        <v>0</v>
      </c>
    </row>
    <row r="111" spans="1:211" ht="12.75" customHeight="1">
      <c r="B111" s="328" t="s">
        <v>328</v>
      </c>
      <c r="C111" s="297" t="s">
        <v>312</v>
      </c>
      <c r="D111" s="299" t="s">
        <v>329</v>
      </c>
      <c r="E111" s="299" t="s">
        <v>312</v>
      </c>
      <c r="F111" s="382"/>
      <c r="G111" s="386"/>
      <c r="H111" s="301">
        <v>0</v>
      </c>
      <c r="I111" s="267"/>
      <c r="J111" s="302"/>
      <c r="K111" s="302"/>
      <c r="L111" s="261">
        <v>0</v>
      </c>
      <c r="M111" s="261">
        <v>0</v>
      </c>
      <c r="N111" s="261"/>
      <c r="O111" s="261">
        <v>0</v>
      </c>
      <c r="P111" s="261">
        <v>0</v>
      </c>
      <c r="Q111" s="261"/>
      <c r="R111" s="303">
        <v>0</v>
      </c>
      <c r="S111" s="261">
        <f t="shared" si="5"/>
        <v>0</v>
      </c>
      <c r="T111" s="270">
        <v>0</v>
      </c>
      <c r="U111" s="267">
        <v>0</v>
      </c>
      <c r="V111" s="259">
        <v>0</v>
      </c>
      <c r="W111" s="259">
        <v>0</v>
      </c>
      <c r="X111" s="259">
        <v>0</v>
      </c>
      <c r="Y111" s="259">
        <v>0</v>
      </c>
      <c r="Z111" s="259">
        <v>0</v>
      </c>
      <c r="AA111" s="259">
        <v>0</v>
      </c>
      <c r="AB111" s="259">
        <v>0</v>
      </c>
      <c r="AC111" s="259">
        <v>0</v>
      </c>
      <c r="AD111" s="259">
        <v>0</v>
      </c>
      <c r="AE111" s="268">
        <v>0</v>
      </c>
      <c r="AG111" s="270">
        <v>0</v>
      </c>
      <c r="AH111" s="267">
        <v>0</v>
      </c>
      <c r="AI111" s="259">
        <v>0</v>
      </c>
      <c r="AJ111" s="259">
        <v>0</v>
      </c>
      <c r="AK111" s="259">
        <v>0</v>
      </c>
      <c r="AL111" s="259">
        <v>0</v>
      </c>
      <c r="AM111" s="259">
        <v>0</v>
      </c>
      <c r="AN111" s="259">
        <v>0</v>
      </c>
      <c r="AO111" s="259">
        <v>0</v>
      </c>
      <c r="AP111" s="259">
        <v>0</v>
      </c>
      <c r="AQ111" s="259">
        <v>0</v>
      </c>
      <c r="AR111" s="268">
        <v>0</v>
      </c>
      <c r="AS111" s="269">
        <v>0</v>
      </c>
      <c r="AT111" s="305">
        <v>0</v>
      </c>
      <c r="AU111" s="259">
        <v>0</v>
      </c>
      <c r="AV111" s="259">
        <v>0</v>
      </c>
      <c r="AW111" s="259">
        <v>0</v>
      </c>
      <c r="AX111" s="259">
        <v>0</v>
      </c>
      <c r="AY111" s="259">
        <v>0</v>
      </c>
      <c r="AZ111" s="259">
        <v>0</v>
      </c>
      <c r="BA111" s="259">
        <v>0</v>
      </c>
      <c r="BB111" s="259">
        <v>0</v>
      </c>
      <c r="BC111" s="259">
        <v>0</v>
      </c>
      <c r="BD111" s="259">
        <v>0</v>
      </c>
      <c r="BE111" s="268">
        <v>0</v>
      </c>
      <c r="BG111" s="305">
        <v>0</v>
      </c>
      <c r="BH111" s="259">
        <v>0</v>
      </c>
      <c r="BI111" s="259">
        <v>0</v>
      </c>
      <c r="BJ111" s="259">
        <v>0</v>
      </c>
      <c r="BK111" s="259">
        <v>0</v>
      </c>
      <c r="BL111" s="259">
        <v>0</v>
      </c>
      <c r="BM111" s="259">
        <v>0</v>
      </c>
      <c r="BN111" s="259">
        <v>0</v>
      </c>
      <c r="BO111" s="259">
        <v>0</v>
      </c>
      <c r="BP111" s="259">
        <v>0</v>
      </c>
      <c r="BQ111" s="259">
        <v>0</v>
      </c>
      <c r="BR111" s="268">
        <v>0</v>
      </c>
      <c r="BT111" s="389">
        <v>0</v>
      </c>
      <c r="BU111" s="307">
        <v>0</v>
      </c>
      <c r="BV111" s="307">
        <v>0</v>
      </c>
      <c r="BW111" s="307">
        <v>0</v>
      </c>
      <c r="BX111" s="307">
        <v>0</v>
      </c>
      <c r="BY111" s="307">
        <v>0</v>
      </c>
      <c r="BZ111" s="307">
        <v>0</v>
      </c>
      <c r="CA111" s="307">
        <v>0</v>
      </c>
      <c r="CB111" s="307">
        <v>0</v>
      </c>
      <c r="CC111" s="307">
        <v>0</v>
      </c>
      <c r="CD111" s="307">
        <v>0</v>
      </c>
      <c r="CE111" s="308">
        <v>0</v>
      </c>
      <c r="CF111" s="212"/>
      <c r="CG111" s="273"/>
      <c r="CH111" s="274">
        <v>0</v>
      </c>
      <c r="CI111" s="278"/>
      <c r="CJ111" s="274">
        <v>0</v>
      </c>
      <c r="CK111" s="274"/>
      <c r="CL111" s="276">
        <v>0</v>
      </c>
      <c r="CM111" s="276">
        <v>0</v>
      </c>
      <c r="CN111" s="276"/>
      <c r="CO111" s="276">
        <v>0</v>
      </c>
      <c r="CP111" s="276"/>
      <c r="CQ111" s="276"/>
      <c r="CR111" s="521"/>
      <c r="CS111" s="212"/>
      <c r="CT111" s="273">
        <v>0</v>
      </c>
      <c r="CU111" s="278">
        <v>0</v>
      </c>
      <c r="CV111" s="278">
        <v>0</v>
      </c>
      <c r="CW111" s="278">
        <v>0</v>
      </c>
      <c r="CX111" s="278">
        <v>0</v>
      </c>
      <c r="CY111" s="278">
        <v>0</v>
      </c>
      <c r="CZ111" s="278">
        <v>0</v>
      </c>
      <c r="DA111" s="278">
        <v>0</v>
      </c>
      <c r="DB111" s="278">
        <v>0</v>
      </c>
      <c r="DC111" s="278">
        <v>0</v>
      </c>
      <c r="DD111" s="278">
        <v>0</v>
      </c>
      <c r="DE111" s="278">
        <v>0</v>
      </c>
      <c r="DF111" s="390">
        <f t="shared" si="6"/>
        <v>0</v>
      </c>
      <c r="DG111" s="273">
        <v>0</v>
      </c>
      <c r="DH111" s="281">
        <v>0</v>
      </c>
      <c r="DI111" s="278">
        <v>0</v>
      </c>
      <c r="DJ111" s="278">
        <v>0</v>
      </c>
      <c r="DK111" s="278">
        <v>0</v>
      </c>
      <c r="DL111" s="278">
        <v>0</v>
      </c>
      <c r="DM111" s="278">
        <v>0</v>
      </c>
      <c r="DN111" s="278">
        <v>0</v>
      </c>
      <c r="DO111" s="278">
        <v>0</v>
      </c>
      <c r="DP111" s="278">
        <v>0</v>
      </c>
      <c r="DQ111" s="278">
        <v>0</v>
      </c>
      <c r="DR111" s="282">
        <v>0</v>
      </c>
      <c r="DS111" s="226"/>
      <c r="DT111" s="312">
        <v>0</v>
      </c>
      <c r="DU111" s="274">
        <v>0</v>
      </c>
      <c r="DV111" s="274">
        <v>0</v>
      </c>
      <c r="DW111" s="274">
        <v>0</v>
      </c>
      <c r="DX111" s="276">
        <v>0</v>
      </c>
      <c r="DY111" s="276">
        <v>0</v>
      </c>
      <c r="DZ111" s="276">
        <v>0</v>
      </c>
      <c r="EA111" s="276">
        <v>0</v>
      </c>
      <c r="EB111" s="276">
        <v>0</v>
      </c>
      <c r="EC111" s="276">
        <v>0</v>
      </c>
      <c r="ED111" s="276">
        <v>0</v>
      </c>
      <c r="EE111" s="313">
        <v>0</v>
      </c>
      <c r="EF111" s="212"/>
      <c r="EG111" s="312">
        <v>0</v>
      </c>
      <c r="EH111" s="274">
        <v>0</v>
      </c>
      <c r="EI111" s="274">
        <v>0</v>
      </c>
      <c r="EJ111" s="278">
        <v>0</v>
      </c>
      <c r="EK111" s="276">
        <v>0</v>
      </c>
      <c r="EL111" s="276">
        <v>0</v>
      </c>
      <c r="EM111" s="276">
        <v>0</v>
      </c>
      <c r="EN111" s="276">
        <v>0</v>
      </c>
      <c r="EO111" s="276">
        <v>0</v>
      </c>
      <c r="EP111" s="276">
        <v>0</v>
      </c>
      <c r="EQ111" s="276">
        <v>0</v>
      </c>
      <c r="ER111" s="313">
        <v>0</v>
      </c>
      <c r="ES111" s="283"/>
      <c r="ET111" s="312">
        <v>0</v>
      </c>
      <c r="EU111" s="274">
        <v>0</v>
      </c>
      <c r="EV111" s="274">
        <v>0</v>
      </c>
      <c r="EW111" s="274">
        <v>0</v>
      </c>
      <c r="EX111" s="276">
        <v>0</v>
      </c>
      <c r="EY111" s="276">
        <v>0</v>
      </c>
      <c r="EZ111" s="276">
        <v>0</v>
      </c>
      <c r="FA111" s="276">
        <v>0</v>
      </c>
      <c r="FB111" s="276">
        <v>0</v>
      </c>
      <c r="FC111" s="276">
        <v>0</v>
      </c>
      <c r="FD111" s="276">
        <v>0</v>
      </c>
      <c r="FE111" s="313">
        <v>0</v>
      </c>
      <c r="FF111" s="212"/>
      <c r="FG111" s="312">
        <v>0</v>
      </c>
      <c r="FH111" s="274">
        <v>0</v>
      </c>
      <c r="FI111" s="274">
        <v>0</v>
      </c>
      <c r="FJ111" s="278">
        <v>0</v>
      </c>
      <c r="FK111" s="276">
        <v>0</v>
      </c>
      <c r="FL111" s="276">
        <v>0</v>
      </c>
      <c r="FM111" s="276">
        <v>0</v>
      </c>
      <c r="FN111" s="276">
        <v>0</v>
      </c>
      <c r="FO111" s="276">
        <v>0</v>
      </c>
      <c r="FP111" s="276">
        <v>0</v>
      </c>
      <c r="FQ111" s="276">
        <v>0</v>
      </c>
      <c r="FR111" s="313">
        <v>0</v>
      </c>
      <c r="FS111" s="283"/>
      <c r="FT111" s="286">
        <v>0</v>
      </c>
      <c r="FU111" s="260">
        <v>0</v>
      </c>
      <c r="FV111" s="260">
        <v>0</v>
      </c>
      <c r="FW111" s="260">
        <v>0</v>
      </c>
      <c r="FX111" s="287">
        <v>0</v>
      </c>
      <c r="FY111" s="327">
        <v>0</v>
      </c>
      <c r="FZ111" s="275">
        <v>0</v>
      </c>
      <c r="GA111" s="275">
        <v>0</v>
      </c>
      <c r="GB111" s="275">
        <v>0</v>
      </c>
      <c r="GC111" s="275">
        <v>0</v>
      </c>
      <c r="GD111" s="275">
        <v>0</v>
      </c>
      <c r="GE111" s="275">
        <v>0</v>
      </c>
      <c r="GF111" s="277">
        <v>0</v>
      </c>
      <c r="GG111" s="214">
        <v>0</v>
      </c>
      <c r="GH111" s="286">
        <v>0</v>
      </c>
      <c r="GI111" s="260">
        <v>0</v>
      </c>
      <c r="GJ111" s="260">
        <v>0</v>
      </c>
      <c r="GK111" s="260">
        <v>0</v>
      </c>
      <c r="GL111" s="291">
        <v>0</v>
      </c>
      <c r="GM111" s="275">
        <v>0</v>
      </c>
      <c r="GN111" s="275">
        <v>0</v>
      </c>
      <c r="GO111" s="275">
        <v>0</v>
      </c>
      <c r="GP111" s="275">
        <v>0</v>
      </c>
      <c r="GQ111" s="275">
        <v>0</v>
      </c>
      <c r="GR111" s="277">
        <v>0</v>
      </c>
      <c r="GS111" s="275">
        <v>0</v>
      </c>
      <c r="GT111" s="284">
        <v>0</v>
      </c>
      <c r="GU111" s="292">
        <v>0</v>
      </c>
      <c r="GV111" s="214">
        <v>0</v>
      </c>
      <c r="GW111" s="293">
        <v>0</v>
      </c>
      <c r="GX111" s="294"/>
      <c r="GY111" s="293">
        <v>0</v>
      </c>
      <c r="GZ111" s="293">
        <v>0</v>
      </c>
      <c r="HA111" s="293">
        <v>0</v>
      </c>
      <c r="HB111" s="293">
        <v>0</v>
      </c>
      <c r="HC111" s="295">
        <v>0</v>
      </c>
    </row>
    <row r="112" spans="1:211" ht="12.75" customHeight="1">
      <c r="B112" s="328" t="s">
        <v>330</v>
      </c>
      <c r="C112" s="297" t="s">
        <v>312</v>
      </c>
      <c r="D112" s="299" t="s">
        <v>331</v>
      </c>
      <c r="E112" s="299" t="s">
        <v>330</v>
      </c>
      <c r="F112" s="382"/>
      <c r="G112" s="386">
        <v>67.97999999999999</v>
      </c>
      <c r="H112" s="386">
        <v>167.99999999999983</v>
      </c>
      <c r="I112" s="334">
        <v>84.000000000000114</v>
      </c>
      <c r="J112" s="336">
        <v>167.84999999999985</v>
      </c>
      <c r="K112" s="336">
        <v>0</v>
      </c>
      <c r="L112" s="332">
        <v>0</v>
      </c>
      <c r="M112" s="332">
        <v>0</v>
      </c>
      <c r="N112" s="332">
        <v>0</v>
      </c>
      <c r="O112" s="332">
        <v>0</v>
      </c>
      <c r="P112" s="332">
        <v>0</v>
      </c>
      <c r="Q112" s="332"/>
      <c r="R112" s="387">
        <v>0</v>
      </c>
      <c r="S112" s="261">
        <f t="shared" si="5"/>
        <v>0</v>
      </c>
      <c r="T112" s="270">
        <v>100</v>
      </c>
      <c r="U112" s="267">
        <v>100</v>
      </c>
      <c r="V112" s="259">
        <v>100</v>
      </c>
      <c r="W112" s="259">
        <v>100</v>
      </c>
      <c r="X112" s="259">
        <v>150</v>
      </c>
      <c r="Y112" s="259">
        <v>150</v>
      </c>
      <c r="Z112" s="259">
        <v>200</v>
      </c>
      <c r="AA112" s="259">
        <v>200</v>
      </c>
      <c r="AB112" s="259">
        <v>200</v>
      </c>
      <c r="AC112" s="259">
        <v>100</v>
      </c>
      <c r="AD112" s="259">
        <v>200</v>
      </c>
      <c r="AE112" s="268">
        <v>100</v>
      </c>
      <c r="AG112" s="270">
        <v>0</v>
      </c>
      <c r="AH112" s="267">
        <v>160</v>
      </c>
      <c r="AI112" s="259">
        <v>136</v>
      </c>
      <c r="AJ112" s="259">
        <v>165</v>
      </c>
      <c r="AK112" s="259">
        <v>0</v>
      </c>
      <c r="AL112" s="259">
        <v>0</v>
      </c>
      <c r="AM112" s="259">
        <v>0</v>
      </c>
      <c r="AN112" s="259">
        <v>0</v>
      </c>
      <c r="AO112" s="259">
        <v>0</v>
      </c>
      <c r="AP112" s="259">
        <v>0</v>
      </c>
      <c r="AQ112" s="259">
        <v>0</v>
      </c>
      <c r="AR112" s="268">
        <v>0</v>
      </c>
      <c r="AS112" s="269">
        <v>0</v>
      </c>
      <c r="AT112" s="351">
        <v>141170.86613709916</v>
      </c>
      <c r="AU112" s="259">
        <v>142078.56898809553</v>
      </c>
      <c r="AV112" s="259">
        <v>142462.74988095229</v>
      </c>
      <c r="AW112" s="259">
        <v>141653.42043491238</v>
      </c>
      <c r="AX112" s="259">
        <v>0</v>
      </c>
      <c r="AY112" s="259">
        <v>0</v>
      </c>
      <c r="AZ112" s="259">
        <v>0</v>
      </c>
      <c r="BA112" s="259">
        <v>0</v>
      </c>
      <c r="BB112" s="259">
        <v>0</v>
      </c>
      <c r="BC112" s="259">
        <v>0</v>
      </c>
      <c r="BD112" s="259">
        <v>0</v>
      </c>
      <c r="BE112" s="268">
        <v>0</v>
      </c>
      <c r="BG112" s="351">
        <v>137950.36994256161</v>
      </c>
      <c r="BH112" s="259">
        <v>137950.36994256161</v>
      </c>
      <c r="BI112" s="259">
        <v>137950.36994256161</v>
      </c>
      <c r="BJ112" s="259">
        <v>137950.36994256161</v>
      </c>
      <c r="BK112" s="259">
        <v>137950.36994256161</v>
      </c>
      <c r="BL112" s="259">
        <v>137950.36994256161</v>
      </c>
      <c r="BM112" s="259">
        <v>137950.36994256161</v>
      </c>
      <c r="BN112" s="259">
        <v>137950.36994256161</v>
      </c>
      <c r="BO112" s="259">
        <v>137950.36994256161</v>
      </c>
      <c r="BP112" s="259">
        <v>137950.36994256161</v>
      </c>
      <c r="BQ112" s="259">
        <v>137950.36994256161</v>
      </c>
      <c r="BR112" s="268">
        <v>137950.36994256161</v>
      </c>
      <c r="BT112" s="389">
        <v>0</v>
      </c>
      <c r="BU112" s="307">
        <v>140301</v>
      </c>
      <c r="BV112" s="307">
        <v>141000</v>
      </c>
      <c r="BW112" s="307">
        <v>141033.5</v>
      </c>
      <c r="BX112" s="307">
        <v>0</v>
      </c>
      <c r="BY112" s="307">
        <v>0</v>
      </c>
      <c r="BZ112" s="307">
        <v>0</v>
      </c>
      <c r="CA112" s="307">
        <v>0</v>
      </c>
      <c r="CB112" s="307">
        <v>0</v>
      </c>
      <c r="CC112" s="307">
        <v>0</v>
      </c>
      <c r="CD112" s="307">
        <v>0</v>
      </c>
      <c r="CE112" s="308">
        <v>0</v>
      </c>
      <c r="CF112" s="212"/>
      <c r="CG112" s="273">
        <v>0.95967954799999999</v>
      </c>
      <c r="CH112" s="329">
        <v>2.3869199590000028</v>
      </c>
      <c r="CI112" s="329">
        <v>1.1966870990000009</v>
      </c>
      <c r="CJ112" s="329">
        <v>2.3776526620000022</v>
      </c>
      <c r="CK112" s="329">
        <v>0</v>
      </c>
      <c r="CL112" s="338">
        <v>0</v>
      </c>
      <c r="CM112" s="338">
        <v>0</v>
      </c>
      <c r="CN112" s="338">
        <v>0</v>
      </c>
      <c r="CO112" s="338">
        <v>0</v>
      </c>
      <c r="CP112" s="338"/>
      <c r="CQ112" s="338"/>
      <c r="CR112" s="522"/>
      <c r="CS112" s="212"/>
      <c r="CT112" s="273">
        <v>1.379503699425616</v>
      </c>
      <c r="CU112" s="273">
        <v>1.379503699425616</v>
      </c>
      <c r="CV112" s="273">
        <v>1.379503699425616</v>
      </c>
      <c r="CW112" s="273">
        <v>1.379503699425616</v>
      </c>
      <c r="CX112" s="273">
        <v>2.0692555491384241</v>
      </c>
      <c r="CY112" s="273">
        <v>2.0692555491384241</v>
      </c>
      <c r="CZ112" s="278">
        <v>2.759007398851232</v>
      </c>
      <c r="DA112" s="278">
        <v>2.759007398851232</v>
      </c>
      <c r="DB112" s="278">
        <v>2.759007398851232</v>
      </c>
      <c r="DC112" s="278">
        <v>1.379503699425616</v>
      </c>
      <c r="DD112" s="278">
        <v>2.759007398851232</v>
      </c>
      <c r="DE112" s="278">
        <v>1.379503699425616</v>
      </c>
      <c r="DF112" s="390">
        <f t="shared" si="6"/>
        <v>5.5180147977024641</v>
      </c>
      <c r="DG112" s="273">
        <v>0</v>
      </c>
      <c r="DH112" s="281">
        <v>2.2448160000000001</v>
      </c>
      <c r="DI112" s="278">
        <v>1.9176</v>
      </c>
      <c r="DJ112" s="278">
        <v>2.32705275</v>
      </c>
      <c r="DK112" s="278">
        <v>0</v>
      </c>
      <c r="DL112" s="278">
        <v>0</v>
      </c>
      <c r="DM112" s="278">
        <v>0</v>
      </c>
      <c r="DN112" s="278">
        <v>0</v>
      </c>
      <c r="DO112" s="278">
        <v>0</v>
      </c>
      <c r="DP112" s="278">
        <v>0</v>
      </c>
      <c r="DQ112" s="278">
        <v>0</v>
      </c>
      <c r="DR112" s="282">
        <v>0</v>
      </c>
      <c r="DS112" s="226"/>
      <c r="DT112" s="315">
        <v>2.189293313046629E-2</v>
      </c>
      <c r="DU112" s="329">
        <v>6.9353743964969877E-2</v>
      </c>
      <c r="DV112" s="329">
        <v>3.790399148248183E-2</v>
      </c>
      <c r="DW112" s="329">
        <v>6.2155702514107597E-2</v>
      </c>
      <c r="DX112" s="276">
        <v>0</v>
      </c>
      <c r="DY112" s="276">
        <v>0</v>
      </c>
      <c r="DZ112" s="276">
        <v>0</v>
      </c>
      <c r="EA112" s="276">
        <v>0</v>
      </c>
      <c r="EB112" s="276">
        <v>0</v>
      </c>
      <c r="EC112" s="276">
        <v>0</v>
      </c>
      <c r="ED112" s="276">
        <v>0</v>
      </c>
      <c r="EE112" s="313">
        <v>0</v>
      </c>
      <c r="EF112" s="212"/>
      <c r="EG112" s="315">
        <v>-0.44171708455608244</v>
      </c>
      <c r="EH112" s="274">
        <v>0.93806251560941656</v>
      </c>
      <c r="EI112" s="274">
        <v>-0.22072059190809698</v>
      </c>
      <c r="EJ112" s="278">
        <v>0.9359932600602785</v>
      </c>
      <c r="EK112" s="276">
        <v>-2.0692555491384241</v>
      </c>
      <c r="EL112" s="276">
        <v>-2.0692555491384241</v>
      </c>
      <c r="EM112" s="276">
        <v>-2.759007398851232</v>
      </c>
      <c r="EN112" s="276">
        <v>-2.759007398851232</v>
      </c>
      <c r="EO112" s="276">
        <v>-2.759007398851232</v>
      </c>
      <c r="EP112" s="276">
        <v>-1.379503699425616</v>
      </c>
      <c r="EQ112" s="276">
        <v>-2.759007398851232</v>
      </c>
      <c r="ER112" s="313">
        <v>-1.379503699425616</v>
      </c>
      <c r="ES112" s="283"/>
      <c r="ET112" s="315">
        <v>0.95967954799999999</v>
      </c>
      <c r="EU112" s="329">
        <v>2.9863159000004916E-2</v>
      </c>
      <c r="EV112" s="329">
        <v>1.2287098999999293E-2</v>
      </c>
      <c r="EW112" s="329">
        <v>1.0405364500004215E-2</v>
      </c>
      <c r="EX112" s="276">
        <v>0</v>
      </c>
      <c r="EY112" s="276">
        <v>0</v>
      </c>
      <c r="EZ112" s="276">
        <v>0</v>
      </c>
      <c r="FA112" s="276">
        <v>0</v>
      </c>
      <c r="FB112" s="276">
        <v>0</v>
      </c>
      <c r="FC112" s="276">
        <v>0</v>
      </c>
      <c r="FD112" s="276">
        <v>0</v>
      </c>
      <c r="FE112" s="313">
        <v>0</v>
      </c>
      <c r="FF112" s="212"/>
      <c r="FG112" s="315">
        <v>0</v>
      </c>
      <c r="FH112" s="274">
        <v>0.1122407999999976</v>
      </c>
      <c r="FI112" s="274">
        <v>-0.73319999999999841</v>
      </c>
      <c r="FJ112" s="278">
        <v>4.0194547499997915E-2</v>
      </c>
      <c r="FK112" s="276">
        <v>0</v>
      </c>
      <c r="FL112" s="276">
        <v>0</v>
      </c>
      <c r="FM112" s="276">
        <v>0</v>
      </c>
      <c r="FN112" s="276">
        <v>0</v>
      </c>
      <c r="FO112" s="276">
        <v>0</v>
      </c>
      <c r="FP112" s="276">
        <v>0</v>
      </c>
      <c r="FQ112" s="276">
        <v>0</v>
      </c>
      <c r="FR112" s="313">
        <v>0</v>
      </c>
      <c r="FS112" s="283"/>
      <c r="FT112" s="286">
        <v>487.82999999999976</v>
      </c>
      <c r="FU112" s="260">
        <v>1700</v>
      </c>
      <c r="FV112" s="260">
        <v>461</v>
      </c>
      <c r="FW112" s="260">
        <v>-1212.1700000000003</v>
      </c>
      <c r="FX112" s="287">
        <v>-0.7130411764705884</v>
      </c>
      <c r="FY112" s="327">
        <v>6.9209392680000068</v>
      </c>
      <c r="FZ112" s="275">
        <v>23.451562890235472</v>
      </c>
      <c r="GA112" s="275">
        <v>6.4894687500000003</v>
      </c>
      <c r="GB112" s="275">
        <v>-16.530623622235467</v>
      </c>
      <c r="GC112" s="275">
        <v>-16.721929993327493</v>
      </c>
      <c r="GD112" s="275">
        <v>0.19130637109202553</v>
      </c>
      <c r="GE112" s="275">
        <v>-0.58076465250000286</v>
      </c>
      <c r="GF112" s="277">
        <v>1.0122351705000083</v>
      </c>
      <c r="GG112" s="214">
        <v>0</v>
      </c>
      <c r="GH112" s="286">
        <v>0</v>
      </c>
      <c r="GI112" s="260">
        <v>100</v>
      </c>
      <c r="GJ112" s="260">
        <v>0</v>
      </c>
      <c r="GK112" s="260">
        <v>-100</v>
      </c>
      <c r="GL112" s="291">
        <v>-1</v>
      </c>
      <c r="GM112" s="275">
        <v>0</v>
      </c>
      <c r="GN112" s="275">
        <v>1.379503699425616</v>
      </c>
      <c r="GO112" s="275">
        <v>0</v>
      </c>
      <c r="GP112" s="275">
        <v>-1.379503699425616</v>
      </c>
      <c r="GQ112" s="275">
        <v>-1.379503699425616</v>
      </c>
      <c r="GR112" s="277">
        <v>0</v>
      </c>
      <c r="GS112" s="275">
        <v>0</v>
      </c>
      <c r="GT112" s="284">
        <v>0</v>
      </c>
      <c r="GU112" s="292">
        <v>0</v>
      </c>
      <c r="GV112" s="214">
        <v>0</v>
      </c>
      <c r="GW112" s="293">
        <v>0</v>
      </c>
      <c r="GX112" s="294"/>
      <c r="GY112" s="293">
        <v>0.43147051800000646</v>
      </c>
      <c r="GZ112" s="293">
        <v>-9.9920072216264089E-16</v>
      </c>
      <c r="HA112" s="293">
        <v>0</v>
      </c>
      <c r="HB112" s="293">
        <v>0</v>
      </c>
      <c r="HC112" s="295">
        <v>0</v>
      </c>
    </row>
    <row r="113" spans="1:211" ht="12.75" customHeight="1">
      <c r="B113" s="328" t="s">
        <v>332</v>
      </c>
      <c r="C113" s="297" t="s">
        <v>312</v>
      </c>
      <c r="D113" s="328" t="s">
        <v>331</v>
      </c>
      <c r="E113" s="299" t="s">
        <v>332</v>
      </c>
      <c r="F113" s="382"/>
      <c r="G113" s="386"/>
      <c r="H113" s="386">
        <v>0</v>
      </c>
      <c r="I113" s="334"/>
      <c r="J113" s="336"/>
      <c r="K113" s="307"/>
      <c r="L113" s="276">
        <v>0</v>
      </c>
      <c r="M113" s="307">
        <v>0</v>
      </c>
      <c r="N113" s="332"/>
      <c r="O113" s="332">
        <v>0</v>
      </c>
      <c r="P113" s="332">
        <v>0</v>
      </c>
      <c r="Q113" s="332"/>
      <c r="R113" s="387">
        <v>0</v>
      </c>
      <c r="S113" s="261">
        <f t="shared" si="5"/>
        <v>0</v>
      </c>
      <c r="T113" s="270">
        <v>0</v>
      </c>
      <c r="U113" s="267">
        <v>0</v>
      </c>
      <c r="V113" s="259">
        <v>0</v>
      </c>
      <c r="W113" s="259">
        <v>0</v>
      </c>
      <c r="X113" s="259">
        <v>0</v>
      </c>
      <c r="Y113" s="259">
        <v>0</v>
      </c>
      <c r="Z113" s="259">
        <v>0</v>
      </c>
      <c r="AA113" s="259">
        <v>0</v>
      </c>
      <c r="AB113" s="259">
        <v>0</v>
      </c>
      <c r="AC113" s="259">
        <v>0</v>
      </c>
      <c r="AD113" s="259">
        <v>0</v>
      </c>
      <c r="AE113" s="268">
        <v>0</v>
      </c>
      <c r="AG113" s="270">
        <v>0</v>
      </c>
      <c r="AH113" s="267">
        <v>0</v>
      </c>
      <c r="AI113" s="259">
        <v>0</v>
      </c>
      <c r="AJ113" s="259">
        <v>0</v>
      </c>
      <c r="AK113" s="259">
        <v>0</v>
      </c>
      <c r="AL113" s="259">
        <v>0</v>
      </c>
      <c r="AM113" s="259">
        <v>0</v>
      </c>
      <c r="AN113" s="259">
        <v>0</v>
      </c>
      <c r="AO113" s="259">
        <v>0</v>
      </c>
      <c r="AP113" s="259">
        <v>0</v>
      </c>
      <c r="AQ113" s="259">
        <v>0</v>
      </c>
      <c r="AR113" s="268">
        <v>0</v>
      </c>
      <c r="AS113" s="269">
        <v>0</v>
      </c>
      <c r="AT113" s="351">
        <v>0</v>
      </c>
      <c r="AU113" s="259">
        <v>0</v>
      </c>
      <c r="AV113" s="259">
        <v>0</v>
      </c>
      <c r="AW113" s="259">
        <v>0</v>
      </c>
      <c r="AX113" s="259">
        <v>0</v>
      </c>
      <c r="AY113" s="259">
        <v>0</v>
      </c>
      <c r="AZ113" s="259">
        <v>0</v>
      </c>
      <c r="BA113" s="259">
        <v>0</v>
      </c>
      <c r="BB113" s="259">
        <v>0</v>
      </c>
      <c r="BC113" s="259">
        <v>0</v>
      </c>
      <c r="BD113" s="259">
        <v>0</v>
      </c>
      <c r="BE113" s="268">
        <v>0</v>
      </c>
      <c r="BG113" s="351">
        <v>0</v>
      </c>
      <c r="BH113" s="259">
        <v>0</v>
      </c>
      <c r="BI113" s="259">
        <v>0</v>
      </c>
      <c r="BJ113" s="259">
        <v>0</v>
      </c>
      <c r="BK113" s="259">
        <v>0</v>
      </c>
      <c r="BL113" s="259">
        <v>0</v>
      </c>
      <c r="BM113" s="259">
        <v>0</v>
      </c>
      <c r="BN113" s="259">
        <v>0</v>
      </c>
      <c r="BO113" s="259">
        <v>0</v>
      </c>
      <c r="BP113" s="259">
        <v>0</v>
      </c>
      <c r="BQ113" s="259">
        <v>0</v>
      </c>
      <c r="BR113" s="268">
        <v>0</v>
      </c>
      <c r="BT113" s="389">
        <v>0</v>
      </c>
      <c r="BU113" s="307">
        <v>0</v>
      </c>
      <c r="BV113" s="307">
        <v>0</v>
      </c>
      <c r="BW113" s="307">
        <v>0</v>
      </c>
      <c r="BX113" s="307">
        <v>0</v>
      </c>
      <c r="BY113" s="307">
        <v>0</v>
      </c>
      <c r="BZ113" s="307">
        <v>0</v>
      </c>
      <c r="CA113" s="307">
        <v>0</v>
      </c>
      <c r="CB113" s="307">
        <v>0</v>
      </c>
      <c r="CC113" s="307">
        <v>0</v>
      </c>
      <c r="CD113" s="307">
        <v>0</v>
      </c>
      <c r="CE113" s="308">
        <v>0</v>
      </c>
      <c r="CF113" s="212"/>
      <c r="CG113" s="273"/>
      <c r="CH113" s="329">
        <v>0</v>
      </c>
      <c r="CI113" s="329"/>
      <c r="CJ113" s="329"/>
      <c r="CK113" s="329"/>
      <c r="CL113" s="338">
        <v>0</v>
      </c>
      <c r="CM113" s="338">
        <v>0</v>
      </c>
      <c r="CN113" s="338"/>
      <c r="CO113" s="338">
        <v>0</v>
      </c>
      <c r="CP113" s="338"/>
      <c r="CQ113" s="338"/>
      <c r="CR113" s="522"/>
      <c r="CS113" s="212"/>
      <c r="CT113" s="273">
        <v>0</v>
      </c>
      <c r="CU113" s="278">
        <v>0</v>
      </c>
      <c r="CV113" s="278">
        <v>0</v>
      </c>
      <c r="CW113" s="278">
        <v>0</v>
      </c>
      <c r="CX113" s="278">
        <v>0</v>
      </c>
      <c r="CY113" s="278">
        <v>0</v>
      </c>
      <c r="CZ113" s="278">
        <v>0</v>
      </c>
      <c r="DA113" s="278">
        <v>0</v>
      </c>
      <c r="DB113" s="278">
        <v>0</v>
      </c>
      <c r="DC113" s="278">
        <v>0</v>
      </c>
      <c r="DD113" s="278">
        <v>0</v>
      </c>
      <c r="DE113" s="278">
        <v>0</v>
      </c>
      <c r="DF113" s="390">
        <f t="shared" si="6"/>
        <v>0</v>
      </c>
      <c r="DG113" s="273">
        <v>0</v>
      </c>
      <c r="DH113" s="281">
        <v>0</v>
      </c>
      <c r="DI113" s="278">
        <v>0</v>
      </c>
      <c r="DJ113" s="278">
        <v>0</v>
      </c>
      <c r="DK113" s="278">
        <v>0</v>
      </c>
      <c r="DL113" s="278">
        <v>0</v>
      </c>
      <c r="DM113" s="278">
        <v>0</v>
      </c>
      <c r="DN113" s="278">
        <v>0</v>
      </c>
      <c r="DO113" s="278">
        <v>0</v>
      </c>
      <c r="DP113" s="278">
        <v>0</v>
      </c>
      <c r="DQ113" s="278">
        <v>0</v>
      </c>
      <c r="DR113" s="282">
        <v>0</v>
      </c>
      <c r="DS113" s="226"/>
      <c r="DT113" s="315">
        <v>0</v>
      </c>
      <c r="DU113" s="329">
        <v>0</v>
      </c>
      <c r="DV113" s="329">
        <v>0</v>
      </c>
      <c r="DW113" s="329">
        <v>0</v>
      </c>
      <c r="DX113" s="338">
        <v>0</v>
      </c>
      <c r="DY113" s="338">
        <v>0</v>
      </c>
      <c r="DZ113" s="338">
        <v>0</v>
      </c>
      <c r="EA113" s="338">
        <v>0</v>
      </c>
      <c r="EB113" s="338">
        <v>0</v>
      </c>
      <c r="EC113" s="338">
        <v>0</v>
      </c>
      <c r="ED113" s="338">
        <v>0</v>
      </c>
      <c r="EE113" s="313">
        <v>0</v>
      </c>
      <c r="EF113" s="212"/>
      <c r="EG113" s="315">
        <v>0</v>
      </c>
      <c r="EH113" s="274">
        <v>0</v>
      </c>
      <c r="EI113" s="274">
        <v>0</v>
      </c>
      <c r="EJ113" s="278">
        <v>0</v>
      </c>
      <c r="EK113" s="276">
        <v>0</v>
      </c>
      <c r="EL113" s="276">
        <v>0</v>
      </c>
      <c r="EM113" s="276">
        <v>0</v>
      </c>
      <c r="EN113" s="276">
        <v>0</v>
      </c>
      <c r="EO113" s="276">
        <v>0</v>
      </c>
      <c r="EP113" s="276">
        <v>0</v>
      </c>
      <c r="EQ113" s="276">
        <v>0</v>
      </c>
      <c r="ER113" s="313">
        <v>0</v>
      </c>
      <c r="ES113" s="283"/>
      <c r="ET113" s="315">
        <v>0</v>
      </c>
      <c r="EU113" s="329">
        <v>0</v>
      </c>
      <c r="EV113" s="329">
        <v>0</v>
      </c>
      <c r="EW113" s="329">
        <v>0</v>
      </c>
      <c r="EX113" s="338">
        <v>0</v>
      </c>
      <c r="EY113" s="338">
        <v>0</v>
      </c>
      <c r="EZ113" s="338">
        <v>0</v>
      </c>
      <c r="FA113" s="338">
        <v>0</v>
      </c>
      <c r="FB113" s="338">
        <v>0</v>
      </c>
      <c r="FC113" s="338">
        <v>0</v>
      </c>
      <c r="FD113" s="338">
        <v>0</v>
      </c>
      <c r="FE113" s="313">
        <v>0</v>
      </c>
      <c r="FF113" s="212"/>
      <c r="FG113" s="315">
        <v>0</v>
      </c>
      <c r="FH113" s="274">
        <v>0</v>
      </c>
      <c r="FI113" s="274">
        <v>0</v>
      </c>
      <c r="FJ113" s="278">
        <v>0</v>
      </c>
      <c r="FK113" s="276">
        <v>0</v>
      </c>
      <c r="FL113" s="276">
        <v>0</v>
      </c>
      <c r="FM113" s="276">
        <v>0</v>
      </c>
      <c r="FN113" s="276">
        <v>0</v>
      </c>
      <c r="FO113" s="276">
        <v>0</v>
      </c>
      <c r="FP113" s="276">
        <v>0</v>
      </c>
      <c r="FQ113" s="276">
        <v>0</v>
      </c>
      <c r="FR113" s="313">
        <v>0</v>
      </c>
      <c r="FS113" s="283"/>
      <c r="FT113" s="286">
        <v>0</v>
      </c>
      <c r="FU113" s="260">
        <v>0</v>
      </c>
      <c r="FV113" s="260">
        <v>0</v>
      </c>
      <c r="FW113" s="260">
        <v>0</v>
      </c>
      <c r="FX113" s="287">
        <v>0</v>
      </c>
      <c r="FY113" s="327">
        <v>0</v>
      </c>
      <c r="FZ113" s="275">
        <v>0</v>
      </c>
      <c r="GA113" s="275">
        <v>0</v>
      </c>
      <c r="GB113" s="275">
        <v>0</v>
      </c>
      <c r="GC113" s="275">
        <v>0</v>
      </c>
      <c r="GD113" s="275">
        <v>0</v>
      </c>
      <c r="GE113" s="275">
        <v>0</v>
      </c>
      <c r="GF113" s="277">
        <v>0</v>
      </c>
      <c r="GG113" s="214">
        <v>0</v>
      </c>
      <c r="GH113" s="286">
        <v>0</v>
      </c>
      <c r="GI113" s="260">
        <v>0</v>
      </c>
      <c r="GJ113" s="260">
        <v>0</v>
      </c>
      <c r="GK113" s="260">
        <v>0</v>
      </c>
      <c r="GL113" s="291">
        <v>0</v>
      </c>
      <c r="GM113" s="275">
        <v>0</v>
      </c>
      <c r="GN113" s="275">
        <v>0</v>
      </c>
      <c r="GO113" s="275">
        <v>0</v>
      </c>
      <c r="GP113" s="275">
        <v>0</v>
      </c>
      <c r="GQ113" s="275">
        <v>0</v>
      </c>
      <c r="GR113" s="277">
        <v>0</v>
      </c>
      <c r="GS113" s="275">
        <v>0</v>
      </c>
      <c r="GT113" s="284">
        <v>0</v>
      </c>
      <c r="GU113" s="292">
        <v>0</v>
      </c>
      <c r="GV113" s="214">
        <v>0</v>
      </c>
      <c r="GW113" s="293">
        <v>0</v>
      </c>
      <c r="GX113" s="294"/>
      <c r="GY113" s="293">
        <v>0</v>
      </c>
      <c r="GZ113" s="293">
        <v>0</v>
      </c>
      <c r="HA113" s="293">
        <v>0</v>
      </c>
      <c r="HB113" s="293">
        <v>0</v>
      </c>
      <c r="HC113" s="295">
        <v>0</v>
      </c>
    </row>
    <row r="114" spans="1:211" ht="12.75" customHeight="1">
      <c r="B114" s="328" t="s">
        <v>333</v>
      </c>
      <c r="C114" s="297" t="s">
        <v>312</v>
      </c>
      <c r="D114" s="328" t="s">
        <v>312</v>
      </c>
      <c r="E114" s="328" t="s">
        <v>312</v>
      </c>
      <c r="F114" s="382"/>
      <c r="G114" s="386"/>
      <c r="H114" s="386">
        <v>0</v>
      </c>
      <c r="I114" s="334"/>
      <c r="J114" s="336"/>
      <c r="K114" s="307"/>
      <c r="L114" s="338">
        <v>0</v>
      </c>
      <c r="M114" s="307">
        <v>0</v>
      </c>
      <c r="N114" s="332"/>
      <c r="O114" s="332">
        <v>0</v>
      </c>
      <c r="P114" s="332">
        <v>0</v>
      </c>
      <c r="Q114" s="332"/>
      <c r="R114" s="387">
        <v>0</v>
      </c>
      <c r="S114" s="261">
        <f t="shared" si="5"/>
        <v>0</v>
      </c>
      <c r="T114" s="333"/>
      <c r="U114" s="455"/>
      <c r="V114" s="335"/>
      <c r="W114" s="335"/>
      <c r="X114" s="259"/>
      <c r="Y114" s="259"/>
      <c r="Z114" s="259"/>
      <c r="AA114" s="259"/>
      <c r="AB114" s="259"/>
      <c r="AC114" s="259"/>
      <c r="AD114" s="259"/>
      <c r="AE114" s="304"/>
      <c r="AG114" s="333"/>
      <c r="AH114" s="455">
        <v>0</v>
      </c>
      <c r="AI114" s="335"/>
      <c r="AJ114" s="335"/>
      <c r="AK114" s="259"/>
      <c r="AL114" s="259"/>
      <c r="AM114" s="259"/>
      <c r="AN114" s="259"/>
      <c r="AO114" s="259"/>
      <c r="AP114" s="259"/>
      <c r="AQ114" s="259"/>
      <c r="AR114" s="268"/>
      <c r="AS114" s="269"/>
      <c r="AT114" s="351">
        <v>0</v>
      </c>
      <c r="AU114" s="259">
        <v>0</v>
      </c>
      <c r="AV114" s="259">
        <v>0</v>
      </c>
      <c r="AW114" s="259">
        <v>0</v>
      </c>
      <c r="AX114" s="259">
        <v>0</v>
      </c>
      <c r="AY114" s="259">
        <v>0</v>
      </c>
      <c r="AZ114" s="259">
        <v>0</v>
      </c>
      <c r="BA114" s="259">
        <v>0</v>
      </c>
      <c r="BB114" s="259">
        <v>0</v>
      </c>
      <c r="BC114" s="259">
        <v>0</v>
      </c>
      <c r="BD114" s="259">
        <v>0</v>
      </c>
      <c r="BE114" s="268">
        <v>0</v>
      </c>
      <c r="BG114" s="351">
        <v>0</v>
      </c>
      <c r="BH114" s="259">
        <v>0</v>
      </c>
      <c r="BI114" s="259">
        <v>0</v>
      </c>
      <c r="BJ114" s="259">
        <v>0</v>
      </c>
      <c r="BK114" s="259">
        <v>0</v>
      </c>
      <c r="BL114" s="259">
        <v>0</v>
      </c>
      <c r="BM114" s="259">
        <v>0</v>
      </c>
      <c r="BN114" s="259">
        <v>0</v>
      </c>
      <c r="BO114" s="259">
        <v>0</v>
      </c>
      <c r="BP114" s="259">
        <v>0</v>
      </c>
      <c r="BQ114" s="259">
        <v>0</v>
      </c>
      <c r="BR114" s="268">
        <v>0</v>
      </c>
      <c r="BT114" s="389"/>
      <c r="BU114" s="307"/>
      <c r="BV114" s="307"/>
      <c r="BW114" s="307"/>
      <c r="BX114" s="307"/>
      <c r="BY114" s="307"/>
      <c r="BZ114" s="307"/>
      <c r="CA114" s="307"/>
      <c r="CB114" s="307"/>
      <c r="CC114" s="307"/>
      <c r="CD114" s="307"/>
      <c r="CE114" s="308"/>
      <c r="CF114" s="212"/>
      <c r="CG114" s="326"/>
      <c r="CH114" s="329">
        <v>0</v>
      </c>
      <c r="CI114" s="329"/>
      <c r="CJ114" s="329"/>
      <c r="CK114" s="329"/>
      <c r="CL114" s="338">
        <v>0</v>
      </c>
      <c r="CM114" s="338">
        <v>0</v>
      </c>
      <c r="CN114" s="338"/>
      <c r="CO114" s="338">
        <v>0</v>
      </c>
      <c r="CP114" s="338"/>
      <c r="CQ114" s="338"/>
      <c r="CR114" s="522"/>
      <c r="CS114" s="212"/>
      <c r="CT114" s="273">
        <v>0</v>
      </c>
      <c r="CU114" s="278">
        <v>0</v>
      </c>
      <c r="CV114" s="278">
        <v>0</v>
      </c>
      <c r="CW114" s="278">
        <v>0</v>
      </c>
      <c r="CX114" s="278">
        <v>0</v>
      </c>
      <c r="CY114" s="278">
        <v>0</v>
      </c>
      <c r="CZ114" s="278">
        <v>0</v>
      </c>
      <c r="DA114" s="278">
        <v>0</v>
      </c>
      <c r="DB114" s="278">
        <v>0</v>
      </c>
      <c r="DC114" s="278">
        <v>0</v>
      </c>
      <c r="DD114" s="278">
        <v>0</v>
      </c>
      <c r="DE114" s="278">
        <v>0</v>
      </c>
      <c r="DF114" s="390">
        <f t="shared" si="6"/>
        <v>0</v>
      </c>
      <c r="DG114" s="273">
        <v>0</v>
      </c>
      <c r="DH114" s="281">
        <v>0</v>
      </c>
      <c r="DI114" s="278">
        <v>0</v>
      </c>
      <c r="DJ114" s="278">
        <v>0</v>
      </c>
      <c r="DK114" s="278">
        <v>0</v>
      </c>
      <c r="DL114" s="278">
        <v>0</v>
      </c>
      <c r="DM114" s="278">
        <v>0</v>
      </c>
      <c r="DN114" s="278">
        <v>0</v>
      </c>
      <c r="DO114" s="278">
        <v>0</v>
      </c>
      <c r="DP114" s="278">
        <v>0</v>
      </c>
      <c r="DQ114" s="278">
        <v>0</v>
      </c>
      <c r="DR114" s="282">
        <v>0</v>
      </c>
      <c r="DS114" s="226"/>
      <c r="DT114" s="315">
        <v>0</v>
      </c>
      <c r="DU114" s="329">
        <v>0</v>
      </c>
      <c r="DV114" s="329">
        <v>0</v>
      </c>
      <c r="DW114" s="329">
        <v>0</v>
      </c>
      <c r="DX114" s="338">
        <v>0</v>
      </c>
      <c r="DY114" s="338">
        <v>0</v>
      </c>
      <c r="DZ114" s="338">
        <v>0</v>
      </c>
      <c r="EA114" s="338">
        <v>0</v>
      </c>
      <c r="EB114" s="338">
        <v>0</v>
      </c>
      <c r="EC114" s="338">
        <v>0</v>
      </c>
      <c r="ED114" s="338">
        <v>0</v>
      </c>
      <c r="EE114" s="313">
        <v>0</v>
      </c>
      <c r="EF114" s="212"/>
      <c r="EG114" s="315">
        <v>0</v>
      </c>
      <c r="EH114" s="274">
        <v>0</v>
      </c>
      <c r="EI114" s="274">
        <v>0</v>
      </c>
      <c r="EJ114" s="278">
        <v>0</v>
      </c>
      <c r="EK114" s="276">
        <v>0</v>
      </c>
      <c r="EL114" s="276">
        <v>0</v>
      </c>
      <c r="EM114" s="276">
        <v>0</v>
      </c>
      <c r="EN114" s="276">
        <v>0</v>
      </c>
      <c r="EO114" s="276">
        <v>0</v>
      </c>
      <c r="EP114" s="276">
        <v>0</v>
      </c>
      <c r="EQ114" s="276">
        <v>0</v>
      </c>
      <c r="ER114" s="313">
        <v>0</v>
      </c>
      <c r="ES114" s="283"/>
      <c r="ET114" s="315">
        <v>0</v>
      </c>
      <c r="EU114" s="329">
        <v>0</v>
      </c>
      <c r="EV114" s="329">
        <v>0</v>
      </c>
      <c r="EW114" s="329">
        <v>0</v>
      </c>
      <c r="EX114" s="338">
        <v>0</v>
      </c>
      <c r="EY114" s="338">
        <v>0</v>
      </c>
      <c r="EZ114" s="338">
        <v>0</v>
      </c>
      <c r="FA114" s="338">
        <v>0</v>
      </c>
      <c r="FB114" s="338">
        <v>0</v>
      </c>
      <c r="FC114" s="338">
        <v>0</v>
      </c>
      <c r="FD114" s="338">
        <v>0</v>
      </c>
      <c r="FE114" s="313">
        <v>0</v>
      </c>
      <c r="FF114" s="212"/>
      <c r="FG114" s="315">
        <v>0</v>
      </c>
      <c r="FH114" s="274">
        <v>0</v>
      </c>
      <c r="FI114" s="274">
        <v>0</v>
      </c>
      <c r="FJ114" s="278">
        <v>0</v>
      </c>
      <c r="FK114" s="276">
        <v>0</v>
      </c>
      <c r="FL114" s="276">
        <v>0</v>
      </c>
      <c r="FM114" s="276">
        <v>0</v>
      </c>
      <c r="FN114" s="276">
        <v>0</v>
      </c>
      <c r="FO114" s="276">
        <v>0</v>
      </c>
      <c r="FP114" s="276">
        <v>0</v>
      </c>
      <c r="FQ114" s="276">
        <v>0</v>
      </c>
      <c r="FR114" s="313">
        <v>0</v>
      </c>
      <c r="FS114" s="283"/>
      <c r="FT114" s="286">
        <v>0</v>
      </c>
      <c r="FU114" s="260">
        <v>0</v>
      </c>
      <c r="FV114" s="260">
        <v>0</v>
      </c>
      <c r="FW114" s="260">
        <v>0</v>
      </c>
      <c r="FX114" s="287">
        <v>0</v>
      </c>
      <c r="FY114" s="327">
        <v>0</v>
      </c>
      <c r="FZ114" s="275">
        <v>0</v>
      </c>
      <c r="GA114" s="275">
        <v>0</v>
      </c>
      <c r="GB114" s="275">
        <v>0</v>
      </c>
      <c r="GC114" s="275">
        <v>0</v>
      </c>
      <c r="GD114" s="275">
        <v>0</v>
      </c>
      <c r="GE114" s="275">
        <v>0</v>
      </c>
      <c r="GF114" s="277">
        <v>0</v>
      </c>
      <c r="GG114" s="214">
        <v>0</v>
      </c>
      <c r="GH114" s="286">
        <v>0</v>
      </c>
      <c r="GI114" s="260">
        <v>0</v>
      </c>
      <c r="GJ114" s="260">
        <v>0</v>
      </c>
      <c r="GK114" s="260">
        <v>0</v>
      </c>
      <c r="GL114" s="291">
        <v>0</v>
      </c>
      <c r="GM114" s="275">
        <v>0</v>
      </c>
      <c r="GN114" s="275">
        <v>0</v>
      </c>
      <c r="GO114" s="275">
        <v>0</v>
      </c>
      <c r="GP114" s="275">
        <v>0</v>
      </c>
      <c r="GQ114" s="275">
        <v>0</v>
      </c>
      <c r="GR114" s="277">
        <v>0</v>
      </c>
      <c r="GS114" s="275">
        <v>0</v>
      </c>
      <c r="GT114" s="284">
        <v>0</v>
      </c>
      <c r="GU114" s="292">
        <v>0</v>
      </c>
      <c r="GV114" s="214">
        <v>0</v>
      </c>
      <c r="GW114" s="293">
        <v>0</v>
      </c>
      <c r="GX114" s="294"/>
      <c r="GY114" s="293">
        <v>0</v>
      </c>
      <c r="GZ114" s="293">
        <v>0</v>
      </c>
      <c r="HA114" s="293">
        <v>0</v>
      </c>
      <c r="HB114" s="293">
        <v>0</v>
      </c>
      <c r="HC114" s="295">
        <v>0</v>
      </c>
    </row>
    <row r="115" spans="1:211" ht="12.75" customHeight="1" thickBot="1">
      <c r="A115" s="207" t="s">
        <v>333</v>
      </c>
      <c r="B115" s="328"/>
      <c r="C115" s="297"/>
      <c r="D115" s="299" t="s">
        <v>334</v>
      </c>
      <c r="E115" s="299" t="s">
        <v>312</v>
      </c>
      <c r="F115" s="382"/>
      <c r="G115" s="386"/>
      <c r="H115" s="386">
        <v>0</v>
      </c>
      <c r="I115" s="334"/>
      <c r="J115" s="336">
        <v>0</v>
      </c>
      <c r="K115" s="336"/>
      <c r="L115" s="332">
        <v>0</v>
      </c>
      <c r="M115" s="338">
        <v>0</v>
      </c>
      <c r="N115" s="332"/>
      <c r="O115" s="332"/>
      <c r="P115" s="332">
        <v>0</v>
      </c>
      <c r="Q115" s="332"/>
      <c r="R115" s="387">
        <v>0</v>
      </c>
      <c r="S115" s="261">
        <f t="shared" si="5"/>
        <v>0</v>
      </c>
      <c r="T115" s="333">
        <v>0</v>
      </c>
      <c r="U115" s="455">
        <v>0</v>
      </c>
      <c r="V115" s="335">
        <v>0</v>
      </c>
      <c r="W115" s="335">
        <v>0</v>
      </c>
      <c r="X115" s="259">
        <v>0</v>
      </c>
      <c r="Y115" s="259">
        <v>0</v>
      </c>
      <c r="Z115" s="259">
        <v>0</v>
      </c>
      <c r="AA115" s="259">
        <v>0</v>
      </c>
      <c r="AB115" s="259">
        <v>0</v>
      </c>
      <c r="AC115" s="259">
        <v>0</v>
      </c>
      <c r="AD115" s="259">
        <v>0</v>
      </c>
      <c r="AE115" s="259">
        <v>0</v>
      </c>
      <c r="AG115" s="333">
        <v>0</v>
      </c>
      <c r="AH115" s="455">
        <v>0</v>
      </c>
      <c r="AI115" s="335">
        <v>0</v>
      </c>
      <c r="AJ115" s="335">
        <v>0</v>
      </c>
      <c r="AK115" s="259">
        <v>0</v>
      </c>
      <c r="AL115" s="259">
        <v>0</v>
      </c>
      <c r="AM115" s="259">
        <v>0</v>
      </c>
      <c r="AN115" s="259">
        <v>0</v>
      </c>
      <c r="AO115" s="259">
        <v>0</v>
      </c>
      <c r="AP115" s="259">
        <v>0</v>
      </c>
      <c r="AQ115" s="259">
        <v>0</v>
      </c>
      <c r="AR115" s="268">
        <v>0</v>
      </c>
      <c r="AS115" s="269">
        <v>0</v>
      </c>
      <c r="AT115" s="351">
        <v>0</v>
      </c>
      <c r="AU115" s="259">
        <v>0</v>
      </c>
      <c r="AV115" s="259">
        <v>0</v>
      </c>
      <c r="AW115" s="259">
        <v>0</v>
      </c>
      <c r="AX115" s="259">
        <v>0</v>
      </c>
      <c r="AY115" s="259">
        <v>0</v>
      </c>
      <c r="AZ115" s="259">
        <v>0</v>
      </c>
      <c r="BA115" s="259">
        <v>0</v>
      </c>
      <c r="BB115" s="259">
        <v>0</v>
      </c>
      <c r="BC115" s="259">
        <v>0</v>
      </c>
      <c r="BD115" s="259">
        <v>0</v>
      </c>
      <c r="BE115" s="268">
        <v>0</v>
      </c>
      <c r="BG115" s="351">
        <v>0</v>
      </c>
      <c r="BH115" s="259">
        <v>0</v>
      </c>
      <c r="BI115" s="259">
        <v>0</v>
      </c>
      <c r="BJ115" s="259">
        <v>0</v>
      </c>
      <c r="BK115" s="259">
        <v>0</v>
      </c>
      <c r="BL115" s="259">
        <v>0</v>
      </c>
      <c r="BM115" s="259">
        <v>0</v>
      </c>
      <c r="BN115" s="259">
        <v>0</v>
      </c>
      <c r="BO115" s="259">
        <v>0</v>
      </c>
      <c r="BP115" s="259">
        <v>0</v>
      </c>
      <c r="BQ115" s="259">
        <v>0</v>
      </c>
      <c r="BR115" s="268">
        <v>0</v>
      </c>
      <c r="BT115" s="389">
        <v>0</v>
      </c>
      <c r="BU115" s="307">
        <v>0</v>
      </c>
      <c r="BV115" s="307">
        <v>0</v>
      </c>
      <c r="BW115" s="307">
        <v>0</v>
      </c>
      <c r="BX115" s="307">
        <v>0</v>
      </c>
      <c r="BY115" s="307">
        <v>0</v>
      </c>
      <c r="BZ115" s="307">
        <v>0</v>
      </c>
      <c r="CA115" s="307">
        <v>0</v>
      </c>
      <c r="CB115" s="307">
        <v>0</v>
      </c>
      <c r="CC115" s="307">
        <v>0</v>
      </c>
      <c r="CD115" s="307">
        <v>0</v>
      </c>
      <c r="CE115" s="308">
        <v>0</v>
      </c>
      <c r="CF115" s="212"/>
      <c r="CG115" s="523"/>
      <c r="CH115" s="524">
        <v>0</v>
      </c>
      <c r="CI115" s="524"/>
      <c r="CJ115" s="524">
        <v>0</v>
      </c>
      <c r="CK115" s="524"/>
      <c r="CL115" s="525">
        <v>0</v>
      </c>
      <c r="CM115" s="525">
        <v>0</v>
      </c>
      <c r="CN115" s="525"/>
      <c r="CO115" s="525">
        <v>0</v>
      </c>
      <c r="CP115" s="525"/>
      <c r="CQ115" s="525"/>
      <c r="CR115" s="522"/>
      <c r="CS115" s="212"/>
      <c r="CT115" s="270">
        <v>0</v>
      </c>
      <c r="CU115" s="278">
        <v>0</v>
      </c>
      <c r="CV115" s="278">
        <v>0</v>
      </c>
      <c r="CW115" s="278">
        <v>0</v>
      </c>
      <c r="CX115" s="278">
        <v>0</v>
      </c>
      <c r="CY115" s="278">
        <v>0</v>
      </c>
      <c r="CZ115" s="278">
        <v>0</v>
      </c>
      <c r="DA115" s="278">
        <v>0</v>
      </c>
      <c r="DB115" s="278">
        <v>0</v>
      </c>
      <c r="DC115" s="278">
        <v>0</v>
      </c>
      <c r="DD115" s="278">
        <v>0</v>
      </c>
      <c r="DE115" s="278">
        <v>0</v>
      </c>
      <c r="DF115" s="390">
        <f t="shared" si="6"/>
        <v>0</v>
      </c>
      <c r="DG115" s="326">
        <v>0</v>
      </c>
      <c r="DH115" s="415">
        <v>0</v>
      </c>
      <c r="DI115" s="342">
        <v>0</v>
      </c>
      <c r="DJ115" s="342">
        <v>0</v>
      </c>
      <c r="DK115" s="278">
        <v>0</v>
      </c>
      <c r="DL115" s="278">
        <v>0</v>
      </c>
      <c r="DM115" s="278">
        <v>0</v>
      </c>
      <c r="DN115" s="278">
        <v>0</v>
      </c>
      <c r="DO115" s="278">
        <v>0</v>
      </c>
      <c r="DP115" s="278">
        <v>0</v>
      </c>
      <c r="DQ115" s="278">
        <v>0</v>
      </c>
      <c r="DR115" s="282">
        <v>0</v>
      </c>
      <c r="DS115" s="226"/>
      <c r="DT115" s="315">
        <v>0</v>
      </c>
      <c r="DU115" s="329">
        <v>0</v>
      </c>
      <c r="DV115" s="329">
        <v>0</v>
      </c>
      <c r="DW115" s="329">
        <v>0</v>
      </c>
      <c r="DX115" s="338">
        <v>0</v>
      </c>
      <c r="DY115" s="338">
        <v>0</v>
      </c>
      <c r="DZ115" s="338">
        <v>0</v>
      </c>
      <c r="EA115" s="338">
        <v>0</v>
      </c>
      <c r="EB115" s="338">
        <v>0</v>
      </c>
      <c r="EC115" s="338">
        <v>0</v>
      </c>
      <c r="ED115" s="338">
        <v>0</v>
      </c>
      <c r="EE115" s="339">
        <v>0</v>
      </c>
      <c r="EF115" s="212"/>
      <c r="EG115" s="315">
        <v>0</v>
      </c>
      <c r="EH115" s="274">
        <v>0</v>
      </c>
      <c r="EI115" s="274">
        <v>0</v>
      </c>
      <c r="EJ115" s="278">
        <v>0</v>
      </c>
      <c r="EK115" s="276">
        <v>0</v>
      </c>
      <c r="EL115" s="276">
        <v>0</v>
      </c>
      <c r="EM115" s="276">
        <v>0</v>
      </c>
      <c r="EN115" s="276">
        <v>0</v>
      </c>
      <c r="EO115" s="276">
        <v>0</v>
      </c>
      <c r="EP115" s="276">
        <v>0</v>
      </c>
      <c r="EQ115" s="276">
        <v>0</v>
      </c>
      <c r="ER115" s="313">
        <v>0</v>
      </c>
      <c r="ES115" s="283"/>
      <c r="ET115" s="315">
        <v>0</v>
      </c>
      <c r="EU115" s="329">
        <v>0</v>
      </c>
      <c r="EV115" s="329">
        <v>0</v>
      </c>
      <c r="EW115" s="329">
        <v>0</v>
      </c>
      <c r="EX115" s="338">
        <v>0</v>
      </c>
      <c r="EY115" s="338">
        <v>0</v>
      </c>
      <c r="EZ115" s="338">
        <v>0</v>
      </c>
      <c r="FA115" s="338">
        <v>0</v>
      </c>
      <c r="FB115" s="338">
        <v>0</v>
      </c>
      <c r="FC115" s="338">
        <v>0</v>
      </c>
      <c r="FD115" s="338">
        <v>0</v>
      </c>
      <c r="FE115" s="339">
        <v>0</v>
      </c>
      <c r="FF115" s="212"/>
      <c r="FG115" s="315">
        <v>0</v>
      </c>
      <c r="FH115" s="274">
        <v>0</v>
      </c>
      <c r="FI115" s="274">
        <v>0</v>
      </c>
      <c r="FJ115" s="278">
        <v>0</v>
      </c>
      <c r="FK115" s="276">
        <v>0</v>
      </c>
      <c r="FL115" s="276">
        <v>0</v>
      </c>
      <c r="FM115" s="276">
        <v>0</v>
      </c>
      <c r="FN115" s="276">
        <v>0</v>
      </c>
      <c r="FO115" s="276">
        <v>0</v>
      </c>
      <c r="FP115" s="276">
        <v>0</v>
      </c>
      <c r="FQ115" s="276">
        <v>0</v>
      </c>
      <c r="FR115" s="313">
        <v>0</v>
      </c>
      <c r="FS115" s="283"/>
      <c r="FT115" s="286">
        <v>0</v>
      </c>
      <c r="FU115" s="260">
        <v>0</v>
      </c>
      <c r="FV115" s="260">
        <v>0</v>
      </c>
      <c r="FW115" s="260">
        <v>0</v>
      </c>
      <c r="FX115" s="287">
        <v>0</v>
      </c>
      <c r="FY115" s="504">
        <v>0</v>
      </c>
      <c r="FZ115" s="275">
        <v>0</v>
      </c>
      <c r="GA115" s="412">
        <v>0</v>
      </c>
      <c r="GB115" s="458">
        <v>0</v>
      </c>
      <c r="GC115" s="458">
        <v>0</v>
      </c>
      <c r="GD115" s="458">
        <v>0</v>
      </c>
      <c r="GE115" s="458">
        <v>0</v>
      </c>
      <c r="GF115" s="459">
        <v>0</v>
      </c>
      <c r="GG115" s="214">
        <v>0</v>
      </c>
      <c r="GH115" s="286">
        <v>0</v>
      </c>
      <c r="GI115" s="260">
        <v>0</v>
      </c>
      <c r="GJ115" s="260">
        <v>0</v>
      </c>
      <c r="GK115" s="260">
        <v>0</v>
      </c>
      <c r="GL115" s="291">
        <v>0</v>
      </c>
      <c r="GM115" s="275">
        <v>0</v>
      </c>
      <c r="GN115" s="275">
        <v>0</v>
      </c>
      <c r="GO115" s="275">
        <v>0</v>
      </c>
      <c r="GP115" s="275">
        <v>0</v>
      </c>
      <c r="GQ115" s="275">
        <v>0</v>
      </c>
      <c r="GR115" s="277">
        <v>0</v>
      </c>
      <c r="GS115" s="275">
        <v>0</v>
      </c>
      <c r="GT115" s="284">
        <v>0</v>
      </c>
      <c r="GU115" s="292">
        <v>0</v>
      </c>
      <c r="GV115" s="214">
        <v>0</v>
      </c>
      <c r="GW115" s="293">
        <v>0</v>
      </c>
      <c r="GX115" s="294"/>
      <c r="GY115" s="293">
        <v>0</v>
      </c>
      <c r="GZ115" s="293">
        <v>0</v>
      </c>
      <c r="HA115" s="293">
        <v>0</v>
      </c>
      <c r="HB115" s="293">
        <v>0</v>
      </c>
      <c r="HC115" s="295">
        <v>0</v>
      </c>
    </row>
    <row r="116" spans="1:211" s="381" customFormat="1" ht="13.5" customHeight="1" thickBot="1">
      <c r="A116" s="352"/>
      <c r="B116" s="419"/>
      <c r="C116" s="526"/>
      <c r="D116" s="1090" t="s">
        <v>335</v>
      </c>
      <c r="E116" s="1091"/>
      <c r="F116" s="1092"/>
      <c r="G116" s="527">
        <v>67.97999999999999</v>
      </c>
      <c r="H116" s="527">
        <v>167.99999999999983</v>
      </c>
      <c r="I116" s="438">
        <v>84.000000000000114</v>
      </c>
      <c r="J116" s="527">
        <v>167.84999999999985</v>
      </c>
      <c r="K116" s="527">
        <v>0</v>
      </c>
      <c r="L116" s="527">
        <v>0</v>
      </c>
      <c r="M116" s="527">
        <v>0</v>
      </c>
      <c r="N116" s="527">
        <v>0</v>
      </c>
      <c r="O116" s="527">
        <v>0</v>
      </c>
      <c r="P116" s="527">
        <v>0</v>
      </c>
      <c r="Q116" s="527">
        <v>0</v>
      </c>
      <c r="R116" s="527">
        <v>0</v>
      </c>
      <c r="S116" s="261">
        <f t="shared" si="5"/>
        <v>0</v>
      </c>
      <c r="T116" s="356">
        <v>100</v>
      </c>
      <c r="U116" s="355">
        <v>100</v>
      </c>
      <c r="V116" s="357">
        <v>100</v>
      </c>
      <c r="W116" s="355">
        <v>100</v>
      </c>
      <c r="X116" s="355">
        <v>150</v>
      </c>
      <c r="Y116" s="355">
        <v>250</v>
      </c>
      <c r="Z116" s="355">
        <v>200</v>
      </c>
      <c r="AA116" s="355">
        <v>300</v>
      </c>
      <c r="AB116" s="355">
        <v>200</v>
      </c>
      <c r="AC116" s="355">
        <v>100</v>
      </c>
      <c r="AD116" s="355">
        <v>300</v>
      </c>
      <c r="AE116" s="355">
        <v>100</v>
      </c>
      <c r="AF116" s="360"/>
      <c r="AG116" s="356">
        <v>0</v>
      </c>
      <c r="AH116" s="355">
        <v>160</v>
      </c>
      <c r="AI116" s="357">
        <v>136</v>
      </c>
      <c r="AJ116" s="355">
        <v>165</v>
      </c>
      <c r="AK116" s="355">
        <v>0</v>
      </c>
      <c r="AL116" s="355">
        <v>0</v>
      </c>
      <c r="AM116" s="355">
        <v>0</v>
      </c>
      <c r="AN116" s="355">
        <v>0</v>
      </c>
      <c r="AO116" s="355">
        <v>0</v>
      </c>
      <c r="AP116" s="355">
        <v>0</v>
      </c>
      <c r="AQ116" s="355">
        <v>0</v>
      </c>
      <c r="AR116" s="355">
        <v>0</v>
      </c>
      <c r="AS116" s="439">
        <v>0</v>
      </c>
      <c r="AT116" s="422"/>
      <c r="AU116" s="425"/>
      <c r="AV116" s="425"/>
      <c r="AW116" s="425"/>
      <c r="AX116" s="425"/>
      <c r="AY116" s="425"/>
      <c r="AZ116" s="425"/>
      <c r="BA116" s="425"/>
      <c r="BB116" s="425"/>
      <c r="BC116" s="425"/>
      <c r="BD116" s="425"/>
      <c r="BE116" s="427"/>
      <c r="BF116" s="360"/>
      <c r="BG116" s="508">
        <v>137950.36994256161</v>
      </c>
      <c r="BH116" s="509">
        <v>137950.36994256161</v>
      </c>
      <c r="BI116" s="509">
        <v>137950.36994256161</v>
      </c>
      <c r="BJ116" s="509">
        <v>137950.36994256161</v>
      </c>
      <c r="BK116" s="509">
        <v>137950.36994256161</v>
      </c>
      <c r="BL116" s="509">
        <v>158770.22196553694</v>
      </c>
      <c r="BM116" s="509">
        <v>137950.36994256161</v>
      </c>
      <c r="BN116" s="509">
        <v>155300.24662837439</v>
      </c>
      <c r="BO116" s="509">
        <v>137950.36994256161</v>
      </c>
      <c r="BP116" s="509">
        <v>137950.36994256161</v>
      </c>
      <c r="BQ116" s="509">
        <v>155300.24662837439</v>
      </c>
      <c r="BR116" s="510">
        <v>137950.36994256161</v>
      </c>
      <c r="BS116" s="360"/>
      <c r="BT116" s="468">
        <v>0</v>
      </c>
      <c r="BU116" s="469">
        <v>140301</v>
      </c>
      <c r="BV116" s="469">
        <v>141000</v>
      </c>
      <c r="BW116" s="469">
        <v>141033.5</v>
      </c>
      <c r="BX116" s="469">
        <v>0</v>
      </c>
      <c r="BY116" s="469">
        <v>0</v>
      </c>
      <c r="BZ116" s="469">
        <v>0</v>
      </c>
      <c r="CA116" s="469">
        <v>0</v>
      </c>
      <c r="CB116" s="469">
        <v>0</v>
      </c>
      <c r="CC116" s="469">
        <v>0</v>
      </c>
      <c r="CD116" s="469">
        <v>0</v>
      </c>
      <c r="CE116" s="355">
        <v>0</v>
      </c>
      <c r="CF116" s="361"/>
      <c r="CG116" s="431">
        <v>0.95967954799999999</v>
      </c>
      <c r="CH116" s="433">
        <v>2.3869199590000028</v>
      </c>
      <c r="CI116" s="433">
        <v>1.1966870990000009</v>
      </c>
      <c r="CJ116" s="433">
        <v>2.3776526620000022</v>
      </c>
      <c r="CK116" s="433">
        <v>0</v>
      </c>
      <c r="CL116" s="433">
        <v>0</v>
      </c>
      <c r="CM116" s="433">
        <v>0</v>
      </c>
      <c r="CN116" s="433">
        <v>0</v>
      </c>
      <c r="CO116" s="433">
        <v>0</v>
      </c>
      <c r="CP116" s="433">
        <v>0</v>
      </c>
      <c r="CQ116" s="433">
        <v>0</v>
      </c>
      <c r="CR116" s="528">
        <v>0</v>
      </c>
      <c r="CS116" s="361"/>
      <c r="CT116" s="431">
        <v>1.379503699425616</v>
      </c>
      <c r="CU116" s="433">
        <v>1.379503699425616</v>
      </c>
      <c r="CV116" s="433">
        <v>1.379503699425616</v>
      </c>
      <c r="CW116" s="433">
        <v>1.379503699425616</v>
      </c>
      <c r="CX116" s="433">
        <v>2.0692555491384241</v>
      </c>
      <c r="CY116" s="433">
        <v>3.969255549138424</v>
      </c>
      <c r="CZ116" s="433">
        <v>2.759007398851232</v>
      </c>
      <c r="DA116" s="433">
        <v>4.6590073988512319</v>
      </c>
      <c r="DB116" s="433">
        <v>2.759007398851232</v>
      </c>
      <c r="DC116" s="433">
        <v>1.379503699425616</v>
      </c>
      <c r="DD116" s="433">
        <v>4.6590073988512319</v>
      </c>
      <c r="DE116" s="528">
        <v>1.379503699425616</v>
      </c>
      <c r="DF116" s="390">
        <f t="shared" si="6"/>
        <v>7.4180147977024635</v>
      </c>
      <c r="DG116" s="362">
        <v>0</v>
      </c>
      <c r="DH116" s="367">
        <v>2.2448160000000001</v>
      </c>
      <c r="DI116" s="368">
        <v>1.9176</v>
      </c>
      <c r="DJ116" s="367">
        <v>2.32705275</v>
      </c>
      <c r="DK116" s="367">
        <v>0</v>
      </c>
      <c r="DL116" s="367">
        <v>0</v>
      </c>
      <c r="DM116" s="367">
        <v>0</v>
      </c>
      <c r="DN116" s="367">
        <v>0</v>
      </c>
      <c r="DO116" s="367">
        <v>0</v>
      </c>
      <c r="DP116" s="367">
        <v>0</v>
      </c>
      <c r="DQ116" s="367">
        <v>0</v>
      </c>
      <c r="DR116" s="367">
        <v>0</v>
      </c>
      <c r="DS116" s="371"/>
      <c r="DT116" s="364">
        <v>2.189293313046629E-2</v>
      </c>
      <c r="DU116" s="369">
        <v>6.9353743964969877E-2</v>
      </c>
      <c r="DV116" s="369">
        <v>3.790399148248183E-2</v>
      </c>
      <c r="DW116" s="369">
        <v>6.2155702514107597E-2</v>
      </c>
      <c r="DX116" s="369">
        <v>0</v>
      </c>
      <c r="DY116" s="369">
        <v>0</v>
      </c>
      <c r="DZ116" s="369">
        <v>0</v>
      </c>
      <c r="EA116" s="369">
        <v>0</v>
      </c>
      <c r="EB116" s="369">
        <v>0</v>
      </c>
      <c r="EC116" s="369">
        <v>0</v>
      </c>
      <c r="ED116" s="369">
        <v>0</v>
      </c>
      <c r="EE116" s="370">
        <v>0</v>
      </c>
      <c r="EF116" s="361"/>
      <c r="EG116" s="364">
        <v>-0.44171708455608244</v>
      </c>
      <c r="EH116" s="364">
        <v>0.93806251560941656</v>
      </c>
      <c r="EI116" s="364">
        <v>-0.22072059190809698</v>
      </c>
      <c r="EJ116" s="364">
        <v>0.9359932600602785</v>
      </c>
      <c r="EK116" s="364">
        <v>-2.0692555491384241</v>
      </c>
      <c r="EL116" s="364">
        <v>-3.969255549138424</v>
      </c>
      <c r="EM116" s="364">
        <v>-2.759007398851232</v>
      </c>
      <c r="EN116" s="364">
        <v>-4.6590073988512319</v>
      </c>
      <c r="EO116" s="364">
        <v>-2.759007398851232</v>
      </c>
      <c r="EP116" s="364">
        <v>-1.379503699425616</v>
      </c>
      <c r="EQ116" s="364">
        <v>-4.6590073988512319</v>
      </c>
      <c r="ER116" s="364">
        <v>-1.379503699425616</v>
      </c>
      <c r="ES116" s="529"/>
      <c r="ET116" s="364">
        <v>0.95967954799999999</v>
      </c>
      <c r="EU116" s="369">
        <v>2.9863159000004916E-2</v>
      </c>
      <c r="EV116" s="369">
        <v>1.2287098999999293E-2</v>
      </c>
      <c r="EW116" s="369">
        <v>1.0405364500004215E-2</v>
      </c>
      <c r="EX116" s="369">
        <v>0</v>
      </c>
      <c r="EY116" s="369">
        <v>0</v>
      </c>
      <c r="EZ116" s="369">
        <v>0</v>
      </c>
      <c r="FA116" s="369">
        <v>0</v>
      </c>
      <c r="FB116" s="369">
        <v>0</v>
      </c>
      <c r="FC116" s="369">
        <v>0</v>
      </c>
      <c r="FD116" s="369">
        <v>0</v>
      </c>
      <c r="FE116" s="370">
        <v>0</v>
      </c>
      <c r="FF116" s="361"/>
      <c r="FG116" s="364">
        <v>0</v>
      </c>
      <c r="FH116" s="364">
        <v>0.1122407999999976</v>
      </c>
      <c r="FI116" s="364">
        <v>-0.73319999999999841</v>
      </c>
      <c r="FJ116" s="364">
        <v>4.0194547499997915E-2</v>
      </c>
      <c r="FK116" s="364">
        <v>0</v>
      </c>
      <c r="FL116" s="364">
        <v>0</v>
      </c>
      <c r="FM116" s="364">
        <v>0</v>
      </c>
      <c r="FN116" s="364">
        <v>0</v>
      </c>
      <c r="FO116" s="364">
        <v>0</v>
      </c>
      <c r="FP116" s="364">
        <v>0</v>
      </c>
      <c r="FQ116" s="364">
        <v>0</v>
      </c>
      <c r="FR116" s="364">
        <v>0</v>
      </c>
      <c r="FS116" s="529"/>
      <c r="FT116" s="530">
        <v>487.82999999999976</v>
      </c>
      <c r="FU116" s="530">
        <v>2000</v>
      </c>
      <c r="FV116" s="531">
        <v>461</v>
      </c>
      <c r="FW116" s="532">
        <v>-1512.1700000000003</v>
      </c>
      <c r="FX116" s="533">
        <v>-0.75608500000000012</v>
      </c>
      <c r="FY116" s="534">
        <v>6.9209392680000068</v>
      </c>
      <c r="FZ116" s="534">
        <v>29.151562890235471</v>
      </c>
      <c r="GA116" s="534">
        <v>6.4894687500000003</v>
      </c>
      <c r="GB116" s="534">
        <v>-22.230623622235466</v>
      </c>
      <c r="GC116" s="534">
        <v>-22.421929993327492</v>
      </c>
      <c r="GD116" s="534">
        <v>0.19130637109202553</v>
      </c>
      <c r="GE116" s="534">
        <v>-0.58076465250000286</v>
      </c>
      <c r="GF116" s="535">
        <v>1.0122351705000083</v>
      </c>
      <c r="GG116" s="214">
        <v>0</v>
      </c>
      <c r="GH116" s="530">
        <v>0</v>
      </c>
      <c r="GI116" s="530">
        <v>100</v>
      </c>
      <c r="GJ116" s="530">
        <v>0</v>
      </c>
      <c r="GK116" s="530">
        <v>-100</v>
      </c>
      <c r="GL116" s="533">
        <v>-1</v>
      </c>
      <c r="GM116" s="534">
        <v>0</v>
      </c>
      <c r="GN116" s="534">
        <v>1.379503699425616</v>
      </c>
      <c r="GO116" s="534">
        <v>0</v>
      </c>
      <c r="GP116" s="534">
        <v>-1.379503699425616</v>
      </c>
      <c r="GQ116" s="534">
        <v>-1.379503699425616</v>
      </c>
      <c r="GR116" s="534">
        <v>0</v>
      </c>
      <c r="GS116" s="534">
        <v>0</v>
      </c>
      <c r="GT116" s="536">
        <v>0</v>
      </c>
      <c r="GU116" s="535">
        <v>0</v>
      </c>
      <c r="GV116" s="214">
        <v>0</v>
      </c>
      <c r="GW116" s="535">
        <v>0</v>
      </c>
      <c r="GX116" s="535">
        <v>0</v>
      </c>
      <c r="GY116" s="535">
        <v>0.43147051800000646</v>
      </c>
      <c r="GZ116" s="535">
        <v>-9.9920072216264089E-16</v>
      </c>
      <c r="HA116" s="535">
        <v>0</v>
      </c>
      <c r="HB116" s="535">
        <v>0</v>
      </c>
      <c r="HC116" s="535">
        <v>0</v>
      </c>
    </row>
    <row r="117" spans="1:211" s="381" customFormat="1" ht="13.5" customHeight="1" thickBot="1">
      <c r="A117" s="352"/>
      <c r="B117" s="436"/>
      <c r="C117" s="537"/>
      <c r="D117" s="1060" t="s">
        <v>336</v>
      </c>
      <c r="E117" s="1061"/>
      <c r="F117" s="1062"/>
      <c r="G117" s="538">
        <v>3554.4200000000005</v>
      </c>
      <c r="H117" s="538">
        <v>3791.7669999999998</v>
      </c>
      <c r="I117" s="538">
        <v>3762.3630000000003</v>
      </c>
      <c r="J117" s="538">
        <v>3630.1990000000001</v>
      </c>
      <c r="K117" s="538">
        <v>2757.3709999999992</v>
      </c>
      <c r="L117" s="538">
        <v>1177.453</v>
      </c>
      <c r="M117" s="538">
        <v>1536.865</v>
      </c>
      <c r="N117" s="538">
        <v>1521.6770000000001</v>
      </c>
      <c r="O117" s="538">
        <v>2825.0440000000008</v>
      </c>
      <c r="P117" s="538">
        <v>2642.0815999999995</v>
      </c>
      <c r="Q117" s="538">
        <v>3152.4740000000002</v>
      </c>
      <c r="R117" s="538">
        <v>3986.8210000000013</v>
      </c>
      <c r="S117" s="261">
        <f t="shared" si="5"/>
        <v>9781.3766000000014</v>
      </c>
      <c r="T117" s="539">
        <v>3183.6144896427245</v>
      </c>
      <c r="U117" s="538">
        <v>4093.1949212634663</v>
      </c>
      <c r="V117" s="538">
        <v>3458.1475464720597</v>
      </c>
      <c r="W117" s="538">
        <v>3386.6731860425894</v>
      </c>
      <c r="X117" s="538">
        <v>3545.4728922420236</v>
      </c>
      <c r="Y117" s="538">
        <v>3564.3614387137236</v>
      </c>
      <c r="Z117" s="538">
        <v>3257.7322945353808</v>
      </c>
      <c r="AA117" s="538">
        <v>3153.594000510248</v>
      </c>
      <c r="AB117" s="538">
        <v>3157.9608279946588</v>
      </c>
      <c r="AC117" s="538">
        <v>3803.6628124383174</v>
      </c>
      <c r="AD117" s="538">
        <v>3362.341160586544</v>
      </c>
      <c r="AE117" s="540">
        <v>3360.6187152725529</v>
      </c>
      <c r="AF117" s="360"/>
      <c r="AG117" s="539">
        <v>0</v>
      </c>
      <c r="AH117" s="538">
        <v>3854.0998</v>
      </c>
      <c r="AI117" s="538">
        <v>4213.1363600000004</v>
      </c>
      <c r="AJ117" s="538">
        <v>3741.8719999999998</v>
      </c>
      <c r="AK117" s="538">
        <v>2706.1333999999997</v>
      </c>
      <c r="AL117" s="538">
        <v>1433.1792</v>
      </c>
      <c r="AM117" s="538">
        <v>1554.1727000000001</v>
      </c>
      <c r="AN117" s="538">
        <v>1444.5218770000001</v>
      </c>
      <c r="AO117" s="538">
        <v>2803.2669999999998</v>
      </c>
      <c r="AP117" s="538">
        <v>2538.9907000000003</v>
      </c>
      <c r="AQ117" s="538">
        <v>3348.9278999999997</v>
      </c>
      <c r="AR117" s="540">
        <v>3917.1647000000003</v>
      </c>
      <c r="AS117" s="541">
        <v>0.98808964393667509</v>
      </c>
      <c r="AT117" s="539"/>
      <c r="AU117" s="538"/>
      <c r="AV117" s="538"/>
      <c r="AW117" s="538"/>
      <c r="AX117" s="538"/>
      <c r="AY117" s="538"/>
      <c r="AZ117" s="538"/>
      <c r="BA117" s="538"/>
      <c r="BB117" s="538"/>
      <c r="BC117" s="538"/>
      <c r="BD117" s="538"/>
      <c r="BE117" s="540"/>
      <c r="BF117" s="360"/>
      <c r="BG117" s="542">
        <v>95634.66770115179</v>
      </c>
      <c r="BH117" s="543">
        <v>98142.536458226416</v>
      </c>
      <c r="BI117" s="543">
        <v>96524.654146504487</v>
      </c>
      <c r="BJ117" s="543">
        <v>103195.16241094065</v>
      </c>
      <c r="BK117" s="543">
        <v>98682.842336016067</v>
      </c>
      <c r="BL117" s="543">
        <v>101201.84276953072</v>
      </c>
      <c r="BM117" s="543">
        <v>99682.871510635348</v>
      </c>
      <c r="BN117" s="543">
        <v>106338.54464379832</v>
      </c>
      <c r="BO117" s="543">
        <v>100015.44647596346</v>
      </c>
      <c r="BP117" s="543">
        <v>100114.98662942793</v>
      </c>
      <c r="BQ117" s="543">
        <v>102703.9752222758</v>
      </c>
      <c r="BR117" s="544">
        <v>99406.778473004277</v>
      </c>
      <c r="BS117" s="360"/>
      <c r="BT117" s="542">
        <v>0</v>
      </c>
      <c r="BU117" s="543">
        <v>103852.18974252892</v>
      </c>
      <c r="BV117" s="543">
        <v>99744.000658817793</v>
      </c>
      <c r="BW117" s="543">
        <v>102660.0666136464</v>
      </c>
      <c r="BX117" s="543">
        <v>101862.66759314775</v>
      </c>
      <c r="BY117" s="543">
        <v>136531.33766736489</v>
      </c>
      <c r="BZ117" s="543">
        <v>131196.1126095436</v>
      </c>
      <c r="CA117" s="543">
        <v>111226.39946704873</v>
      </c>
      <c r="CB117" s="543">
        <v>89902.934388985159</v>
      </c>
      <c r="CC117" s="543">
        <v>92745.437460389352</v>
      </c>
      <c r="CD117" s="543">
        <v>71723.132106662815</v>
      </c>
      <c r="CE117" s="544">
        <v>81597.163057760583</v>
      </c>
      <c r="CF117" s="361"/>
      <c r="CG117" s="545">
        <v>32.940797713999991</v>
      </c>
      <c r="CH117" s="546">
        <v>37.594821609</v>
      </c>
      <c r="CI117" s="546">
        <v>36.479602788000001</v>
      </c>
      <c r="CJ117" s="546">
        <v>36.254675282999997</v>
      </c>
      <c r="CK117" s="546">
        <v>27.988724474999998</v>
      </c>
      <c r="CL117" s="546">
        <v>16.027105257000002</v>
      </c>
      <c r="CM117" s="546">
        <v>19.122597844000001</v>
      </c>
      <c r="CN117" s="546">
        <v>16.666789365</v>
      </c>
      <c r="CO117" s="546">
        <v>25.309031967999999</v>
      </c>
      <c r="CP117" s="546">
        <v>23.479229482000001</v>
      </c>
      <c r="CQ117" s="546">
        <v>21.994063083999997</v>
      </c>
      <c r="CR117" s="546">
        <v>31.881953811999999</v>
      </c>
      <c r="CS117" s="361"/>
      <c r="CT117" s="539">
        <v>30.446391380555394</v>
      </c>
      <c r="CU117" s="546">
        <v>40.171653179072699</v>
      </c>
      <c r="CV117" s="546">
        <v>33.379649591079861</v>
      </c>
      <c r="CW117" s="546">
        <v>34.948828946644284</v>
      </c>
      <c r="CX117" s="546">
        <v>34.987734243173847</v>
      </c>
      <c r="CY117" s="546">
        <v>36.071994589448458</v>
      </c>
      <c r="CZ117" s="546">
        <v>32.474010973221759</v>
      </c>
      <c r="DA117" s="546">
        <v>33.534859641167351</v>
      </c>
      <c r="DB117" s="546">
        <v>31.584486216548903</v>
      </c>
      <c r="DC117" s="546">
        <v>38.080365161011436</v>
      </c>
      <c r="DD117" s="538">
        <v>34.532580324571846</v>
      </c>
      <c r="DE117" s="540">
        <v>33.40682801613309</v>
      </c>
      <c r="DF117" s="390">
        <f t="shared" si="6"/>
        <v>106.01977350171637</v>
      </c>
      <c r="DG117" s="545">
        <v>0</v>
      </c>
      <c r="DH117" s="546">
        <v>40.025670371624273</v>
      </c>
      <c r="DI117" s="546">
        <v>42.02350758675292</v>
      </c>
      <c r="DJ117" s="546">
        <v>38.414082877973826</v>
      </c>
      <c r="DK117" s="546">
        <v>27.565396698691472</v>
      </c>
      <c r="DL117" s="546">
        <v>19.567387329304388</v>
      </c>
      <c r="DM117" s="546">
        <v>20.390141656387843</v>
      </c>
      <c r="DN117" s="546">
        <v>16.066896733009305</v>
      </c>
      <c r="DO117" s="546">
        <v>25.202192917580724</v>
      </c>
      <c r="DP117" s="546">
        <v>23.54798031793602</v>
      </c>
      <c r="DQ117" s="546">
        <v>24.019559818738884</v>
      </c>
      <c r="DR117" s="547">
        <v>31.962952675000381</v>
      </c>
      <c r="DS117" s="371"/>
      <c r="DT117" s="545">
        <v>1.0416040626544938</v>
      </c>
      <c r="DU117" s="545">
        <v>0.76707101530316346</v>
      </c>
      <c r="DV117" s="545">
        <v>0.75628718653911764</v>
      </c>
      <c r="DW117" s="545">
        <v>0.93582557249358189</v>
      </c>
      <c r="DX117" s="545">
        <v>0.62508423658874646</v>
      </c>
      <c r="DY117" s="548">
        <v>0.79062785639158739</v>
      </c>
      <c r="DZ117" s="548">
        <v>0.91730138938881589</v>
      </c>
      <c r="EA117" s="548">
        <v>0.77570850372079814</v>
      </c>
      <c r="EB117" s="548">
        <v>-0.86421333134509704</v>
      </c>
      <c r="EC117" s="548">
        <v>-0.31131629986653508</v>
      </c>
      <c r="ED117" s="548">
        <v>-1.1274724142467571</v>
      </c>
      <c r="EE117" s="549">
        <v>-2.2883605202898827</v>
      </c>
      <c r="EF117" s="361"/>
      <c r="EG117" s="545">
        <v>1.3759930033128396</v>
      </c>
      <c r="EH117" s="548">
        <v>-3.4878082268306891</v>
      </c>
      <c r="EI117" s="548">
        <v>3.4769303739773854</v>
      </c>
      <c r="EJ117" s="548">
        <v>0.47903072953432035</v>
      </c>
      <c r="EK117" s="548">
        <v>-7.83725717997768</v>
      </c>
      <c r="EL117" s="548">
        <v>-20.83552238884004</v>
      </c>
      <c r="EM117" s="548">
        <v>-14.268714518610574</v>
      </c>
      <c r="EN117" s="548">
        <v>-17.643778779888144</v>
      </c>
      <c r="EO117" s="548">
        <v>-5.4078173999260777</v>
      </c>
      <c r="EP117" s="548">
        <v>-14.088569082685348</v>
      </c>
      <c r="EQ117" s="548">
        <v>-11.411044826325094</v>
      </c>
      <c r="ER117" s="548">
        <v>0.7646254001886319</v>
      </c>
      <c r="ES117" s="550"/>
      <c r="ET117" s="545">
        <v>32.940797713999991</v>
      </c>
      <c r="EU117" s="548">
        <v>-5.9902631990618876E-2</v>
      </c>
      <c r="EV117" s="548">
        <v>-0.12435782465025609</v>
      </c>
      <c r="EW117" s="548">
        <v>-0.17750373129811695</v>
      </c>
      <c r="EX117" s="548">
        <v>1.2310453586184504</v>
      </c>
      <c r="EY117" s="548">
        <v>0.1188342878039037</v>
      </c>
      <c r="EZ117" s="548">
        <v>0.7261837578824184</v>
      </c>
      <c r="FA117" s="548">
        <v>0.74574334197852965</v>
      </c>
      <c r="FB117" s="548">
        <v>1.3161035833360435</v>
      </c>
      <c r="FC117" s="548">
        <v>1.9986009289928153</v>
      </c>
      <c r="FD117" s="548">
        <v>1.8546937676827513</v>
      </c>
      <c r="FE117" s="549">
        <v>2.6953067033296154</v>
      </c>
      <c r="FF117" s="361"/>
      <c r="FG117" s="545">
        <v>0</v>
      </c>
      <c r="FH117" s="548">
        <v>-2.3709461306336461</v>
      </c>
      <c r="FI117" s="548">
        <v>-5.4195469741026638</v>
      </c>
      <c r="FJ117" s="548">
        <v>-1.9820518516757017</v>
      </c>
      <c r="FK117" s="548">
        <v>-0.8077175823099263</v>
      </c>
      <c r="FL117" s="548">
        <v>-3.6591215601082872</v>
      </c>
      <c r="FM117" s="548">
        <v>-1.9937275702702626</v>
      </c>
      <c r="FN117" s="548">
        <v>-0.14585070998783323</v>
      </c>
      <c r="FO117" s="548">
        <v>-1.2092645329167671</v>
      </c>
      <c r="FP117" s="548">
        <v>-2.0673517649288331</v>
      </c>
      <c r="FQ117" s="548">
        <v>-3.8801905024216343</v>
      </c>
      <c r="FR117" s="548">
        <v>-2.7763055663300018</v>
      </c>
      <c r="FS117" s="550"/>
      <c r="FT117" s="539">
        <v>34338.535600000003</v>
      </c>
      <c r="FU117" s="538">
        <v>41327.374285714293</v>
      </c>
      <c r="FV117" s="538">
        <v>31555.465637000001</v>
      </c>
      <c r="FW117" s="538">
        <v>-6988.8386857142832</v>
      </c>
      <c r="FX117" s="551">
        <v>-0.16910918746972337</v>
      </c>
      <c r="FY117" s="546">
        <v>325.73939268099991</v>
      </c>
      <c r="FZ117" s="546">
        <v>413.6193822626289</v>
      </c>
      <c r="GA117" s="546">
        <v>308.78576898299997</v>
      </c>
      <c r="GB117" s="546">
        <v>-87.879989581628934</v>
      </c>
      <c r="GC117" s="546">
        <v>-89.317489405479975</v>
      </c>
      <c r="GD117" s="547">
        <v>1.437346635851064</v>
      </c>
      <c r="GE117" s="546">
        <v>-26.31207474568556</v>
      </c>
      <c r="GF117" s="547">
        <v>43.265545255685524</v>
      </c>
      <c r="GG117" s="214"/>
      <c r="GH117" s="538">
        <v>3986.8210000000013</v>
      </c>
      <c r="GI117" s="538">
        <v>3360.6187152725529</v>
      </c>
      <c r="GJ117" s="538">
        <v>3917.1647000000003</v>
      </c>
      <c r="GK117" s="538">
        <v>519.74828472744855</v>
      </c>
      <c r="GL117" s="538">
        <v>-1.4293137477779214</v>
      </c>
      <c r="GM117" s="546">
        <v>31.881953811999999</v>
      </c>
      <c r="GN117" s="546">
        <v>33.40682801613309</v>
      </c>
      <c r="GO117" s="546">
        <v>31.962952675000381</v>
      </c>
      <c r="GP117" s="546">
        <v>-1.5248742041330943</v>
      </c>
      <c r="GQ117" s="546">
        <v>0.7646254001886319</v>
      </c>
      <c r="GR117" s="547">
        <v>-2.2883605202898827</v>
      </c>
      <c r="GS117" s="546">
        <v>-2.7763055663300018</v>
      </c>
      <c r="GT117" s="552">
        <v>2.6953067033296154</v>
      </c>
      <c r="GU117" s="363">
        <v>0</v>
      </c>
      <c r="GV117" s="214"/>
      <c r="GW117" s="363">
        <v>31.682603636259664</v>
      </c>
      <c r="GX117" s="363">
        <v>0</v>
      </c>
      <c r="GY117" s="363">
        <v>20.56316310085414</v>
      </c>
      <c r="GZ117" s="363">
        <v>-5.2000000262313138E-6</v>
      </c>
      <c r="HA117" s="363">
        <v>-8.0998863000383281E-2</v>
      </c>
      <c r="HB117" s="363">
        <v>2.6953067033296185</v>
      </c>
      <c r="HC117" s="363">
        <v>28.035397755781702</v>
      </c>
    </row>
    <row r="118" spans="1:211" ht="12.75" customHeight="1">
      <c r="B118" s="328" t="s">
        <v>337</v>
      </c>
      <c r="C118" s="553" t="s">
        <v>338</v>
      </c>
      <c r="D118" s="328" t="s">
        <v>337</v>
      </c>
      <c r="E118" s="328" t="s">
        <v>337</v>
      </c>
      <c r="F118" s="399"/>
      <c r="G118" s="304">
        <v>64.75</v>
      </c>
      <c r="H118" s="304">
        <v>60.070000000000007</v>
      </c>
      <c r="I118" s="448">
        <v>52.14</v>
      </c>
      <c r="J118" s="259">
        <v>65.19</v>
      </c>
      <c r="K118" s="516">
        <v>56.92</v>
      </c>
      <c r="L118" s="260">
        <v>33.480000000000004</v>
      </c>
      <c r="M118" s="260">
        <v>38.900000000000006</v>
      </c>
      <c r="N118" s="260">
        <v>19.95</v>
      </c>
      <c r="O118" s="260">
        <v>36.519999999999996</v>
      </c>
      <c r="P118" s="260">
        <v>37.040000000000006</v>
      </c>
      <c r="Q118" s="260">
        <v>57.989999999999995</v>
      </c>
      <c r="R118" s="262">
        <v>19.16</v>
      </c>
      <c r="S118" s="261">
        <f t="shared" si="5"/>
        <v>114.19</v>
      </c>
      <c r="T118" s="270">
        <v>70</v>
      </c>
      <c r="U118" s="270">
        <v>70</v>
      </c>
      <c r="V118" s="270">
        <v>70</v>
      </c>
      <c r="W118" s="270">
        <v>70</v>
      </c>
      <c r="X118" s="270">
        <v>70</v>
      </c>
      <c r="Y118" s="270">
        <v>70</v>
      </c>
      <c r="Z118" s="270">
        <v>70</v>
      </c>
      <c r="AA118" s="270">
        <v>70</v>
      </c>
      <c r="AB118" s="270">
        <v>70</v>
      </c>
      <c r="AC118" s="270">
        <v>70</v>
      </c>
      <c r="AD118" s="270">
        <v>70</v>
      </c>
      <c r="AE118" s="270">
        <v>70</v>
      </c>
      <c r="AG118" s="270">
        <v>0</v>
      </c>
      <c r="AH118" s="259">
        <v>0</v>
      </c>
      <c r="AI118" s="259">
        <v>0</v>
      </c>
      <c r="AJ118" s="259">
        <v>0</v>
      </c>
      <c r="AK118" s="259">
        <v>0</v>
      </c>
      <c r="AL118" s="259">
        <v>0</v>
      </c>
      <c r="AM118" s="259">
        <v>0</v>
      </c>
      <c r="AN118" s="259">
        <v>0</v>
      </c>
      <c r="AO118" s="259">
        <v>0</v>
      </c>
      <c r="AP118" s="259">
        <v>0</v>
      </c>
      <c r="AQ118" s="259">
        <v>0</v>
      </c>
      <c r="AR118" s="268">
        <v>0</v>
      </c>
      <c r="AS118" s="269">
        <v>0</v>
      </c>
      <c r="AT118" s="270">
        <v>23229.717065637065</v>
      </c>
      <c r="AU118" s="259">
        <v>25648.18927917429</v>
      </c>
      <c r="AV118" s="259">
        <v>24039.400076716531</v>
      </c>
      <c r="AW118" s="259">
        <v>26912.102316306187</v>
      </c>
      <c r="AX118" s="259">
        <v>18989.752459592411</v>
      </c>
      <c r="AY118" s="259">
        <v>17241.379928315408</v>
      </c>
      <c r="AZ118" s="259">
        <v>16983.17120822622</v>
      </c>
      <c r="BA118" s="259">
        <v>16748.769924812033</v>
      </c>
      <c r="BB118" s="259">
        <v>15763.550109529029</v>
      </c>
      <c r="BC118" s="259">
        <v>12955.659827213822</v>
      </c>
      <c r="BD118" s="259">
        <v>12068.969994826697</v>
      </c>
      <c r="BE118" s="268">
        <v>11822.660229645096</v>
      </c>
      <c r="BG118" s="270">
        <v>28000</v>
      </c>
      <c r="BH118" s="259">
        <v>28000</v>
      </c>
      <c r="BI118" s="259">
        <v>28000</v>
      </c>
      <c r="BJ118" s="259">
        <v>29000.000000000004</v>
      </c>
      <c r="BK118" s="259">
        <v>29000.000000000004</v>
      </c>
      <c r="BL118" s="259">
        <v>29000.000000000004</v>
      </c>
      <c r="BM118" s="259">
        <v>29000.000000000004</v>
      </c>
      <c r="BN118" s="259">
        <v>29000.000000000004</v>
      </c>
      <c r="BO118" s="259">
        <v>29000.000000000004</v>
      </c>
      <c r="BP118" s="259">
        <v>29000.000000000004</v>
      </c>
      <c r="BQ118" s="259">
        <v>29000.000000000004</v>
      </c>
      <c r="BR118" s="268">
        <v>29000.000000000004</v>
      </c>
      <c r="BT118" s="389">
        <v>0</v>
      </c>
      <c r="BU118" s="307">
        <v>0</v>
      </c>
      <c r="BV118" s="307">
        <v>0</v>
      </c>
      <c r="BW118" s="307">
        <v>0</v>
      </c>
      <c r="BX118" s="307">
        <v>0</v>
      </c>
      <c r="BY118" s="307">
        <v>0</v>
      </c>
      <c r="BZ118" s="307">
        <v>0</v>
      </c>
      <c r="CA118" s="307">
        <v>0</v>
      </c>
      <c r="CB118" s="307">
        <v>0</v>
      </c>
      <c r="CC118" s="307">
        <v>0</v>
      </c>
      <c r="CD118" s="307">
        <v>0</v>
      </c>
      <c r="CE118" s="308">
        <v>0</v>
      </c>
      <c r="CF118" s="212"/>
      <c r="CG118" s="517">
        <v>0.15041241799999999</v>
      </c>
      <c r="CH118" s="518">
        <v>0.15406867299999999</v>
      </c>
      <c r="CI118" s="278">
        <v>0.125341432</v>
      </c>
      <c r="CJ118" s="518">
        <v>0.17543999500000002</v>
      </c>
      <c r="CK118" s="289">
        <v>0.108089671</v>
      </c>
      <c r="CL118" s="519">
        <v>5.7724139999999993E-2</v>
      </c>
      <c r="CM118" s="289">
        <v>6.6064536000000007E-2</v>
      </c>
      <c r="CN118" s="289">
        <v>3.3413796000000003E-2</v>
      </c>
      <c r="CO118" s="289">
        <v>5.7568485000000003E-2</v>
      </c>
      <c r="CP118" s="289">
        <v>4.7987764000000002E-2</v>
      </c>
      <c r="CQ118" s="289">
        <v>6.9987957000000003E-2</v>
      </c>
      <c r="CR118" s="285">
        <v>2.2652217000000002E-2</v>
      </c>
      <c r="CS118" s="212"/>
      <c r="CT118" s="273">
        <v>0.19600000000000001</v>
      </c>
      <c r="CU118" s="273">
        <v>0.19600000000000001</v>
      </c>
      <c r="CV118" s="273">
        <v>0.19600000000000001</v>
      </c>
      <c r="CW118" s="273">
        <v>0.20300000000000001</v>
      </c>
      <c r="CX118" s="273">
        <v>0.20300000000000001</v>
      </c>
      <c r="CY118" s="273">
        <v>0.20300000000000001</v>
      </c>
      <c r="CZ118" s="273">
        <v>0.20300000000000001</v>
      </c>
      <c r="DA118" s="273">
        <v>0.20300000000000001</v>
      </c>
      <c r="DB118" s="273">
        <v>0.20300000000000001</v>
      </c>
      <c r="DC118" s="273">
        <v>0.20300000000000001</v>
      </c>
      <c r="DD118" s="273">
        <v>0.20300000000000001</v>
      </c>
      <c r="DE118" s="273">
        <v>0.20300000000000001</v>
      </c>
      <c r="DF118" s="390">
        <f t="shared" si="6"/>
        <v>0.60899999999999999</v>
      </c>
      <c r="DG118" s="326">
        <v>0</v>
      </c>
      <c r="DH118" s="278">
        <v>0</v>
      </c>
      <c r="DI118" s="278">
        <v>0</v>
      </c>
      <c r="DJ118" s="278">
        <v>0</v>
      </c>
      <c r="DK118" s="278">
        <v>0</v>
      </c>
      <c r="DL118" s="278">
        <v>0</v>
      </c>
      <c r="DM118" s="278">
        <v>0</v>
      </c>
      <c r="DN118" s="278">
        <v>0</v>
      </c>
      <c r="DO118" s="278">
        <v>0</v>
      </c>
      <c r="DP118" s="278">
        <v>0</v>
      </c>
      <c r="DQ118" s="278">
        <v>0</v>
      </c>
      <c r="DR118" s="282">
        <v>0</v>
      </c>
      <c r="DS118" s="226"/>
      <c r="DT118" s="273">
        <v>-3.0887582E-2</v>
      </c>
      <c r="DU118" s="278">
        <v>-1.412732700000004E-2</v>
      </c>
      <c r="DV118" s="278">
        <v>-2.0650568000000008E-2</v>
      </c>
      <c r="DW118" s="278">
        <v>-1.3611004999999987E-2</v>
      </c>
      <c r="DX118" s="275">
        <v>-5.6978329000000015E-2</v>
      </c>
      <c r="DY118" s="275">
        <v>-3.9367860000000032E-2</v>
      </c>
      <c r="DZ118" s="275">
        <v>-4.6745464000000021E-2</v>
      </c>
      <c r="EA118" s="275">
        <v>-2.4441204000000001E-2</v>
      </c>
      <c r="EB118" s="275">
        <v>-4.8339514999999993E-2</v>
      </c>
      <c r="EC118" s="275">
        <v>-5.942823600000003E-2</v>
      </c>
      <c r="ED118" s="275">
        <v>-9.8183042999999998E-2</v>
      </c>
      <c r="EE118" s="277">
        <v>-3.2911783E-2</v>
      </c>
      <c r="EF118" s="212"/>
      <c r="EG118" s="273">
        <v>-1.47E-2</v>
      </c>
      <c r="EH118" s="278">
        <v>-2.7803999999999978E-2</v>
      </c>
      <c r="EI118" s="278">
        <v>-5.0007999999999997E-2</v>
      </c>
      <c r="EJ118" s="278">
        <v>-1.3949000000000008E-2</v>
      </c>
      <c r="EK118" s="275">
        <v>-3.7932E-2</v>
      </c>
      <c r="EL118" s="275">
        <v>-0.105908</v>
      </c>
      <c r="EM118" s="275">
        <v>-9.0190000000000006E-2</v>
      </c>
      <c r="EN118" s="275">
        <v>-0.145145</v>
      </c>
      <c r="EO118" s="275">
        <v>-9.7092000000000026E-2</v>
      </c>
      <c r="EP118" s="275">
        <v>-9.5583999999999988E-2</v>
      </c>
      <c r="EQ118" s="275">
        <v>-3.482900000000002E-2</v>
      </c>
      <c r="ER118" s="313">
        <v>-0.14743600000000001</v>
      </c>
      <c r="ES118" s="283"/>
      <c r="ET118" s="273">
        <v>0.15041241799999999</v>
      </c>
      <c r="EU118" s="278">
        <v>0.15406867299999996</v>
      </c>
      <c r="EV118" s="278">
        <v>0.12534143199999997</v>
      </c>
      <c r="EW118" s="278">
        <v>0.17543999500000002</v>
      </c>
      <c r="EX118" s="275">
        <v>0.10808967100000003</v>
      </c>
      <c r="EY118" s="275">
        <v>5.7724139999999993E-2</v>
      </c>
      <c r="EZ118" s="275">
        <v>6.6064536000000007E-2</v>
      </c>
      <c r="FA118" s="275">
        <v>3.3413796000000009E-2</v>
      </c>
      <c r="FB118" s="275">
        <v>5.756848500000001E-2</v>
      </c>
      <c r="FC118" s="275">
        <v>4.7987764000000002E-2</v>
      </c>
      <c r="FD118" s="275">
        <v>6.9987957000000003E-2</v>
      </c>
      <c r="FE118" s="277">
        <v>2.2652217000000006E-2</v>
      </c>
      <c r="FF118" s="212"/>
      <c r="FG118" s="273">
        <v>0</v>
      </c>
      <c r="FH118" s="278">
        <v>0</v>
      </c>
      <c r="FI118" s="278">
        <v>0</v>
      </c>
      <c r="FJ118" s="278">
        <v>0</v>
      </c>
      <c r="FK118" s="275">
        <v>0</v>
      </c>
      <c r="FL118" s="275"/>
      <c r="FM118" s="275">
        <v>0</v>
      </c>
      <c r="FN118" s="275">
        <v>0</v>
      </c>
      <c r="FO118" s="275">
        <v>0</v>
      </c>
      <c r="FP118" s="275">
        <v>0</v>
      </c>
      <c r="FQ118" s="275">
        <v>0</v>
      </c>
      <c r="FR118" s="313">
        <v>0</v>
      </c>
      <c r="FS118" s="283"/>
      <c r="FT118" s="286">
        <v>542.11</v>
      </c>
      <c r="FU118" s="260">
        <v>840</v>
      </c>
      <c r="FV118" s="260">
        <v>0</v>
      </c>
      <c r="FW118" s="260">
        <v>-297.89</v>
      </c>
      <c r="FX118" s="287">
        <v>-0.35463095238095238</v>
      </c>
      <c r="FY118" s="452">
        <v>1.0687510840000003</v>
      </c>
      <c r="FZ118" s="275">
        <v>2.415</v>
      </c>
      <c r="GA118" s="275">
        <v>0</v>
      </c>
      <c r="GB118" s="289">
        <v>-1.3462489159999997</v>
      </c>
      <c r="GC118" s="289">
        <v>-0.86057700000000004</v>
      </c>
      <c r="GD118" s="289">
        <v>-0.48567191600000004</v>
      </c>
      <c r="GE118" s="289">
        <v>0</v>
      </c>
      <c r="GF118" s="290">
        <v>1.0687510840000003</v>
      </c>
      <c r="GG118" s="214">
        <v>0</v>
      </c>
      <c r="GH118" s="286">
        <v>19.16</v>
      </c>
      <c r="GI118" s="260">
        <v>70</v>
      </c>
      <c r="GJ118" s="260">
        <v>0</v>
      </c>
      <c r="GK118" s="260">
        <v>-50.84</v>
      </c>
      <c r="GL118" s="291">
        <v>-0.72628571428571431</v>
      </c>
      <c r="GM118" s="275">
        <v>2.2652217000000002E-2</v>
      </c>
      <c r="GN118" s="275">
        <v>0.20300000000000001</v>
      </c>
      <c r="GO118" s="275">
        <v>0</v>
      </c>
      <c r="GP118" s="275">
        <v>-0.18034778300000001</v>
      </c>
      <c r="GQ118" s="275">
        <v>-0.14743600000000001</v>
      </c>
      <c r="GR118" s="277">
        <v>-3.2911783E-2</v>
      </c>
      <c r="GS118" s="275">
        <v>0</v>
      </c>
      <c r="GT118" s="284">
        <v>2.2652217000000006E-2</v>
      </c>
      <c r="GU118" s="292">
        <v>2.2652217000000006E-2</v>
      </c>
      <c r="GV118" s="214">
        <v>0</v>
      </c>
      <c r="GW118" s="293">
        <v>0</v>
      </c>
      <c r="GX118" s="294"/>
      <c r="GY118" s="293">
        <v>1.0687510840000003</v>
      </c>
      <c r="GZ118" s="293">
        <v>0</v>
      </c>
      <c r="HA118" s="293">
        <v>2.2652217000000002E-2</v>
      </c>
      <c r="HB118" s="293">
        <v>2.2652217000000002E-2</v>
      </c>
      <c r="HC118" s="295">
        <v>0</v>
      </c>
    </row>
    <row r="119" spans="1:211" ht="12.75" customHeight="1">
      <c r="B119" s="328" t="s">
        <v>339</v>
      </c>
      <c r="C119" s="553" t="s">
        <v>338</v>
      </c>
      <c r="D119" s="328" t="s">
        <v>339</v>
      </c>
      <c r="E119" s="328" t="s">
        <v>339</v>
      </c>
      <c r="F119" s="399"/>
      <c r="G119" s="304">
        <v>0</v>
      </c>
      <c r="H119" s="304">
        <v>0</v>
      </c>
      <c r="I119" s="267">
        <v>0</v>
      </c>
      <c r="J119" s="259">
        <v>0</v>
      </c>
      <c r="K119" s="516">
        <v>0</v>
      </c>
      <c r="L119" s="260">
        <v>0</v>
      </c>
      <c r="M119" s="260">
        <v>0</v>
      </c>
      <c r="N119" s="260">
        <v>0.18</v>
      </c>
      <c r="O119" s="260">
        <v>0</v>
      </c>
      <c r="P119" s="260">
        <v>0</v>
      </c>
      <c r="Q119" s="260">
        <v>0</v>
      </c>
      <c r="R119" s="262">
        <v>0</v>
      </c>
      <c r="S119" s="261">
        <f t="shared" si="5"/>
        <v>0</v>
      </c>
      <c r="T119" s="270">
        <v>0</v>
      </c>
      <c r="U119" s="270">
        <v>20</v>
      </c>
      <c r="V119" s="270">
        <v>0</v>
      </c>
      <c r="W119" s="270">
        <v>20</v>
      </c>
      <c r="X119" s="270">
        <v>0</v>
      </c>
      <c r="Y119" s="270">
        <v>20</v>
      </c>
      <c r="Z119" s="270">
        <v>20</v>
      </c>
      <c r="AA119" s="270">
        <v>0</v>
      </c>
      <c r="AB119" s="270">
        <v>20</v>
      </c>
      <c r="AC119" s="270">
        <v>20</v>
      </c>
      <c r="AD119" s="270">
        <v>20</v>
      </c>
      <c r="AE119" s="270">
        <v>20</v>
      </c>
      <c r="AG119" s="270">
        <v>0</v>
      </c>
      <c r="AH119" s="259">
        <v>0</v>
      </c>
      <c r="AI119" s="259">
        <v>0</v>
      </c>
      <c r="AJ119" s="259">
        <v>0</v>
      </c>
      <c r="AK119" s="259">
        <v>0</v>
      </c>
      <c r="AL119" s="259">
        <v>0</v>
      </c>
      <c r="AM119" s="259">
        <v>0</v>
      </c>
      <c r="AN119" s="259">
        <v>0</v>
      </c>
      <c r="AO119" s="259">
        <v>0</v>
      </c>
      <c r="AP119" s="259">
        <v>0</v>
      </c>
      <c r="AQ119" s="259">
        <v>0</v>
      </c>
      <c r="AR119" s="268">
        <v>0</v>
      </c>
      <c r="AS119" s="269">
        <v>0</v>
      </c>
      <c r="AT119" s="270">
        <v>0</v>
      </c>
      <c r="AU119" s="259">
        <v>0</v>
      </c>
      <c r="AV119" s="259">
        <v>0</v>
      </c>
      <c r="AW119" s="259">
        <v>0</v>
      </c>
      <c r="AX119" s="259">
        <v>0</v>
      </c>
      <c r="AY119" s="259">
        <v>0</v>
      </c>
      <c r="AZ119" s="259">
        <v>0</v>
      </c>
      <c r="BA119" s="259">
        <v>84999.999999999985</v>
      </c>
      <c r="BB119" s="259">
        <v>0</v>
      </c>
      <c r="BC119" s="259">
        <v>0</v>
      </c>
      <c r="BD119" s="259">
        <v>0</v>
      </c>
      <c r="BE119" s="268">
        <v>0</v>
      </c>
      <c r="BG119" s="270">
        <v>0</v>
      </c>
      <c r="BH119" s="259">
        <v>110000</v>
      </c>
      <c r="BI119" s="259">
        <v>0</v>
      </c>
      <c r="BJ119" s="259">
        <v>110000</v>
      </c>
      <c r="BK119" s="259">
        <v>0</v>
      </c>
      <c r="BL119" s="259">
        <v>110000</v>
      </c>
      <c r="BM119" s="259">
        <v>110000</v>
      </c>
      <c r="BN119" s="259">
        <v>84999.999999999985</v>
      </c>
      <c r="BO119" s="259">
        <v>110000</v>
      </c>
      <c r="BP119" s="259">
        <v>110000</v>
      </c>
      <c r="BQ119" s="259">
        <v>110000</v>
      </c>
      <c r="BR119" s="268">
        <v>110000</v>
      </c>
      <c r="BT119" s="389">
        <v>0</v>
      </c>
      <c r="BU119" s="307">
        <v>0</v>
      </c>
      <c r="BV119" s="307">
        <v>0</v>
      </c>
      <c r="BW119" s="307">
        <v>0</v>
      </c>
      <c r="BX119" s="307">
        <v>0</v>
      </c>
      <c r="BY119" s="307">
        <v>0</v>
      </c>
      <c r="BZ119" s="307">
        <v>0</v>
      </c>
      <c r="CA119" s="307">
        <v>0</v>
      </c>
      <c r="CB119" s="307">
        <v>0</v>
      </c>
      <c r="CC119" s="307">
        <v>0</v>
      </c>
      <c r="CD119" s="307">
        <v>0</v>
      </c>
      <c r="CE119" s="308">
        <v>0</v>
      </c>
      <c r="CF119" s="212"/>
      <c r="CG119" s="517">
        <v>0</v>
      </c>
      <c r="CH119" s="278">
        <v>0</v>
      </c>
      <c r="CI119" s="278">
        <v>0</v>
      </c>
      <c r="CJ119" s="278">
        <v>0</v>
      </c>
      <c r="CK119" s="520">
        <v>0</v>
      </c>
      <c r="CL119" s="275">
        <v>0</v>
      </c>
      <c r="CM119" s="275">
        <v>0</v>
      </c>
      <c r="CN119" s="275">
        <v>1.5299999999999999E-3</v>
      </c>
      <c r="CO119" s="275">
        <v>0</v>
      </c>
      <c r="CP119" s="275">
        <v>0</v>
      </c>
      <c r="CQ119" s="275">
        <v>0</v>
      </c>
      <c r="CR119" s="285">
        <v>0</v>
      </c>
      <c r="CS119" s="212"/>
      <c r="CT119" s="273">
        <v>0</v>
      </c>
      <c r="CU119" s="273">
        <v>0.22</v>
      </c>
      <c r="CV119" s="273">
        <v>0</v>
      </c>
      <c r="CW119" s="273">
        <v>0.22</v>
      </c>
      <c r="CX119" s="273">
        <v>0</v>
      </c>
      <c r="CY119" s="273">
        <v>0.22</v>
      </c>
      <c r="CZ119" s="273">
        <v>0.22</v>
      </c>
      <c r="DA119" s="273">
        <v>0</v>
      </c>
      <c r="DB119" s="273">
        <v>0.22</v>
      </c>
      <c r="DC119" s="273">
        <v>0.22</v>
      </c>
      <c r="DD119" s="273">
        <v>0.22</v>
      </c>
      <c r="DE119" s="273">
        <v>0.22</v>
      </c>
      <c r="DF119" s="390">
        <f t="shared" si="6"/>
        <v>0.66</v>
      </c>
      <c r="DG119" s="326">
        <v>0</v>
      </c>
      <c r="DH119" s="278">
        <v>0</v>
      </c>
      <c r="DI119" s="278">
        <v>0</v>
      </c>
      <c r="DJ119" s="278">
        <v>0</v>
      </c>
      <c r="DK119" s="278">
        <v>0</v>
      </c>
      <c r="DL119" s="278">
        <v>0</v>
      </c>
      <c r="DM119" s="278">
        <v>0</v>
      </c>
      <c r="DN119" s="278">
        <v>0</v>
      </c>
      <c r="DO119" s="278">
        <v>0</v>
      </c>
      <c r="DP119" s="278">
        <v>0</v>
      </c>
      <c r="DQ119" s="278">
        <v>0</v>
      </c>
      <c r="DR119" s="282">
        <v>0</v>
      </c>
      <c r="DS119" s="226"/>
      <c r="DT119" s="273">
        <v>0</v>
      </c>
      <c r="DU119" s="278">
        <v>0</v>
      </c>
      <c r="DV119" s="278">
        <v>0</v>
      </c>
      <c r="DW119" s="278">
        <v>0</v>
      </c>
      <c r="DX119" s="275">
        <v>0</v>
      </c>
      <c r="DY119" s="275">
        <v>0</v>
      </c>
      <c r="DZ119" s="275">
        <v>0</v>
      </c>
      <c r="EA119" s="275">
        <v>0</v>
      </c>
      <c r="EB119" s="275">
        <v>0</v>
      </c>
      <c r="EC119" s="275">
        <v>0</v>
      </c>
      <c r="ED119" s="275">
        <v>0</v>
      </c>
      <c r="EE119" s="277"/>
      <c r="EF119" s="212"/>
      <c r="EG119" s="273">
        <v>0</v>
      </c>
      <c r="EH119" s="278">
        <v>-0.22</v>
      </c>
      <c r="EI119" s="278">
        <v>0</v>
      </c>
      <c r="EJ119" s="278">
        <v>-0.22</v>
      </c>
      <c r="EK119" s="275">
        <v>0</v>
      </c>
      <c r="EL119" s="275">
        <v>-0.22</v>
      </c>
      <c r="EM119" s="275">
        <v>-0.22</v>
      </c>
      <c r="EN119" s="275">
        <v>1.5299999999999997E-3</v>
      </c>
      <c r="EO119" s="275">
        <v>-0.22</v>
      </c>
      <c r="EP119" s="275">
        <v>-0.22</v>
      </c>
      <c r="EQ119" s="275">
        <v>-0.22</v>
      </c>
      <c r="ER119" s="313">
        <v>-0.22</v>
      </c>
      <c r="ES119" s="283"/>
      <c r="ET119" s="273">
        <v>0</v>
      </c>
      <c r="EU119" s="278">
        <v>0</v>
      </c>
      <c r="EV119" s="278">
        <v>0</v>
      </c>
      <c r="EW119" s="278">
        <v>0</v>
      </c>
      <c r="EX119" s="275">
        <v>0</v>
      </c>
      <c r="EY119" s="275">
        <v>0</v>
      </c>
      <c r="EZ119" s="275">
        <v>0</v>
      </c>
      <c r="FA119" s="275">
        <v>1.5299999999999997E-3</v>
      </c>
      <c r="FB119" s="275">
        <v>0</v>
      </c>
      <c r="FC119" s="275">
        <v>0</v>
      </c>
      <c r="FD119" s="275">
        <v>0</v>
      </c>
      <c r="FE119" s="277">
        <v>0</v>
      </c>
      <c r="FF119" s="212"/>
      <c r="FG119" s="273">
        <v>0</v>
      </c>
      <c r="FH119" s="278">
        <v>0</v>
      </c>
      <c r="FI119" s="278">
        <v>0</v>
      </c>
      <c r="FJ119" s="278">
        <v>0</v>
      </c>
      <c r="FK119" s="275">
        <v>0</v>
      </c>
      <c r="FL119" s="275"/>
      <c r="FM119" s="275">
        <v>0</v>
      </c>
      <c r="FN119" s="275">
        <v>0</v>
      </c>
      <c r="FO119" s="275">
        <v>0</v>
      </c>
      <c r="FP119" s="275">
        <v>0</v>
      </c>
      <c r="FQ119" s="275">
        <v>0</v>
      </c>
      <c r="FR119" s="313">
        <v>0</v>
      </c>
      <c r="FS119" s="283"/>
      <c r="FT119" s="286">
        <v>0.18</v>
      </c>
      <c r="FU119" s="260">
        <v>160</v>
      </c>
      <c r="FV119" s="260">
        <v>0</v>
      </c>
      <c r="FW119" s="260">
        <v>-159.82</v>
      </c>
      <c r="FX119" s="287">
        <v>-0.99887499999999996</v>
      </c>
      <c r="FY119" s="327">
        <v>1.5299999999999999E-3</v>
      </c>
      <c r="FZ119" s="275">
        <v>1.76</v>
      </c>
      <c r="GA119" s="275">
        <v>0</v>
      </c>
      <c r="GB119" s="275">
        <v>-1.75847</v>
      </c>
      <c r="GC119" s="275">
        <v>-1.75847</v>
      </c>
      <c r="GD119" s="275">
        <v>0</v>
      </c>
      <c r="GE119" s="275">
        <v>0</v>
      </c>
      <c r="GF119" s="277">
        <v>1.5299999999999997E-3</v>
      </c>
      <c r="GG119" s="214">
        <v>0</v>
      </c>
      <c r="GH119" s="286">
        <v>0</v>
      </c>
      <c r="GI119" s="260">
        <v>20</v>
      </c>
      <c r="GJ119" s="260">
        <v>0</v>
      </c>
      <c r="GK119" s="260">
        <v>-20</v>
      </c>
      <c r="GL119" s="291">
        <v>-1</v>
      </c>
      <c r="GM119" s="275">
        <v>0</v>
      </c>
      <c r="GN119" s="275">
        <v>0.22</v>
      </c>
      <c r="GO119" s="275">
        <v>0</v>
      </c>
      <c r="GP119" s="275">
        <v>-0.22</v>
      </c>
      <c r="GQ119" s="275">
        <v>-0.22</v>
      </c>
      <c r="GR119" s="277">
        <v>0</v>
      </c>
      <c r="GS119" s="275">
        <v>0</v>
      </c>
      <c r="GT119" s="284">
        <v>0</v>
      </c>
      <c r="GU119" s="292">
        <v>0</v>
      </c>
      <c r="GV119" s="214">
        <v>0</v>
      </c>
      <c r="GW119" s="293">
        <v>0</v>
      </c>
      <c r="GX119" s="294"/>
      <c r="GY119" s="293">
        <v>1.5299999999999999E-3</v>
      </c>
      <c r="GZ119" s="293">
        <v>0</v>
      </c>
      <c r="HA119" s="293">
        <v>0</v>
      </c>
      <c r="HB119" s="293">
        <v>0</v>
      </c>
      <c r="HC119" s="295">
        <v>0</v>
      </c>
    </row>
    <row r="120" spans="1:211" ht="12.75" customHeight="1">
      <c r="B120" s="328" t="s">
        <v>340</v>
      </c>
      <c r="C120" s="553" t="s">
        <v>338</v>
      </c>
      <c r="D120" s="328" t="s">
        <v>340</v>
      </c>
      <c r="E120" s="328" t="s">
        <v>340</v>
      </c>
      <c r="F120" s="399"/>
      <c r="G120" s="301">
        <v>0</v>
      </c>
      <c r="H120" s="301">
        <v>0</v>
      </c>
      <c r="I120" s="267">
        <v>0</v>
      </c>
      <c r="J120" s="302">
        <v>0</v>
      </c>
      <c r="K120" s="302">
        <v>0</v>
      </c>
      <c r="L120" s="261">
        <v>0</v>
      </c>
      <c r="M120" s="261">
        <v>0</v>
      </c>
      <c r="N120" s="261">
        <v>0</v>
      </c>
      <c r="O120" s="261">
        <v>0</v>
      </c>
      <c r="P120" s="261">
        <v>0.85600000000000009</v>
      </c>
      <c r="Q120" s="261">
        <v>0</v>
      </c>
      <c r="R120" s="303">
        <v>0</v>
      </c>
      <c r="S120" s="261">
        <f t="shared" si="5"/>
        <v>0.85600000000000009</v>
      </c>
      <c r="T120" s="270">
        <v>0</v>
      </c>
      <c r="U120" s="270">
        <v>20</v>
      </c>
      <c r="V120" s="270">
        <v>20</v>
      </c>
      <c r="W120" s="270">
        <v>20</v>
      </c>
      <c r="X120" s="270">
        <v>20</v>
      </c>
      <c r="Y120" s="270">
        <v>20</v>
      </c>
      <c r="Z120" s="270">
        <v>20</v>
      </c>
      <c r="AA120" s="270">
        <v>20</v>
      </c>
      <c r="AB120" s="270">
        <v>20</v>
      </c>
      <c r="AC120" s="270">
        <v>20</v>
      </c>
      <c r="AD120" s="270">
        <v>0</v>
      </c>
      <c r="AE120" s="270">
        <v>20</v>
      </c>
      <c r="AG120" s="270">
        <v>0</v>
      </c>
      <c r="AH120" s="259">
        <v>0</v>
      </c>
      <c r="AI120" s="259">
        <v>0</v>
      </c>
      <c r="AJ120" s="259">
        <v>0</v>
      </c>
      <c r="AK120" s="259">
        <v>0</v>
      </c>
      <c r="AL120" s="259">
        <v>0</v>
      </c>
      <c r="AM120" s="259">
        <v>0</v>
      </c>
      <c r="AN120" s="259">
        <v>0</v>
      </c>
      <c r="AO120" s="259">
        <v>0</v>
      </c>
      <c r="AP120" s="259">
        <v>0</v>
      </c>
      <c r="AQ120" s="259">
        <v>0</v>
      </c>
      <c r="AR120" s="268">
        <v>0</v>
      </c>
      <c r="AS120" s="269">
        <v>0</v>
      </c>
      <c r="AT120" s="305">
        <v>0</v>
      </c>
      <c r="AU120" s="259">
        <v>0</v>
      </c>
      <c r="AV120" s="259">
        <v>0</v>
      </c>
      <c r="AW120" s="259">
        <v>0</v>
      </c>
      <c r="AX120" s="259">
        <v>0</v>
      </c>
      <c r="AY120" s="259">
        <v>0</v>
      </c>
      <c r="AZ120" s="259">
        <v>0</v>
      </c>
      <c r="BA120" s="259">
        <v>0</v>
      </c>
      <c r="BB120" s="259">
        <v>0</v>
      </c>
      <c r="BC120" s="259">
        <v>50220.000000000007</v>
      </c>
      <c r="BD120" s="259">
        <v>0</v>
      </c>
      <c r="BE120" s="268">
        <v>0</v>
      </c>
      <c r="BG120" s="305">
        <v>0</v>
      </c>
      <c r="BH120" s="259">
        <v>31000</v>
      </c>
      <c r="BI120" s="259">
        <v>31000</v>
      </c>
      <c r="BJ120" s="259">
        <v>35000.000000000007</v>
      </c>
      <c r="BK120" s="259">
        <v>35000.000000000007</v>
      </c>
      <c r="BL120" s="259">
        <v>35000.000000000007</v>
      </c>
      <c r="BM120" s="259">
        <v>35000.000000000007</v>
      </c>
      <c r="BN120" s="259">
        <v>35000.000000000007</v>
      </c>
      <c r="BO120" s="259">
        <v>35000.000000000007</v>
      </c>
      <c r="BP120" s="259">
        <v>35000.000000000007</v>
      </c>
      <c r="BQ120" s="259">
        <v>0</v>
      </c>
      <c r="BR120" s="268">
        <v>35000.000000000007</v>
      </c>
      <c r="BT120" s="389">
        <v>0</v>
      </c>
      <c r="BU120" s="307">
        <v>0</v>
      </c>
      <c r="BV120" s="307">
        <v>0</v>
      </c>
      <c r="BW120" s="307">
        <v>0</v>
      </c>
      <c r="BX120" s="307">
        <v>0</v>
      </c>
      <c r="BY120" s="307">
        <v>0</v>
      </c>
      <c r="BZ120" s="307">
        <v>0</v>
      </c>
      <c r="CA120" s="307">
        <v>0</v>
      </c>
      <c r="CB120" s="307">
        <v>0</v>
      </c>
      <c r="CC120" s="307">
        <v>0</v>
      </c>
      <c r="CD120" s="307">
        <v>0</v>
      </c>
      <c r="CE120" s="308">
        <v>0</v>
      </c>
      <c r="CF120" s="212"/>
      <c r="CG120" s="517">
        <v>0</v>
      </c>
      <c r="CH120" s="274">
        <v>0</v>
      </c>
      <c r="CI120" s="278">
        <v>0</v>
      </c>
      <c r="CJ120" s="274">
        <v>0</v>
      </c>
      <c r="CK120" s="274">
        <v>0</v>
      </c>
      <c r="CL120" s="276">
        <v>0</v>
      </c>
      <c r="CM120" s="276">
        <v>0</v>
      </c>
      <c r="CN120" s="276">
        <v>0</v>
      </c>
      <c r="CO120" s="276">
        <v>0</v>
      </c>
      <c r="CP120" s="276">
        <v>4.2988320000000007E-3</v>
      </c>
      <c r="CQ120" s="276">
        <v>0</v>
      </c>
      <c r="CR120" s="521">
        <v>0</v>
      </c>
      <c r="CS120" s="212"/>
      <c r="CT120" s="273">
        <v>0</v>
      </c>
      <c r="CU120" s="273">
        <v>6.2E-2</v>
      </c>
      <c r="CV120" s="273">
        <v>6.2E-2</v>
      </c>
      <c r="CW120" s="273">
        <v>7.0000000000000007E-2</v>
      </c>
      <c r="CX120" s="273">
        <v>7.0000000000000007E-2</v>
      </c>
      <c r="CY120" s="273">
        <v>7.0000000000000007E-2</v>
      </c>
      <c r="CZ120" s="273">
        <v>7.0000000000000007E-2</v>
      </c>
      <c r="DA120" s="273">
        <v>7.0000000000000007E-2</v>
      </c>
      <c r="DB120" s="273">
        <v>7.0000000000000007E-2</v>
      </c>
      <c r="DC120" s="273">
        <v>7.0000000000000007E-2</v>
      </c>
      <c r="DD120" s="273">
        <v>0</v>
      </c>
      <c r="DE120" s="273">
        <v>7.0000000000000007E-2</v>
      </c>
      <c r="DF120" s="390">
        <f t="shared" si="6"/>
        <v>0.14000000000000001</v>
      </c>
      <c r="DG120" s="326">
        <v>0</v>
      </c>
      <c r="DH120" s="278">
        <v>0</v>
      </c>
      <c r="DI120" s="278">
        <v>0</v>
      </c>
      <c r="DJ120" s="278">
        <v>0</v>
      </c>
      <c r="DK120" s="278">
        <v>0</v>
      </c>
      <c r="DL120" s="278">
        <v>0</v>
      </c>
      <c r="DM120" s="278">
        <v>0</v>
      </c>
      <c r="DN120" s="278">
        <v>0</v>
      </c>
      <c r="DO120" s="278">
        <v>0</v>
      </c>
      <c r="DP120" s="278">
        <v>0</v>
      </c>
      <c r="DQ120" s="278">
        <v>0</v>
      </c>
      <c r="DR120" s="282">
        <v>0</v>
      </c>
      <c r="DS120" s="226"/>
      <c r="DT120" s="312">
        <v>0</v>
      </c>
      <c r="DU120" s="274">
        <v>0</v>
      </c>
      <c r="DV120" s="274">
        <v>0</v>
      </c>
      <c r="DW120" s="274">
        <v>0</v>
      </c>
      <c r="DX120" s="276">
        <v>0</v>
      </c>
      <c r="DY120" s="276">
        <v>0</v>
      </c>
      <c r="DZ120" s="276">
        <v>0</v>
      </c>
      <c r="EA120" s="276">
        <v>0</v>
      </c>
      <c r="EB120" s="276">
        <v>0</v>
      </c>
      <c r="EC120" s="276">
        <v>1.3028320000000001E-3</v>
      </c>
      <c r="ED120" s="276">
        <v>0</v>
      </c>
      <c r="EE120" s="313">
        <v>0</v>
      </c>
      <c r="EF120" s="212"/>
      <c r="EG120" s="312">
        <v>0</v>
      </c>
      <c r="EH120" s="274">
        <v>-6.2E-2</v>
      </c>
      <c r="EI120" s="274">
        <v>-6.2E-2</v>
      </c>
      <c r="EJ120" s="278">
        <v>-7.0000000000000007E-2</v>
      </c>
      <c r="EK120" s="276">
        <v>-7.0000000000000007E-2</v>
      </c>
      <c r="EL120" s="276">
        <v>-7.0000000000000007E-2</v>
      </c>
      <c r="EM120" s="276">
        <v>-7.0000000000000007E-2</v>
      </c>
      <c r="EN120" s="276">
        <v>-7.0000000000000007E-2</v>
      </c>
      <c r="EO120" s="276">
        <v>-7.0000000000000007E-2</v>
      </c>
      <c r="EP120" s="276">
        <v>-6.7004000000000008E-2</v>
      </c>
      <c r="EQ120" s="276">
        <v>0</v>
      </c>
      <c r="ER120" s="313">
        <v>-7.0000000000000007E-2</v>
      </c>
      <c r="ES120" s="283"/>
      <c r="ET120" s="312">
        <v>0</v>
      </c>
      <c r="EU120" s="274">
        <v>0</v>
      </c>
      <c r="EV120" s="274">
        <v>0</v>
      </c>
      <c r="EW120" s="274">
        <v>0</v>
      </c>
      <c r="EX120" s="276">
        <v>0</v>
      </c>
      <c r="EY120" s="276">
        <v>0</v>
      </c>
      <c r="EZ120" s="276">
        <v>0</v>
      </c>
      <c r="FA120" s="276">
        <v>0</v>
      </c>
      <c r="FB120" s="276">
        <v>0</v>
      </c>
      <c r="FC120" s="276">
        <v>4.2988320000000016E-3</v>
      </c>
      <c r="FD120" s="276">
        <v>0</v>
      </c>
      <c r="FE120" s="313">
        <v>0</v>
      </c>
      <c r="FF120" s="212"/>
      <c r="FG120" s="312">
        <v>0</v>
      </c>
      <c r="FH120" s="274">
        <v>0</v>
      </c>
      <c r="FI120" s="274">
        <v>0</v>
      </c>
      <c r="FJ120" s="278">
        <v>0</v>
      </c>
      <c r="FK120" s="276">
        <v>0</v>
      </c>
      <c r="FL120" s="276"/>
      <c r="FM120" s="276">
        <v>0</v>
      </c>
      <c r="FN120" s="276">
        <v>0</v>
      </c>
      <c r="FO120" s="276">
        <v>0</v>
      </c>
      <c r="FP120" s="276">
        <v>0</v>
      </c>
      <c r="FQ120" s="276">
        <v>0</v>
      </c>
      <c r="FR120" s="313">
        <v>0</v>
      </c>
      <c r="FS120" s="283"/>
      <c r="FT120" s="286">
        <v>0.85600000000000009</v>
      </c>
      <c r="FU120" s="260">
        <v>200</v>
      </c>
      <c r="FV120" s="260">
        <v>0</v>
      </c>
      <c r="FW120" s="260">
        <v>-199.14400000000001</v>
      </c>
      <c r="FX120" s="287">
        <v>-0.99572000000000005</v>
      </c>
      <c r="FY120" s="327">
        <v>4.2988320000000007E-3</v>
      </c>
      <c r="FZ120" s="275">
        <v>0.68400000000000016</v>
      </c>
      <c r="GA120" s="275">
        <v>0</v>
      </c>
      <c r="GB120" s="275">
        <v>-0.67970116800000013</v>
      </c>
      <c r="GC120" s="275">
        <v>-0.68100400000000016</v>
      </c>
      <c r="GD120" s="275">
        <v>1.3028320000000315E-3</v>
      </c>
      <c r="GE120" s="275">
        <v>0</v>
      </c>
      <c r="GF120" s="277">
        <v>4.2988320000000016E-3</v>
      </c>
      <c r="GG120" s="214">
        <v>0</v>
      </c>
      <c r="GH120" s="286">
        <v>0</v>
      </c>
      <c r="GI120" s="260">
        <v>20</v>
      </c>
      <c r="GJ120" s="260">
        <v>0</v>
      </c>
      <c r="GK120" s="260">
        <v>-20</v>
      </c>
      <c r="GL120" s="291">
        <v>-1</v>
      </c>
      <c r="GM120" s="275">
        <v>0</v>
      </c>
      <c r="GN120" s="275">
        <v>7.0000000000000007E-2</v>
      </c>
      <c r="GO120" s="275">
        <v>0</v>
      </c>
      <c r="GP120" s="275">
        <v>-7.0000000000000007E-2</v>
      </c>
      <c r="GQ120" s="275">
        <v>-7.0000000000000007E-2</v>
      </c>
      <c r="GR120" s="277">
        <v>0</v>
      </c>
      <c r="GS120" s="275">
        <v>0</v>
      </c>
      <c r="GT120" s="284">
        <v>0</v>
      </c>
      <c r="GU120" s="292">
        <v>0</v>
      </c>
      <c r="GV120" s="214">
        <v>0</v>
      </c>
      <c r="GW120" s="293">
        <v>0</v>
      </c>
      <c r="GX120" s="294"/>
      <c r="GY120" s="293">
        <v>4.2988320000000007E-3</v>
      </c>
      <c r="GZ120" s="293">
        <v>0</v>
      </c>
      <c r="HA120" s="293">
        <v>0</v>
      </c>
      <c r="HB120" s="293">
        <v>0</v>
      </c>
      <c r="HC120" s="295">
        <v>0</v>
      </c>
    </row>
    <row r="121" spans="1:211" ht="12.75" customHeight="1">
      <c r="B121" s="328" t="s">
        <v>341</v>
      </c>
      <c r="C121" s="553" t="s">
        <v>338</v>
      </c>
      <c r="D121" s="328" t="s">
        <v>341</v>
      </c>
      <c r="E121" s="328" t="s">
        <v>341</v>
      </c>
      <c r="F121" s="399"/>
      <c r="G121" s="386">
        <v>0</v>
      </c>
      <c r="H121" s="386">
        <v>0</v>
      </c>
      <c r="I121" s="334">
        <v>0</v>
      </c>
      <c r="J121" s="336">
        <v>0</v>
      </c>
      <c r="K121" s="336">
        <v>0</v>
      </c>
      <c r="L121" s="332">
        <v>0</v>
      </c>
      <c r="M121" s="332">
        <v>0</v>
      </c>
      <c r="N121" s="332">
        <v>0</v>
      </c>
      <c r="O121" s="332">
        <v>0</v>
      </c>
      <c r="P121" s="332">
        <v>0</v>
      </c>
      <c r="Q121" s="332">
        <v>0</v>
      </c>
      <c r="R121" s="387">
        <v>0</v>
      </c>
      <c r="S121" s="261">
        <f t="shared" si="5"/>
        <v>0</v>
      </c>
      <c r="T121" s="270">
        <v>0</v>
      </c>
      <c r="U121" s="270">
        <v>0</v>
      </c>
      <c r="V121" s="270">
        <v>25</v>
      </c>
      <c r="W121" s="270">
        <v>0</v>
      </c>
      <c r="X121" s="270">
        <v>25</v>
      </c>
      <c r="Y121" s="270">
        <v>25</v>
      </c>
      <c r="Z121" s="270">
        <v>25</v>
      </c>
      <c r="AA121" s="270">
        <v>25</v>
      </c>
      <c r="AB121" s="270">
        <v>25</v>
      </c>
      <c r="AC121" s="270">
        <v>25</v>
      </c>
      <c r="AD121" s="270">
        <v>0</v>
      </c>
      <c r="AE121" s="270">
        <v>25</v>
      </c>
      <c r="AG121" s="270">
        <v>0</v>
      </c>
      <c r="AH121" s="259">
        <v>0</v>
      </c>
      <c r="AI121" s="259">
        <v>0</v>
      </c>
      <c r="AJ121" s="259">
        <v>0</v>
      </c>
      <c r="AK121" s="259">
        <v>0</v>
      </c>
      <c r="AL121" s="259">
        <v>0</v>
      </c>
      <c r="AM121" s="259">
        <v>0</v>
      </c>
      <c r="AN121" s="259">
        <v>0</v>
      </c>
      <c r="AO121" s="259">
        <v>0</v>
      </c>
      <c r="AP121" s="259">
        <v>0</v>
      </c>
      <c r="AQ121" s="259">
        <v>0</v>
      </c>
      <c r="AR121" s="268">
        <v>0</v>
      </c>
      <c r="AS121" s="269">
        <v>0</v>
      </c>
      <c r="AT121" s="351">
        <v>0</v>
      </c>
      <c r="AU121" s="259">
        <v>0</v>
      </c>
      <c r="AV121" s="259">
        <v>0</v>
      </c>
      <c r="AW121" s="259">
        <v>0</v>
      </c>
      <c r="AX121" s="259">
        <v>0</v>
      </c>
      <c r="AY121" s="259">
        <v>0</v>
      </c>
      <c r="AZ121" s="259">
        <v>0</v>
      </c>
      <c r="BA121" s="259">
        <v>0</v>
      </c>
      <c r="BB121" s="259">
        <v>0</v>
      </c>
      <c r="BC121" s="259">
        <v>0</v>
      </c>
      <c r="BD121" s="259">
        <v>0</v>
      </c>
      <c r="BE121" s="268">
        <v>0</v>
      </c>
      <c r="BG121" s="351">
        <v>0</v>
      </c>
      <c r="BH121" s="259">
        <v>0</v>
      </c>
      <c r="BI121" s="259">
        <v>20000</v>
      </c>
      <c r="BJ121" s="259">
        <v>0</v>
      </c>
      <c r="BK121" s="259">
        <v>22000</v>
      </c>
      <c r="BL121" s="259">
        <v>22000</v>
      </c>
      <c r="BM121" s="259">
        <v>22000</v>
      </c>
      <c r="BN121" s="259">
        <v>22000</v>
      </c>
      <c r="BO121" s="259">
        <v>22000</v>
      </c>
      <c r="BP121" s="259">
        <v>22000</v>
      </c>
      <c r="BQ121" s="259">
        <v>0</v>
      </c>
      <c r="BR121" s="268">
        <v>22000</v>
      </c>
      <c r="BT121" s="389">
        <v>0</v>
      </c>
      <c r="BU121" s="307">
        <v>0</v>
      </c>
      <c r="BV121" s="307">
        <v>0</v>
      </c>
      <c r="BW121" s="307">
        <v>0</v>
      </c>
      <c r="BX121" s="307">
        <v>0</v>
      </c>
      <c r="BY121" s="307">
        <v>0</v>
      </c>
      <c r="BZ121" s="307">
        <v>0</v>
      </c>
      <c r="CA121" s="307">
        <v>0</v>
      </c>
      <c r="CB121" s="307">
        <v>0</v>
      </c>
      <c r="CC121" s="307">
        <v>0</v>
      </c>
      <c r="CD121" s="307">
        <v>0</v>
      </c>
      <c r="CE121" s="308">
        <v>0</v>
      </c>
      <c r="CF121" s="212"/>
      <c r="CG121" s="517">
        <v>0</v>
      </c>
      <c r="CH121" s="329">
        <v>0</v>
      </c>
      <c r="CI121" s="329">
        <v>0</v>
      </c>
      <c r="CJ121" s="329">
        <v>0</v>
      </c>
      <c r="CK121" s="329">
        <v>0</v>
      </c>
      <c r="CL121" s="338">
        <v>0</v>
      </c>
      <c r="CM121" s="338">
        <v>0</v>
      </c>
      <c r="CN121" s="338">
        <v>0</v>
      </c>
      <c r="CO121" s="338">
        <v>0</v>
      </c>
      <c r="CP121" s="338">
        <v>0</v>
      </c>
      <c r="CQ121" s="338">
        <v>0</v>
      </c>
      <c r="CR121" s="522">
        <v>0</v>
      </c>
      <c r="CS121" s="212"/>
      <c r="CT121" s="273">
        <v>0</v>
      </c>
      <c r="CU121" s="273">
        <v>0</v>
      </c>
      <c r="CV121" s="273">
        <v>0.05</v>
      </c>
      <c r="CW121" s="273">
        <v>0</v>
      </c>
      <c r="CX121" s="273">
        <v>5.5E-2</v>
      </c>
      <c r="CY121" s="273">
        <v>5.5E-2</v>
      </c>
      <c r="CZ121" s="273">
        <v>5.5E-2</v>
      </c>
      <c r="DA121" s="273">
        <v>5.5E-2</v>
      </c>
      <c r="DB121" s="273">
        <v>5.5E-2</v>
      </c>
      <c r="DC121" s="273">
        <v>5.5E-2</v>
      </c>
      <c r="DD121" s="273">
        <v>0</v>
      </c>
      <c r="DE121" s="273">
        <v>5.5E-2</v>
      </c>
      <c r="DF121" s="390">
        <f t="shared" si="6"/>
        <v>0.11</v>
      </c>
      <c r="DG121" s="326">
        <v>0</v>
      </c>
      <c r="DH121" s="278">
        <v>0</v>
      </c>
      <c r="DI121" s="278">
        <v>0</v>
      </c>
      <c r="DJ121" s="278">
        <v>0</v>
      </c>
      <c r="DK121" s="278">
        <v>0</v>
      </c>
      <c r="DL121" s="278">
        <v>0</v>
      </c>
      <c r="DM121" s="278">
        <v>0</v>
      </c>
      <c r="DN121" s="278">
        <v>0</v>
      </c>
      <c r="DO121" s="278">
        <v>0</v>
      </c>
      <c r="DP121" s="278">
        <v>0</v>
      </c>
      <c r="DQ121" s="278">
        <v>0</v>
      </c>
      <c r="DR121" s="282">
        <v>0</v>
      </c>
      <c r="DS121" s="226"/>
      <c r="DT121" s="315">
        <v>0</v>
      </c>
      <c r="DU121" s="329">
        <v>0</v>
      </c>
      <c r="DV121" s="329">
        <v>0</v>
      </c>
      <c r="DW121" s="329">
        <v>0</v>
      </c>
      <c r="DX121" s="276">
        <v>0</v>
      </c>
      <c r="DY121" s="276">
        <v>0</v>
      </c>
      <c r="DZ121" s="276">
        <v>0</v>
      </c>
      <c r="EA121" s="276">
        <v>0</v>
      </c>
      <c r="EB121" s="276">
        <v>0</v>
      </c>
      <c r="EC121" s="276">
        <v>0</v>
      </c>
      <c r="ED121" s="276">
        <v>0</v>
      </c>
      <c r="EE121" s="313">
        <v>0</v>
      </c>
      <c r="EF121" s="212"/>
      <c r="EG121" s="315">
        <v>0</v>
      </c>
      <c r="EH121" s="274">
        <v>0</v>
      </c>
      <c r="EI121" s="274">
        <v>-0.05</v>
      </c>
      <c r="EJ121" s="278">
        <v>0</v>
      </c>
      <c r="EK121" s="276">
        <v>-5.5E-2</v>
      </c>
      <c r="EL121" s="276">
        <v>-5.5E-2</v>
      </c>
      <c r="EM121" s="276">
        <v>-5.5E-2</v>
      </c>
      <c r="EN121" s="276">
        <v>-5.5E-2</v>
      </c>
      <c r="EO121" s="276">
        <v>-5.5E-2</v>
      </c>
      <c r="EP121" s="276">
        <v>-5.5E-2</v>
      </c>
      <c r="EQ121" s="276">
        <v>0</v>
      </c>
      <c r="ER121" s="313">
        <v>-5.5E-2</v>
      </c>
      <c r="ES121" s="283"/>
      <c r="ET121" s="315">
        <v>0</v>
      </c>
      <c r="EU121" s="329">
        <v>0</v>
      </c>
      <c r="EV121" s="329">
        <v>0</v>
      </c>
      <c r="EW121" s="329">
        <v>0</v>
      </c>
      <c r="EX121" s="276">
        <v>0</v>
      </c>
      <c r="EY121" s="276">
        <v>0</v>
      </c>
      <c r="EZ121" s="276">
        <v>0</v>
      </c>
      <c r="FA121" s="276">
        <v>0</v>
      </c>
      <c r="FB121" s="276">
        <v>0</v>
      </c>
      <c r="FC121" s="276">
        <v>0</v>
      </c>
      <c r="FD121" s="276">
        <v>0</v>
      </c>
      <c r="FE121" s="313">
        <v>0</v>
      </c>
      <c r="FF121" s="212"/>
      <c r="FG121" s="315">
        <v>0</v>
      </c>
      <c r="FH121" s="274">
        <v>0</v>
      </c>
      <c r="FI121" s="274">
        <v>0</v>
      </c>
      <c r="FJ121" s="278">
        <v>0</v>
      </c>
      <c r="FK121" s="276">
        <v>0</v>
      </c>
      <c r="FL121" s="276"/>
      <c r="FM121" s="276">
        <v>0</v>
      </c>
      <c r="FN121" s="276">
        <v>0</v>
      </c>
      <c r="FO121" s="276">
        <v>0</v>
      </c>
      <c r="FP121" s="276">
        <v>0</v>
      </c>
      <c r="FQ121" s="276">
        <v>0</v>
      </c>
      <c r="FR121" s="313">
        <v>0</v>
      </c>
      <c r="FS121" s="283"/>
      <c r="FT121" s="286">
        <v>0</v>
      </c>
      <c r="FU121" s="260">
        <v>200</v>
      </c>
      <c r="FV121" s="260">
        <v>0</v>
      </c>
      <c r="FW121" s="260">
        <v>-200</v>
      </c>
      <c r="FX121" s="287">
        <v>-1</v>
      </c>
      <c r="FY121" s="327">
        <v>0</v>
      </c>
      <c r="FZ121" s="275">
        <v>0.435</v>
      </c>
      <c r="GA121" s="275">
        <v>0</v>
      </c>
      <c r="GB121" s="275">
        <v>-0.435</v>
      </c>
      <c r="GC121" s="275">
        <v>-0.435</v>
      </c>
      <c r="GD121" s="275">
        <v>0</v>
      </c>
      <c r="GE121" s="275">
        <v>0</v>
      </c>
      <c r="GF121" s="277">
        <v>0</v>
      </c>
      <c r="GG121" s="214">
        <v>0</v>
      </c>
      <c r="GH121" s="286">
        <v>0</v>
      </c>
      <c r="GI121" s="260">
        <v>25</v>
      </c>
      <c r="GJ121" s="260">
        <v>0</v>
      </c>
      <c r="GK121" s="260">
        <v>-25</v>
      </c>
      <c r="GL121" s="291">
        <v>-1</v>
      </c>
      <c r="GM121" s="275">
        <v>0</v>
      </c>
      <c r="GN121" s="275">
        <v>5.5E-2</v>
      </c>
      <c r="GO121" s="275">
        <v>0</v>
      </c>
      <c r="GP121" s="275">
        <v>-5.5E-2</v>
      </c>
      <c r="GQ121" s="275">
        <v>-5.5E-2</v>
      </c>
      <c r="GR121" s="277">
        <v>0</v>
      </c>
      <c r="GS121" s="275">
        <v>0</v>
      </c>
      <c r="GT121" s="284">
        <v>0</v>
      </c>
      <c r="GU121" s="292">
        <v>0</v>
      </c>
      <c r="GV121" s="214">
        <v>0</v>
      </c>
      <c r="GW121" s="293">
        <v>0</v>
      </c>
      <c r="GX121" s="294"/>
      <c r="GY121" s="293">
        <v>0</v>
      </c>
      <c r="GZ121" s="293">
        <v>0</v>
      </c>
      <c r="HA121" s="293">
        <v>0</v>
      </c>
      <c r="HB121" s="293">
        <v>0</v>
      </c>
      <c r="HC121" s="295">
        <v>0</v>
      </c>
    </row>
    <row r="122" spans="1:211" ht="12.75" customHeight="1" thickBot="1">
      <c r="B122" s="328"/>
      <c r="C122" s="553"/>
      <c r="D122" s="328"/>
      <c r="E122" s="328"/>
      <c r="F122" s="399"/>
      <c r="G122" s="386"/>
      <c r="H122" s="386">
        <v>0</v>
      </c>
      <c r="I122" s="334">
        <v>0</v>
      </c>
      <c r="J122" s="336">
        <v>0</v>
      </c>
      <c r="K122" s="336">
        <v>0</v>
      </c>
      <c r="L122" s="261">
        <v>0</v>
      </c>
      <c r="M122" s="332">
        <v>0</v>
      </c>
      <c r="N122" s="332">
        <v>0</v>
      </c>
      <c r="O122" s="332">
        <v>0</v>
      </c>
      <c r="P122" s="332">
        <v>0</v>
      </c>
      <c r="Q122" s="332">
        <v>0</v>
      </c>
      <c r="R122" s="387">
        <v>0</v>
      </c>
      <c r="S122" s="261">
        <f t="shared" si="5"/>
        <v>0</v>
      </c>
      <c r="T122" s="270">
        <v>0</v>
      </c>
      <c r="U122" s="270">
        <v>0</v>
      </c>
      <c r="V122" s="270">
        <v>0</v>
      </c>
      <c r="W122" s="270">
        <v>0</v>
      </c>
      <c r="X122" s="270">
        <v>0</v>
      </c>
      <c r="Y122" s="270">
        <v>0</v>
      </c>
      <c r="Z122" s="270">
        <v>0</v>
      </c>
      <c r="AA122" s="270">
        <v>0</v>
      </c>
      <c r="AB122" s="270">
        <v>0</v>
      </c>
      <c r="AC122" s="270">
        <v>0</v>
      </c>
      <c r="AD122" s="270">
        <v>0</v>
      </c>
      <c r="AE122" s="270">
        <v>0</v>
      </c>
      <c r="AG122" s="270">
        <v>0</v>
      </c>
      <c r="AH122" s="259">
        <v>0</v>
      </c>
      <c r="AI122" s="259">
        <v>0</v>
      </c>
      <c r="AJ122" s="259">
        <v>0</v>
      </c>
      <c r="AK122" s="259">
        <v>0</v>
      </c>
      <c r="AL122" s="259">
        <v>0</v>
      </c>
      <c r="AM122" s="259">
        <v>0</v>
      </c>
      <c r="AN122" s="259">
        <v>0</v>
      </c>
      <c r="AO122" s="259">
        <v>0</v>
      </c>
      <c r="AP122" s="259">
        <v>0</v>
      </c>
      <c r="AQ122" s="259">
        <v>0</v>
      </c>
      <c r="AR122" s="268">
        <v>0</v>
      </c>
      <c r="AS122" s="269">
        <v>0</v>
      </c>
      <c r="AT122" s="351">
        <v>0</v>
      </c>
      <c r="AU122" s="259">
        <v>0</v>
      </c>
      <c r="AV122" s="259">
        <v>0</v>
      </c>
      <c r="AW122" s="259">
        <v>0</v>
      </c>
      <c r="AX122" s="259">
        <v>0</v>
      </c>
      <c r="AY122" s="259">
        <v>0</v>
      </c>
      <c r="AZ122" s="259">
        <v>0</v>
      </c>
      <c r="BA122" s="259">
        <v>0</v>
      </c>
      <c r="BB122" s="259">
        <v>0</v>
      </c>
      <c r="BC122" s="259">
        <v>0</v>
      </c>
      <c r="BD122" s="259">
        <v>0</v>
      </c>
      <c r="BE122" s="268">
        <v>0</v>
      </c>
      <c r="BG122" s="351">
        <v>0</v>
      </c>
      <c r="BH122" s="259">
        <v>0</v>
      </c>
      <c r="BI122" s="259">
        <v>0</v>
      </c>
      <c r="BJ122" s="259">
        <v>0</v>
      </c>
      <c r="BK122" s="259">
        <v>0</v>
      </c>
      <c r="BL122" s="259">
        <v>0</v>
      </c>
      <c r="BM122" s="259">
        <v>0</v>
      </c>
      <c r="BN122" s="259">
        <v>0</v>
      </c>
      <c r="BO122" s="259">
        <v>0</v>
      </c>
      <c r="BP122" s="259">
        <v>0</v>
      </c>
      <c r="BQ122" s="259">
        <v>0</v>
      </c>
      <c r="BR122" s="268">
        <v>0</v>
      </c>
      <c r="BT122" s="389">
        <v>0</v>
      </c>
      <c r="BU122" s="307">
        <v>0</v>
      </c>
      <c r="BV122" s="307">
        <v>0</v>
      </c>
      <c r="BW122" s="307">
        <v>0</v>
      </c>
      <c r="BX122" s="307">
        <v>0</v>
      </c>
      <c r="BY122" s="307">
        <v>0</v>
      </c>
      <c r="BZ122" s="307">
        <v>0</v>
      </c>
      <c r="CA122" s="307">
        <v>0</v>
      </c>
      <c r="CB122" s="307">
        <v>0</v>
      </c>
      <c r="CC122" s="307">
        <v>0</v>
      </c>
      <c r="CD122" s="307">
        <v>0</v>
      </c>
      <c r="CE122" s="308">
        <v>0</v>
      </c>
      <c r="CF122" s="212"/>
      <c r="CG122" s="273">
        <v>0</v>
      </c>
      <c r="CH122" s="329">
        <v>0</v>
      </c>
      <c r="CI122" s="329">
        <v>0</v>
      </c>
      <c r="CJ122" s="329">
        <v>0</v>
      </c>
      <c r="CK122" s="329">
        <v>0</v>
      </c>
      <c r="CL122" s="276">
        <v>0</v>
      </c>
      <c r="CM122" s="338">
        <v>0</v>
      </c>
      <c r="CN122" s="338">
        <v>0</v>
      </c>
      <c r="CO122" s="338">
        <v>0</v>
      </c>
      <c r="CP122" s="338">
        <v>0</v>
      </c>
      <c r="CQ122" s="338">
        <v>0</v>
      </c>
      <c r="CR122" s="522">
        <v>0</v>
      </c>
      <c r="CS122" s="212"/>
      <c r="CT122" s="273"/>
      <c r="CU122" s="278"/>
      <c r="CV122" s="278"/>
      <c r="CW122" s="278"/>
      <c r="CX122" s="278"/>
      <c r="CY122" s="278"/>
      <c r="CZ122" s="278"/>
      <c r="DA122" s="278"/>
      <c r="DB122" s="278"/>
      <c r="DC122" s="278"/>
      <c r="DD122" s="278"/>
      <c r="DE122" s="278"/>
      <c r="DF122" s="390">
        <f t="shared" si="6"/>
        <v>0</v>
      </c>
      <c r="DG122" s="326">
        <v>0</v>
      </c>
      <c r="DH122" s="278">
        <v>0</v>
      </c>
      <c r="DI122" s="278">
        <v>0</v>
      </c>
      <c r="DJ122" s="278">
        <v>0</v>
      </c>
      <c r="DK122" s="278">
        <v>0</v>
      </c>
      <c r="DL122" s="278">
        <v>0</v>
      </c>
      <c r="DM122" s="278">
        <v>0</v>
      </c>
      <c r="DN122" s="278">
        <v>0</v>
      </c>
      <c r="DO122" s="278">
        <v>0</v>
      </c>
      <c r="DP122" s="278">
        <v>0</v>
      </c>
      <c r="DQ122" s="278">
        <v>0</v>
      </c>
      <c r="DR122" s="282">
        <v>0</v>
      </c>
      <c r="DS122" s="226"/>
      <c r="DT122" s="315">
        <v>0</v>
      </c>
      <c r="DU122" s="329">
        <v>0</v>
      </c>
      <c r="DV122" s="329">
        <v>0</v>
      </c>
      <c r="DW122" s="329">
        <v>0</v>
      </c>
      <c r="DX122" s="338">
        <v>0</v>
      </c>
      <c r="DY122" s="338">
        <v>0</v>
      </c>
      <c r="DZ122" s="338">
        <v>0</v>
      </c>
      <c r="EA122" s="338">
        <v>0</v>
      </c>
      <c r="EB122" s="338">
        <v>0</v>
      </c>
      <c r="EC122" s="338">
        <v>0</v>
      </c>
      <c r="ED122" s="338">
        <v>0</v>
      </c>
      <c r="EE122" s="313">
        <v>0</v>
      </c>
      <c r="EF122" s="212"/>
      <c r="EG122" s="315">
        <v>0</v>
      </c>
      <c r="EH122" s="274">
        <v>0</v>
      </c>
      <c r="EI122" s="274">
        <v>0</v>
      </c>
      <c r="EJ122" s="278">
        <v>0</v>
      </c>
      <c r="EK122" s="276">
        <v>0</v>
      </c>
      <c r="EL122" s="276">
        <v>0</v>
      </c>
      <c r="EM122" s="276">
        <v>0</v>
      </c>
      <c r="EN122" s="276">
        <v>0</v>
      </c>
      <c r="EO122" s="276">
        <v>0</v>
      </c>
      <c r="EP122" s="276">
        <v>0</v>
      </c>
      <c r="EQ122" s="276">
        <v>0</v>
      </c>
      <c r="ER122" s="313">
        <v>0</v>
      </c>
      <c r="ES122" s="283"/>
      <c r="ET122" s="315">
        <v>0</v>
      </c>
      <c r="EU122" s="329">
        <v>0</v>
      </c>
      <c r="EV122" s="329">
        <v>0</v>
      </c>
      <c r="EW122" s="329">
        <v>0</v>
      </c>
      <c r="EX122" s="338">
        <v>0</v>
      </c>
      <c r="EY122" s="338">
        <v>0</v>
      </c>
      <c r="EZ122" s="338">
        <v>0</v>
      </c>
      <c r="FA122" s="338">
        <v>0</v>
      </c>
      <c r="FB122" s="338">
        <v>0</v>
      </c>
      <c r="FC122" s="338">
        <v>0</v>
      </c>
      <c r="FD122" s="338">
        <v>0</v>
      </c>
      <c r="FE122" s="313">
        <v>0</v>
      </c>
      <c r="FF122" s="212"/>
      <c r="FG122" s="315">
        <v>0</v>
      </c>
      <c r="FH122" s="274">
        <v>0</v>
      </c>
      <c r="FI122" s="274">
        <v>0</v>
      </c>
      <c r="FJ122" s="278">
        <v>0</v>
      </c>
      <c r="FK122" s="276">
        <v>0</v>
      </c>
      <c r="FL122" s="276"/>
      <c r="FM122" s="276">
        <v>0</v>
      </c>
      <c r="FN122" s="276">
        <v>0</v>
      </c>
      <c r="FO122" s="276">
        <v>0</v>
      </c>
      <c r="FP122" s="276">
        <v>0</v>
      </c>
      <c r="FQ122" s="276">
        <v>0</v>
      </c>
      <c r="FR122" s="313">
        <v>0</v>
      </c>
      <c r="FS122" s="283"/>
      <c r="FT122" s="286">
        <v>0</v>
      </c>
      <c r="FU122" s="260">
        <v>0</v>
      </c>
      <c r="FV122" s="260">
        <v>0</v>
      </c>
      <c r="FW122" s="260">
        <v>0</v>
      </c>
      <c r="FX122" s="287">
        <v>0</v>
      </c>
      <c r="FY122" s="327">
        <v>0</v>
      </c>
      <c r="FZ122" s="275">
        <v>0</v>
      </c>
      <c r="GA122" s="275">
        <v>0</v>
      </c>
      <c r="GB122" s="275">
        <v>0</v>
      </c>
      <c r="GC122" s="275">
        <v>0</v>
      </c>
      <c r="GD122" s="275">
        <v>0</v>
      </c>
      <c r="GE122" s="275">
        <v>0</v>
      </c>
      <c r="GF122" s="277">
        <v>0</v>
      </c>
      <c r="GG122" s="214">
        <v>0</v>
      </c>
      <c r="GH122" s="286">
        <v>0</v>
      </c>
      <c r="GI122" s="260">
        <v>0</v>
      </c>
      <c r="GJ122" s="260">
        <v>0</v>
      </c>
      <c r="GK122" s="260">
        <v>0</v>
      </c>
      <c r="GL122" s="291">
        <v>0</v>
      </c>
      <c r="GM122" s="275">
        <v>0</v>
      </c>
      <c r="GN122" s="275">
        <v>0</v>
      </c>
      <c r="GO122" s="275">
        <v>0</v>
      </c>
      <c r="GP122" s="275">
        <v>0</v>
      </c>
      <c r="GQ122" s="275">
        <v>0</v>
      </c>
      <c r="GR122" s="277">
        <v>0</v>
      </c>
      <c r="GS122" s="275">
        <v>0</v>
      </c>
      <c r="GT122" s="284">
        <v>0</v>
      </c>
      <c r="GU122" s="292">
        <v>0</v>
      </c>
      <c r="GV122" s="214">
        <v>0</v>
      </c>
      <c r="GW122" s="293">
        <v>0</v>
      </c>
      <c r="GX122" s="294"/>
      <c r="GY122" s="293">
        <v>0</v>
      </c>
      <c r="GZ122" s="293">
        <v>0</v>
      </c>
      <c r="HA122" s="293">
        <v>0</v>
      </c>
      <c r="HB122" s="293">
        <v>0</v>
      </c>
      <c r="HC122" s="295">
        <v>0</v>
      </c>
    </row>
    <row r="123" spans="1:211" s="381" customFormat="1" ht="13.5" customHeight="1" thickBot="1">
      <c r="A123" s="352"/>
      <c r="B123" s="419"/>
      <c r="C123" s="526"/>
      <c r="D123" s="1090" t="s">
        <v>342</v>
      </c>
      <c r="E123" s="1088"/>
      <c r="F123" s="1092"/>
      <c r="G123" s="355">
        <v>64.75</v>
      </c>
      <c r="H123" s="355">
        <v>60.070000000000007</v>
      </c>
      <c r="I123" s="357">
        <v>52.14</v>
      </c>
      <c r="J123" s="355">
        <v>65.19</v>
      </c>
      <c r="K123" s="355">
        <v>56.92</v>
      </c>
      <c r="L123" s="355">
        <v>33.480000000000004</v>
      </c>
      <c r="M123" s="355">
        <v>38.900000000000006</v>
      </c>
      <c r="N123" s="355">
        <v>20.13</v>
      </c>
      <c r="O123" s="355">
        <v>36.519999999999996</v>
      </c>
      <c r="P123" s="355">
        <v>37.896000000000008</v>
      </c>
      <c r="Q123" s="355">
        <v>57.989999999999995</v>
      </c>
      <c r="R123" s="355">
        <v>19.16</v>
      </c>
      <c r="S123" s="261">
        <f t="shared" si="5"/>
        <v>115.04599999999999</v>
      </c>
      <c r="T123" s="356">
        <v>70</v>
      </c>
      <c r="U123" s="355">
        <v>110</v>
      </c>
      <c r="V123" s="357">
        <v>115</v>
      </c>
      <c r="W123" s="355">
        <v>110</v>
      </c>
      <c r="X123" s="355">
        <v>115</v>
      </c>
      <c r="Y123" s="355">
        <v>135</v>
      </c>
      <c r="Z123" s="355">
        <v>135</v>
      </c>
      <c r="AA123" s="355">
        <v>115</v>
      </c>
      <c r="AB123" s="355">
        <v>135</v>
      </c>
      <c r="AC123" s="355">
        <v>135</v>
      </c>
      <c r="AD123" s="355">
        <v>90</v>
      </c>
      <c r="AE123" s="355">
        <v>135</v>
      </c>
      <c r="AF123" s="360"/>
      <c r="AG123" s="356">
        <v>0</v>
      </c>
      <c r="AH123" s="355">
        <v>0</v>
      </c>
      <c r="AI123" s="357">
        <v>0</v>
      </c>
      <c r="AJ123" s="355">
        <v>0</v>
      </c>
      <c r="AK123" s="355">
        <v>0</v>
      </c>
      <c r="AL123" s="355">
        <v>0</v>
      </c>
      <c r="AM123" s="355">
        <v>0</v>
      </c>
      <c r="AN123" s="355">
        <v>0</v>
      </c>
      <c r="AO123" s="355">
        <v>0</v>
      </c>
      <c r="AP123" s="355">
        <v>0</v>
      </c>
      <c r="AQ123" s="355">
        <v>0</v>
      </c>
      <c r="AR123" s="355">
        <v>0</v>
      </c>
      <c r="AS123" s="439">
        <v>0</v>
      </c>
      <c r="AT123" s="356"/>
      <c r="AU123" s="357"/>
      <c r="AV123" s="357"/>
      <c r="AW123" s="357"/>
      <c r="AX123" s="357"/>
      <c r="AY123" s="357"/>
      <c r="AZ123" s="357"/>
      <c r="BA123" s="357"/>
      <c r="BB123" s="357"/>
      <c r="BC123" s="357"/>
      <c r="BD123" s="357"/>
      <c r="BE123" s="355"/>
      <c r="BF123" s="360"/>
      <c r="BG123" s="508">
        <v>28000</v>
      </c>
      <c r="BH123" s="509">
        <v>43454.545454545456</v>
      </c>
      <c r="BI123" s="509">
        <v>26782.608695652172</v>
      </c>
      <c r="BJ123" s="509">
        <v>44818.181818181823</v>
      </c>
      <c r="BK123" s="509">
        <v>28521.739130434784</v>
      </c>
      <c r="BL123" s="509">
        <v>40592.592592592599</v>
      </c>
      <c r="BM123" s="509">
        <v>40592.592592592599</v>
      </c>
      <c r="BN123" s="509">
        <v>28521.739130434784</v>
      </c>
      <c r="BO123" s="509">
        <v>40592.592592592599</v>
      </c>
      <c r="BP123" s="509">
        <v>40592.592592592599</v>
      </c>
      <c r="BQ123" s="509">
        <v>47000</v>
      </c>
      <c r="BR123" s="510">
        <v>40592.592592592599</v>
      </c>
      <c r="BS123" s="360"/>
      <c r="BT123" s="468">
        <v>0</v>
      </c>
      <c r="BU123" s="469">
        <v>0</v>
      </c>
      <c r="BV123" s="469">
        <v>0</v>
      </c>
      <c r="BW123" s="469">
        <v>0</v>
      </c>
      <c r="BX123" s="469">
        <v>0</v>
      </c>
      <c r="BY123" s="469">
        <v>0</v>
      </c>
      <c r="BZ123" s="469">
        <v>0</v>
      </c>
      <c r="CA123" s="469">
        <v>0</v>
      </c>
      <c r="CB123" s="469">
        <v>0</v>
      </c>
      <c r="CC123" s="469">
        <v>0</v>
      </c>
      <c r="CD123" s="469">
        <v>0</v>
      </c>
      <c r="CE123" s="355">
        <v>0</v>
      </c>
      <c r="CF123" s="361"/>
      <c r="CG123" s="362">
        <v>0.15041241799999999</v>
      </c>
      <c r="CH123" s="368">
        <v>0.15406867299999999</v>
      </c>
      <c r="CI123" s="368">
        <v>0.125341432</v>
      </c>
      <c r="CJ123" s="368">
        <v>0.17543999500000002</v>
      </c>
      <c r="CK123" s="368">
        <v>0.108089671</v>
      </c>
      <c r="CL123" s="368">
        <v>5.7724139999999993E-2</v>
      </c>
      <c r="CM123" s="368">
        <v>6.6064536000000007E-2</v>
      </c>
      <c r="CN123" s="368">
        <v>3.4943795999999999E-2</v>
      </c>
      <c r="CO123" s="368">
        <v>5.7568485000000003E-2</v>
      </c>
      <c r="CP123" s="368">
        <v>5.2286596000000005E-2</v>
      </c>
      <c r="CQ123" s="368">
        <v>6.9987957000000003E-2</v>
      </c>
      <c r="CR123" s="367">
        <v>2.2652217000000002E-2</v>
      </c>
      <c r="CS123" s="361"/>
      <c r="CT123" s="362">
        <v>0.19600000000000001</v>
      </c>
      <c r="CU123" s="368">
        <v>0.47800000000000004</v>
      </c>
      <c r="CV123" s="368">
        <v>0.308</v>
      </c>
      <c r="CW123" s="368">
        <v>0.49300000000000005</v>
      </c>
      <c r="CX123" s="368">
        <v>0.32800000000000001</v>
      </c>
      <c r="CY123" s="368">
        <v>0.54800000000000004</v>
      </c>
      <c r="CZ123" s="368">
        <v>0.54800000000000004</v>
      </c>
      <c r="DA123" s="368">
        <v>0.32800000000000001</v>
      </c>
      <c r="DB123" s="368">
        <v>0.54800000000000004</v>
      </c>
      <c r="DC123" s="368">
        <v>0.54800000000000004</v>
      </c>
      <c r="DD123" s="368">
        <v>0.42300000000000004</v>
      </c>
      <c r="DE123" s="367">
        <v>0.54800000000000004</v>
      </c>
      <c r="DF123" s="390">
        <f t="shared" si="6"/>
        <v>1.5190000000000001</v>
      </c>
      <c r="DG123" s="362">
        <v>0</v>
      </c>
      <c r="DH123" s="367">
        <v>0</v>
      </c>
      <c r="DI123" s="368">
        <v>0</v>
      </c>
      <c r="DJ123" s="367">
        <v>0</v>
      </c>
      <c r="DK123" s="367">
        <v>0</v>
      </c>
      <c r="DL123" s="367">
        <v>0</v>
      </c>
      <c r="DM123" s="367">
        <v>0</v>
      </c>
      <c r="DN123" s="367">
        <v>0</v>
      </c>
      <c r="DO123" s="367">
        <v>0</v>
      </c>
      <c r="DP123" s="367">
        <v>0</v>
      </c>
      <c r="DQ123" s="367">
        <v>0</v>
      </c>
      <c r="DR123" s="367">
        <v>0</v>
      </c>
      <c r="DS123" s="371"/>
      <c r="DT123" s="364">
        <v>-3.0887582E-2</v>
      </c>
      <c r="DU123" s="369">
        <v>-1.412732700000004E-2</v>
      </c>
      <c r="DV123" s="369">
        <v>-2.0650568000000008E-2</v>
      </c>
      <c r="DW123" s="369">
        <v>-1.3611004999999987E-2</v>
      </c>
      <c r="DX123" s="369">
        <v>-5.6978329000000015E-2</v>
      </c>
      <c r="DY123" s="369">
        <v>-3.9367860000000032E-2</v>
      </c>
      <c r="DZ123" s="369">
        <v>-4.6745464000000021E-2</v>
      </c>
      <c r="EA123" s="369">
        <v>-2.4441204000000001E-2</v>
      </c>
      <c r="EB123" s="369">
        <v>-4.8339514999999993E-2</v>
      </c>
      <c r="EC123" s="369">
        <v>-5.8125404000000033E-2</v>
      </c>
      <c r="ED123" s="369">
        <v>-9.8183042999999998E-2</v>
      </c>
      <c r="EE123" s="370">
        <v>-3.2911783E-2</v>
      </c>
      <c r="EF123" s="361"/>
      <c r="EG123" s="364">
        <v>-1.47E-2</v>
      </c>
      <c r="EH123" s="364">
        <v>-0.30980399999999997</v>
      </c>
      <c r="EI123" s="364">
        <v>-0.16200799999999999</v>
      </c>
      <c r="EJ123" s="364">
        <v>-0.30394900000000002</v>
      </c>
      <c r="EK123" s="364">
        <v>-0.16293199999999999</v>
      </c>
      <c r="EL123" s="364">
        <v>-0.45090799999999998</v>
      </c>
      <c r="EM123" s="364">
        <v>-0.43519000000000002</v>
      </c>
      <c r="EN123" s="364">
        <v>-0.26861499999999999</v>
      </c>
      <c r="EO123" s="364">
        <v>-0.44209200000000004</v>
      </c>
      <c r="EP123" s="364">
        <v>-0.43758799999999998</v>
      </c>
      <c r="EQ123" s="364">
        <v>-0.25482900000000003</v>
      </c>
      <c r="ER123" s="364">
        <v>-0.49243599999999998</v>
      </c>
      <c r="ES123" s="529"/>
      <c r="ET123" s="364">
        <v>0.15041241799999999</v>
      </c>
      <c r="EU123" s="369">
        <v>0.15406867299999996</v>
      </c>
      <c r="EV123" s="369">
        <v>0.12534143199999997</v>
      </c>
      <c r="EW123" s="369">
        <v>0.17543999500000002</v>
      </c>
      <c r="EX123" s="369">
        <v>0.10808967100000003</v>
      </c>
      <c r="EY123" s="369">
        <v>5.7724139999999993E-2</v>
      </c>
      <c r="EZ123" s="369">
        <v>6.6064536000000007E-2</v>
      </c>
      <c r="FA123" s="369">
        <v>3.4943796000000006E-2</v>
      </c>
      <c r="FB123" s="369">
        <v>5.756848500000001E-2</v>
      </c>
      <c r="FC123" s="369">
        <v>5.2286596000000005E-2</v>
      </c>
      <c r="FD123" s="369">
        <v>6.9987957000000003E-2</v>
      </c>
      <c r="FE123" s="370">
        <v>2.2652217000000006E-2</v>
      </c>
      <c r="FF123" s="361"/>
      <c r="FG123" s="362">
        <v>0</v>
      </c>
      <c r="FH123" s="362">
        <v>0</v>
      </c>
      <c r="FI123" s="362">
        <v>0</v>
      </c>
      <c r="FJ123" s="362">
        <v>0</v>
      </c>
      <c r="FK123" s="362">
        <v>0</v>
      </c>
      <c r="FL123" s="362">
        <v>0</v>
      </c>
      <c r="FM123" s="362">
        <v>0</v>
      </c>
      <c r="FN123" s="362">
        <v>0</v>
      </c>
      <c r="FO123" s="362">
        <v>0</v>
      </c>
      <c r="FP123" s="362">
        <v>0</v>
      </c>
      <c r="FQ123" s="362">
        <v>0</v>
      </c>
      <c r="FR123" s="363">
        <v>0</v>
      </c>
      <c r="FS123" s="372"/>
      <c r="FT123" s="440">
        <v>543.14599999999996</v>
      </c>
      <c r="FU123" s="440">
        <v>1400</v>
      </c>
      <c r="FV123" s="441">
        <v>0</v>
      </c>
      <c r="FW123" s="442">
        <v>-856.85400000000004</v>
      </c>
      <c r="FX123" s="445">
        <v>-0.61203857142857143</v>
      </c>
      <c r="FY123" s="446">
        <v>1.0745799160000002</v>
      </c>
      <c r="FZ123" s="446">
        <v>5.2939999999999996</v>
      </c>
      <c r="GA123" s="446">
        <v>0</v>
      </c>
      <c r="GB123" s="446">
        <v>-4.2194200839999993</v>
      </c>
      <c r="GC123" s="446">
        <v>-3.7350510000000003</v>
      </c>
      <c r="GD123" s="446">
        <v>-0.48436908400000001</v>
      </c>
      <c r="GE123" s="446">
        <v>0</v>
      </c>
      <c r="GF123" s="447">
        <v>1.0745799160000002</v>
      </c>
      <c r="GG123" s="214">
        <v>0</v>
      </c>
      <c r="GH123" s="440">
        <v>19.16</v>
      </c>
      <c r="GI123" s="440">
        <v>135</v>
      </c>
      <c r="GJ123" s="440">
        <v>0</v>
      </c>
      <c r="GK123" s="440">
        <v>-115.84</v>
      </c>
      <c r="GL123" s="445">
        <v>-0.8580740740740741</v>
      </c>
      <c r="GM123" s="446">
        <v>2.2652217000000002E-2</v>
      </c>
      <c r="GN123" s="446">
        <v>0.54800000000000004</v>
      </c>
      <c r="GO123" s="446">
        <v>0</v>
      </c>
      <c r="GP123" s="446">
        <v>-0.52534778300000007</v>
      </c>
      <c r="GQ123" s="446">
        <v>-0.49243599999999998</v>
      </c>
      <c r="GR123" s="446">
        <v>-3.2911783E-2</v>
      </c>
      <c r="GS123" s="446">
        <v>0</v>
      </c>
      <c r="GT123" s="554">
        <v>2.2652217000000006E-2</v>
      </c>
      <c r="GU123" s="447">
        <v>0</v>
      </c>
      <c r="GV123" s="214">
        <v>0</v>
      </c>
      <c r="GW123" s="535">
        <v>0</v>
      </c>
      <c r="GX123" s="535">
        <v>0</v>
      </c>
      <c r="GY123" s="535">
        <v>1.0745799160000002</v>
      </c>
      <c r="GZ123" s="535">
        <v>0</v>
      </c>
      <c r="HA123" s="535">
        <v>2.2652217000000002E-2</v>
      </c>
      <c r="HB123" s="535">
        <v>2.2652217000000002E-2</v>
      </c>
      <c r="HC123" s="535">
        <v>0</v>
      </c>
    </row>
    <row r="124" spans="1:211" ht="12.75" customHeight="1">
      <c r="A124" s="213"/>
      <c r="B124" s="328" t="s">
        <v>73</v>
      </c>
      <c r="C124" s="553" t="s">
        <v>68</v>
      </c>
      <c r="D124" s="328" t="s">
        <v>73</v>
      </c>
      <c r="E124" s="555"/>
      <c r="F124" s="556"/>
      <c r="G124" s="307">
        <v>13.571999999999999</v>
      </c>
      <c r="H124" s="307">
        <v>14.81664</v>
      </c>
      <c r="I124" s="307">
        <v>24.37152</v>
      </c>
      <c r="J124" s="307">
        <v>16.621200000000002</v>
      </c>
      <c r="K124" s="307">
        <v>23.02824</v>
      </c>
      <c r="L124" s="307">
        <v>26.77872</v>
      </c>
      <c r="M124" s="307">
        <v>33.731760000000001</v>
      </c>
      <c r="N124" s="307">
        <v>27.696480000000001</v>
      </c>
      <c r="O124" s="307">
        <v>31.9116</v>
      </c>
      <c r="P124" s="307">
        <v>35.026000000000003</v>
      </c>
      <c r="Q124" s="307">
        <v>33.664319999999996</v>
      </c>
      <c r="R124" s="307">
        <v>27.504000000000001</v>
      </c>
      <c r="S124" s="261">
        <f t="shared" si="5"/>
        <v>96.194320000000005</v>
      </c>
      <c r="T124" s="464">
        <v>12.9125</v>
      </c>
      <c r="U124" s="464">
        <v>12.9125</v>
      </c>
      <c r="V124" s="464">
        <v>12.9125</v>
      </c>
      <c r="W124" s="464">
        <v>12.9125</v>
      </c>
      <c r="X124" s="464">
        <v>12.9125</v>
      </c>
      <c r="Y124" s="464">
        <v>12.9125</v>
      </c>
      <c r="Z124" s="464">
        <v>12.9125</v>
      </c>
      <c r="AA124" s="464">
        <v>12.9125</v>
      </c>
      <c r="AB124" s="464">
        <v>12.9125</v>
      </c>
      <c r="AC124" s="464">
        <v>12.9125</v>
      </c>
      <c r="AD124" s="464">
        <v>12.9125</v>
      </c>
      <c r="AE124" s="464">
        <v>12.9125</v>
      </c>
      <c r="AF124" s="212"/>
      <c r="AG124" s="389">
        <v>0</v>
      </c>
      <c r="AH124" s="389">
        <v>23.002800000000001</v>
      </c>
      <c r="AI124" s="389">
        <v>26.93064</v>
      </c>
      <c r="AJ124" s="389">
        <v>17.790559999999999</v>
      </c>
      <c r="AK124" s="389">
        <v>20.4816</v>
      </c>
      <c r="AL124" s="389">
        <v>24.099519999999998</v>
      </c>
      <c r="AM124" s="389">
        <v>35.918880000000001</v>
      </c>
      <c r="AN124" s="389">
        <v>31.015519999999999</v>
      </c>
      <c r="AO124" s="389">
        <v>31.076989999999999</v>
      </c>
      <c r="AP124" s="389">
        <v>41.817680000000003</v>
      </c>
      <c r="AQ124" s="389">
        <v>47.084420000000001</v>
      </c>
      <c r="AR124" s="389">
        <v>24.2972</v>
      </c>
      <c r="AS124" s="269">
        <v>6.1288747181496312E-3</v>
      </c>
      <c r="AT124" s="389">
        <v>10.741229000884173</v>
      </c>
      <c r="AU124" s="307">
        <v>12.76407007256706</v>
      </c>
      <c r="AV124" s="307">
        <v>9.9344006775121141</v>
      </c>
      <c r="AW124" s="307">
        <v>11.36785495030443</v>
      </c>
      <c r="AX124" s="307">
        <v>9.5857355056226634</v>
      </c>
      <c r="AY124" s="557">
        <v>10.570889325554019</v>
      </c>
      <c r="AZ124" s="307">
        <v>10.20747170026112</v>
      </c>
      <c r="BA124" s="307">
        <v>8.8743152126190754</v>
      </c>
      <c r="BB124" s="307">
        <v>11.311968907857956</v>
      </c>
      <c r="BC124" s="307">
        <v>10.964086484325923</v>
      </c>
      <c r="BD124" s="307">
        <v>8.8849008564557383</v>
      </c>
      <c r="BE124" s="308">
        <v>8.8199574607329847</v>
      </c>
      <c r="BF124" s="212"/>
      <c r="BG124" s="389">
        <v>12.695133817450765</v>
      </c>
      <c r="BH124" s="307">
        <v>12.695133817450765</v>
      </c>
      <c r="BI124" s="307">
        <v>12.695133817450765</v>
      </c>
      <c r="BJ124" s="307">
        <v>12.695133817450765</v>
      </c>
      <c r="BK124" s="307">
        <v>12.695133817450765</v>
      </c>
      <c r="BL124" s="307">
        <v>12.695133817450765</v>
      </c>
      <c r="BM124" s="307">
        <v>12.695133817450765</v>
      </c>
      <c r="BN124" s="307">
        <v>12.695133817450765</v>
      </c>
      <c r="BO124" s="307">
        <v>12.695133817450765</v>
      </c>
      <c r="BP124" s="307">
        <v>12.695133817450765</v>
      </c>
      <c r="BQ124" s="307">
        <v>12.695133817450765</v>
      </c>
      <c r="BR124" s="308">
        <v>12.695133817450765</v>
      </c>
      <c r="BS124" s="212"/>
      <c r="BT124" s="389">
        <v>0</v>
      </c>
      <c r="BU124" s="307">
        <v>11.363008585846266</v>
      </c>
      <c r="BV124" s="307">
        <v>9.9748244815519627</v>
      </c>
      <c r="BW124" s="307">
        <v>10.734152921545894</v>
      </c>
      <c r="BX124" s="307">
        <v>11.117505366231107</v>
      </c>
      <c r="BY124" s="307">
        <v>12.591625162807384</v>
      </c>
      <c r="BZ124" s="307">
        <v>9.745706984429976</v>
      </c>
      <c r="CA124" s="307">
        <v>8.8215347844300673</v>
      </c>
      <c r="CB124" s="307">
        <v>12.967566416919935</v>
      </c>
      <c r="CC124" s="307">
        <v>11.801714380862148</v>
      </c>
      <c r="CD124" s="307">
        <v>9.4164326706903623</v>
      </c>
      <c r="CE124" s="308">
        <v>9.5781258422572879</v>
      </c>
      <c r="CF124" s="212"/>
      <c r="CG124" s="464">
        <v>1.4577996</v>
      </c>
      <c r="CH124" s="464">
        <v>1.891206312</v>
      </c>
      <c r="CI124" s="389">
        <v>2.4211644480000003</v>
      </c>
      <c r="CJ124" s="389">
        <v>1.889473907</v>
      </c>
      <c r="CK124" s="389">
        <v>2.2074261780000004</v>
      </c>
      <c r="CL124" s="389">
        <v>2.8307488539999994</v>
      </c>
      <c r="CM124" s="389">
        <v>3.4431598560000003</v>
      </c>
      <c r="CN124" s="389">
        <v>2.457872938</v>
      </c>
      <c r="CO124" s="389">
        <v>3.6098302699999993</v>
      </c>
      <c r="CP124" s="389">
        <v>3.8402809319999984</v>
      </c>
      <c r="CQ124" s="389">
        <v>2.9910414560000005</v>
      </c>
      <c r="CR124" s="389">
        <v>2.4258411</v>
      </c>
      <c r="CS124" s="212"/>
      <c r="CT124" s="464">
        <v>1.6392591541783299</v>
      </c>
      <c r="CU124" s="464">
        <v>1.6392591541783299</v>
      </c>
      <c r="CV124" s="464">
        <v>1.6392591541783299</v>
      </c>
      <c r="CW124" s="464">
        <v>1.6392591541783299</v>
      </c>
      <c r="CX124" s="464">
        <v>1.6392591541783299</v>
      </c>
      <c r="CY124" s="464">
        <v>1.6392591541783299</v>
      </c>
      <c r="CZ124" s="464">
        <v>1.6392591541783299</v>
      </c>
      <c r="DA124" s="464">
        <v>1.6392591541783299</v>
      </c>
      <c r="DB124" s="464">
        <v>1.6392591541783299</v>
      </c>
      <c r="DC124" s="464">
        <v>1.6392591541783299</v>
      </c>
      <c r="DD124" s="464">
        <v>1.6392591541783299</v>
      </c>
      <c r="DE124" s="464">
        <v>1.6392591541783299</v>
      </c>
      <c r="DF124" s="390">
        <f t="shared" si="6"/>
        <v>4.9177774625349899</v>
      </c>
      <c r="DG124" s="464">
        <v>0</v>
      </c>
      <c r="DH124" s="464">
        <v>2.6138101389850448</v>
      </c>
      <c r="DI124" s="464">
        <v>2.6862840717586254</v>
      </c>
      <c r="DJ124" s="464">
        <v>1.909665915999375</v>
      </c>
      <c r="DK124" s="464">
        <v>2.2770429790899906</v>
      </c>
      <c r="DL124" s="464">
        <v>3.0345212244357982</v>
      </c>
      <c r="DM124" s="464">
        <v>3.5005487968890217</v>
      </c>
      <c r="DN124" s="464">
        <v>2.7360448853718644</v>
      </c>
      <c r="DO124" s="464">
        <v>4.0299293186295664</v>
      </c>
      <c r="DP124" s="464">
        <v>4.9352031543029149</v>
      </c>
      <c r="DQ124" s="464">
        <v>4.4336727076850675</v>
      </c>
      <c r="DR124" s="464">
        <v>2.3272163921449378</v>
      </c>
      <c r="DS124" s="558"/>
      <c r="DT124" s="464">
        <v>-0.26518396170441783</v>
      </c>
      <c r="DU124" s="340">
        <v>1.0214036750063025E-2</v>
      </c>
      <c r="DV124" s="340">
        <v>-0.67283262934677635</v>
      </c>
      <c r="DW124" s="340">
        <v>-0.22060967506612661</v>
      </c>
      <c r="DX124" s="340">
        <v>-0.71603970580372356</v>
      </c>
      <c r="DY124" s="340">
        <v>-0.56884548460045248</v>
      </c>
      <c r="DZ124" s="340">
        <v>-0.83913221498132984</v>
      </c>
      <c r="EA124" s="340">
        <v>-1.058232260723488</v>
      </c>
      <c r="EB124" s="340">
        <v>-0.44139005328961878</v>
      </c>
      <c r="EC124" s="340">
        <v>-0.60631663890030707</v>
      </c>
      <c r="ED124" s="340">
        <v>-1.282689016734841</v>
      </c>
      <c r="EE124" s="465">
        <v>-1.0658285051516583</v>
      </c>
      <c r="EF124" s="212"/>
      <c r="EG124" s="464">
        <v>8.372440752608773E-2</v>
      </c>
      <c r="EH124" s="340">
        <v>0.24173312107160699</v>
      </c>
      <c r="EI124" s="340">
        <v>1.4547379231684467</v>
      </c>
      <c r="EJ124" s="340">
        <v>0.47082442788779683</v>
      </c>
      <c r="EK124" s="340">
        <v>1.2842067296253941</v>
      </c>
      <c r="EL124" s="340">
        <v>1.7603351844221216</v>
      </c>
      <c r="EM124" s="340">
        <v>2.6430329168029996</v>
      </c>
      <c r="EN124" s="340">
        <v>1.8768460445451576</v>
      </c>
      <c r="EO124" s="340">
        <v>2.4119611691112883</v>
      </c>
      <c r="EP124" s="340">
        <v>2.8073384167219753</v>
      </c>
      <c r="EQ124" s="340">
        <v>2.634471318556511</v>
      </c>
      <c r="ER124" s="340">
        <v>1.8524104509733286</v>
      </c>
      <c r="ES124" s="340"/>
      <c r="ET124" s="464">
        <v>1.4577996</v>
      </c>
      <c r="EU124" s="340">
        <v>0.20759023666606782</v>
      </c>
      <c r="EV124" s="340">
        <v>-9.8518954863325032E-3</v>
      </c>
      <c r="EW124" s="340">
        <v>0.10532888160401385</v>
      </c>
      <c r="EX124" s="340">
        <v>-0.35273963974857792</v>
      </c>
      <c r="EY124" s="340">
        <v>-0.5411271917977345</v>
      </c>
      <c r="EZ124" s="340">
        <v>0.15576136570884358</v>
      </c>
      <c r="FA124" s="340">
        <v>1.4618320737282985E-2</v>
      </c>
      <c r="FB124" s="340">
        <v>-0.5283276547018223</v>
      </c>
      <c r="FC124" s="340">
        <v>-0.29338754704077791</v>
      </c>
      <c r="FD124" s="340">
        <v>-0.17893657084574935</v>
      </c>
      <c r="FE124" s="465">
        <v>-0.20852663165444435</v>
      </c>
      <c r="FF124" s="212"/>
      <c r="FG124" s="464">
        <v>0</v>
      </c>
      <c r="FH124" s="340">
        <v>-0.9301940636511129</v>
      </c>
      <c r="FI124" s="340">
        <v>-0.2552677282722926</v>
      </c>
      <c r="FJ124" s="340">
        <v>-0.12552089060338878</v>
      </c>
      <c r="FK124" s="340">
        <v>0.28312283865858784</v>
      </c>
      <c r="FL124" s="340">
        <v>0.33735482136193562</v>
      </c>
      <c r="FM124" s="340">
        <v>-0.21315030659786491</v>
      </c>
      <c r="FN124" s="340">
        <v>-0.29279026810914749</v>
      </c>
      <c r="FO124" s="340">
        <v>0.10822860607225564</v>
      </c>
      <c r="FP124" s="340">
        <v>-0.80153467526213829</v>
      </c>
      <c r="FQ124" s="340">
        <v>-1.2636946808393177</v>
      </c>
      <c r="FR124" s="465">
        <v>0.30715133950950679</v>
      </c>
      <c r="FS124" s="340"/>
      <c r="FT124" s="559">
        <v>308.72248000000002</v>
      </c>
      <c r="FU124" s="560">
        <v>154.94999999999996</v>
      </c>
      <c r="FV124" s="560">
        <v>323.51580999999999</v>
      </c>
      <c r="FW124" s="560">
        <v>153.77248000000006</v>
      </c>
      <c r="FX124" s="561">
        <v>0.9924006453694747</v>
      </c>
      <c r="FY124" s="345">
        <v>31.465845851000001</v>
      </c>
      <c r="FZ124" s="345">
        <v>19.67110985013996</v>
      </c>
      <c r="GA124" s="345">
        <v>34.483939585292212</v>
      </c>
      <c r="GB124" s="345">
        <v>11.794736000860041</v>
      </c>
      <c r="GC124" s="345">
        <v>19.521622110412714</v>
      </c>
      <c r="GD124" s="345">
        <v>-7.7268861095526731</v>
      </c>
      <c r="GE124" s="345">
        <v>-2.8462950077329765</v>
      </c>
      <c r="GF124" s="344">
        <v>-0.17179872655923037</v>
      </c>
      <c r="GG124" s="214">
        <v>0</v>
      </c>
      <c r="GH124" s="559">
        <v>27.504000000000001</v>
      </c>
      <c r="GI124" s="560">
        <v>12.9125</v>
      </c>
      <c r="GJ124" s="560">
        <v>24.2972</v>
      </c>
      <c r="GK124" s="560">
        <v>14.591500000000002</v>
      </c>
      <c r="GL124" s="561">
        <v>1.1300290416263312</v>
      </c>
      <c r="GM124" s="345">
        <v>2.4258411</v>
      </c>
      <c r="GN124" s="345">
        <v>1.6392591541783299</v>
      </c>
      <c r="GO124" s="345">
        <v>2.3272163921449378</v>
      </c>
      <c r="GP124" s="345">
        <v>0.78658194582167007</v>
      </c>
      <c r="GQ124" s="345">
        <v>1.8524104509733286</v>
      </c>
      <c r="GR124" s="345">
        <v>-1.0658285051516583</v>
      </c>
      <c r="GS124" s="345">
        <v>0.30715133950950679</v>
      </c>
      <c r="GT124" s="345">
        <v>-0.20852663165444435</v>
      </c>
      <c r="GU124" s="292">
        <v>2.3135223431893523E-6</v>
      </c>
      <c r="GV124" s="214">
        <v>0</v>
      </c>
      <c r="GW124" s="345">
        <v>2.3831283323648701E-5</v>
      </c>
      <c r="GX124" s="345"/>
      <c r="GY124" s="345">
        <v>-3.0180937342922114</v>
      </c>
      <c r="GZ124" s="345">
        <v>4.4408920985006262E-15</v>
      </c>
      <c r="HA124" s="345">
        <v>9.8624707855062166E-2</v>
      </c>
      <c r="HB124" s="345">
        <v>-0.20852663165444463</v>
      </c>
      <c r="HC124" s="345">
        <v>2.194488865681065E-5</v>
      </c>
    </row>
    <row r="125" spans="1:211" ht="12.75" customHeight="1">
      <c r="A125" s="213"/>
      <c r="B125" s="328" t="s">
        <v>26</v>
      </c>
      <c r="C125" s="553" t="s">
        <v>68</v>
      </c>
      <c r="D125" s="328" t="s">
        <v>26</v>
      </c>
      <c r="E125" s="555"/>
      <c r="F125" s="556"/>
      <c r="G125" s="307">
        <v>15.53046</v>
      </c>
      <c r="H125" s="307">
        <v>25.891660000000002</v>
      </c>
      <c r="I125" s="307">
        <v>31.424880000000002</v>
      </c>
      <c r="J125" s="307">
        <v>24.469480000000001</v>
      </c>
      <c r="K125" s="307">
        <v>0</v>
      </c>
      <c r="L125" s="307">
        <v>19.956579999999999</v>
      </c>
      <c r="M125" s="307">
        <v>20.62754</v>
      </c>
      <c r="N125" s="307">
        <v>28.38278</v>
      </c>
      <c r="O125" s="307">
        <v>54.997</v>
      </c>
      <c r="P125" s="307">
        <v>30.049759999999999</v>
      </c>
      <c r="Q125" s="307">
        <v>29.54054</v>
      </c>
      <c r="R125" s="307">
        <v>26.142140000000001</v>
      </c>
      <c r="S125" s="261">
        <f t="shared" si="5"/>
        <v>85.732439999999997</v>
      </c>
      <c r="T125" s="464">
        <v>16.98</v>
      </c>
      <c r="U125" s="464">
        <v>16.98</v>
      </c>
      <c r="V125" s="464">
        <v>16.98</v>
      </c>
      <c r="W125" s="464">
        <v>16.98</v>
      </c>
      <c r="X125" s="464">
        <v>16.98</v>
      </c>
      <c r="Y125" s="464">
        <v>16.98</v>
      </c>
      <c r="Z125" s="464">
        <v>16.98</v>
      </c>
      <c r="AA125" s="464">
        <v>16.98</v>
      </c>
      <c r="AB125" s="464">
        <v>16.98</v>
      </c>
      <c r="AC125" s="464">
        <v>16.98</v>
      </c>
      <c r="AD125" s="464">
        <v>16.98</v>
      </c>
      <c r="AE125" s="464">
        <v>16.98</v>
      </c>
      <c r="AF125" s="212"/>
      <c r="AG125" s="389">
        <v>0</v>
      </c>
      <c r="AH125" s="389">
        <v>33.734369999999998</v>
      </c>
      <c r="AI125" s="389">
        <v>30</v>
      </c>
      <c r="AJ125" s="389">
        <v>27.72</v>
      </c>
      <c r="AK125" s="389">
        <v>0</v>
      </c>
      <c r="AL125" s="389">
        <v>16.68</v>
      </c>
      <c r="AM125" s="389">
        <v>36.299999999999997</v>
      </c>
      <c r="AN125" s="389">
        <v>38.04</v>
      </c>
      <c r="AO125" s="389">
        <v>38.04</v>
      </c>
      <c r="AP125" s="389">
        <v>35.520000000000003</v>
      </c>
      <c r="AQ125" s="389">
        <v>29.52</v>
      </c>
      <c r="AR125" s="389">
        <v>22.92</v>
      </c>
      <c r="AS125" s="269">
        <v>5.7814813451751461E-3</v>
      </c>
      <c r="AT125" s="389">
        <v>1.9744061025880748</v>
      </c>
      <c r="AU125" s="307">
        <v>2.0448968895775708</v>
      </c>
      <c r="AV125" s="307">
        <v>2.0885769492198532</v>
      </c>
      <c r="AW125" s="307">
        <v>2.1245081628216043</v>
      </c>
      <c r="AX125" s="307">
        <v>0</v>
      </c>
      <c r="AY125" s="562">
        <v>2.220706213188834</v>
      </c>
      <c r="AZ125" s="307">
        <v>2.6151715715979709</v>
      </c>
      <c r="BA125" s="307">
        <v>2.3478726678641069</v>
      </c>
      <c r="BB125" s="307">
        <v>1.7753521901194609</v>
      </c>
      <c r="BC125" s="307">
        <v>2.3495834642273352</v>
      </c>
      <c r="BD125" s="307">
        <v>2.3701361247966362</v>
      </c>
      <c r="BE125" s="308">
        <v>4.9338475656545322</v>
      </c>
      <c r="BF125" s="212"/>
      <c r="BG125" s="389">
        <v>1.9611307420494699</v>
      </c>
      <c r="BH125" s="307">
        <v>1.9611307420494699</v>
      </c>
      <c r="BI125" s="307">
        <v>1.9611307420494699</v>
      </c>
      <c r="BJ125" s="307">
        <v>1.9611307420494699</v>
      </c>
      <c r="BK125" s="307">
        <v>1.9611307420494699</v>
      </c>
      <c r="BL125" s="307">
        <v>1.9611307420494699</v>
      </c>
      <c r="BM125" s="307">
        <v>1.9611307420494699</v>
      </c>
      <c r="BN125" s="307">
        <v>1.9611307420494699</v>
      </c>
      <c r="BO125" s="307">
        <v>1.9611307420494699</v>
      </c>
      <c r="BP125" s="307">
        <v>1.9611307420494699</v>
      </c>
      <c r="BQ125" s="307">
        <v>1.9611307420494699</v>
      </c>
      <c r="BR125" s="308">
        <v>1.9611307420494699</v>
      </c>
      <c r="BS125" s="212"/>
      <c r="BT125" s="389">
        <v>0</v>
      </c>
      <c r="BU125" s="307">
        <v>1.8526791073910673</v>
      </c>
      <c r="BV125" s="307">
        <v>2.0799999999999996</v>
      </c>
      <c r="BW125" s="307">
        <v>2.0259740259740262</v>
      </c>
      <c r="BX125" s="307">
        <v>0</v>
      </c>
      <c r="BY125" s="307">
        <v>2.2307913669064749</v>
      </c>
      <c r="BZ125" s="307">
        <v>2.4471074380165296</v>
      </c>
      <c r="CA125" s="307">
        <v>2.3354574132492116</v>
      </c>
      <c r="CB125" s="307">
        <v>2.3354574132492116</v>
      </c>
      <c r="CC125" s="307">
        <v>2.3730405405405404</v>
      </c>
      <c r="CD125" s="307">
        <v>2.3736585365853657</v>
      </c>
      <c r="CE125" s="308">
        <v>2.2946073298429317</v>
      </c>
      <c r="CF125" s="212"/>
      <c r="CG125" s="464">
        <v>0.30663434999999994</v>
      </c>
      <c r="CH125" s="464">
        <v>0.52945775000000006</v>
      </c>
      <c r="CI125" s="389">
        <v>0.65633279999999994</v>
      </c>
      <c r="CJ125" s="389">
        <v>0.51985609999999993</v>
      </c>
      <c r="CK125" s="389">
        <v>0</v>
      </c>
      <c r="CL125" s="389">
        <v>0.44317701200000009</v>
      </c>
      <c r="CM125" s="389">
        <v>0.53944556200000005</v>
      </c>
      <c r="CN125" s="389">
        <v>0.66639153400000017</v>
      </c>
      <c r="CO125" s="389">
        <v>0.97639044399999997</v>
      </c>
      <c r="CP125" s="389">
        <v>0.70604419200000013</v>
      </c>
      <c r="CQ125" s="389">
        <v>0.70015101000000013</v>
      </c>
      <c r="CR125" s="389">
        <v>1.2898133379999996</v>
      </c>
      <c r="CS125" s="212"/>
      <c r="CT125" s="464">
        <v>0.33300000000000002</v>
      </c>
      <c r="CU125" s="464">
        <v>0.33300000000000002</v>
      </c>
      <c r="CV125" s="464">
        <v>0.33300000000000002</v>
      </c>
      <c r="CW125" s="464">
        <v>0.33300000000000002</v>
      </c>
      <c r="CX125" s="464">
        <v>0.33300000000000002</v>
      </c>
      <c r="CY125" s="464">
        <v>0.33300000000000002</v>
      </c>
      <c r="CZ125" s="464">
        <v>0.33300000000000002</v>
      </c>
      <c r="DA125" s="464">
        <v>0.33300000000000002</v>
      </c>
      <c r="DB125" s="464">
        <v>0.33300000000000002</v>
      </c>
      <c r="DC125" s="464">
        <v>0.33300000000000002</v>
      </c>
      <c r="DD125" s="464">
        <v>0.33300000000000002</v>
      </c>
      <c r="DE125" s="464">
        <v>0.33300000000000002</v>
      </c>
      <c r="DF125" s="390">
        <f t="shared" si="6"/>
        <v>0.99900000000000011</v>
      </c>
      <c r="DG125" s="464">
        <v>0</v>
      </c>
      <c r="DH125" s="464">
        <v>0.62498962499999999</v>
      </c>
      <c r="DI125" s="464">
        <v>0.62399999999999989</v>
      </c>
      <c r="DJ125" s="464">
        <v>0.56159999999999999</v>
      </c>
      <c r="DK125" s="464">
        <v>0</v>
      </c>
      <c r="DL125" s="464">
        <v>0.37209600000000004</v>
      </c>
      <c r="DM125" s="464">
        <v>0.88830000000000009</v>
      </c>
      <c r="DN125" s="464">
        <v>0.88840800000000009</v>
      </c>
      <c r="DO125" s="464">
        <v>0.88840800000000009</v>
      </c>
      <c r="DP125" s="464">
        <v>0.8429040000000001</v>
      </c>
      <c r="DQ125" s="464">
        <v>0.70070399999999999</v>
      </c>
      <c r="DR125" s="464">
        <v>0.52592399999999995</v>
      </c>
      <c r="DS125" s="558"/>
      <c r="DT125" s="464">
        <v>2.0617245583038181E-3</v>
      </c>
      <c r="DU125" s="340">
        <v>2.1688446113074276E-2</v>
      </c>
      <c r="DV125" s="340">
        <v>4.0049817667844337E-2</v>
      </c>
      <c r="DW125" s="340">
        <v>3.9977605300353262E-2</v>
      </c>
      <c r="DX125" s="340">
        <v>0</v>
      </c>
      <c r="DY125" s="340">
        <v>5.1802386558304096E-2</v>
      </c>
      <c r="DZ125" s="340">
        <v>0.13491253373144885</v>
      </c>
      <c r="EA125" s="340">
        <v>0.10976810997173163</v>
      </c>
      <c r="EB125" s="340">
        <v>-0.10217263020494707</v>
      </c>
      <c r="EC125" s="340">
        <v>0.11672911072791531</v>
      </c>
      <c r="ED125" s="340">
        <v>0.12082239869257974</v>
      </c>
      <c r="EE125" s="465">
        <v>0.77713179383038844</v>
      </c>
      <c r="EF125" s="212"/>
      <c r="EG125" s="464">
        <v>-2.8427374558303901E-2</v>
      </c>
      <c r="EH125" s="340">
        <v>0.1747693038869258</v>
      </c>
      <c r="EI125" s="340">
        <v>0.28328298233215549</v>
      </c>
      <c r="EJ125" s="340">
        <v>0.14687849469964664</v>
      </c>
      <c r="EK125" s="340">
        <v>-0.33299999999999996</v>
      </c>
      <c r="EL125" s="340">
        <v>5.8374625441696082E-2</v>
      </c>
      <c r="EM125" s="340">
        <v>7.1533028268551221E-2</v>
      </c>
      <c r="EN125" s="340">
        <v>0.22362342402826854</v>
      </c>
      <c r="EO125" s="340">
        <v>0.74556307420494694</v>
      </c>
      <c r="EP125" s="340">
        <v>0.25631508127208474</v>
      </c>
      <c r="EQ125" s="340">
        <v>0.24632861130742048</v>
      </c>
      <c r="ER125" s="340">
        <v>0.17968154416961132</v>
      </c>
      <c r="ES125" s="340"/>
      <c r="ET125" s="464">
        <v>0.30663434999999989</v>
      </c>
      <c r="EU125" s="340">
        <v>4.9768374623270044E-2</v>
      </c>
      <c r="EV125" s="340">
        <v>2.6952959999999066E-3</v>
      </c>
      <c r="EW125" s="340">
        <v>2.4110790909090744E-2</v>
      </c>
      <c r="EX125" s="340">
        <v>0</v>
      </c>
      <c r="EY125" s="340">
        <v>-2.0126517697839925E-3</v>
      </c>
      <c r="EZ125" s="340">
        <v>3.4667496380165225E-2</v>
      </c>
      <c r="FA125" s="340">
        <v>3.5237944037855612E-3</v>
      </c>
      <c r="FB125" s="340">
        <v>-0.30804106956466903</v>
      </c>
      <c r="FC125" s="340">
        <v>-7.0487951351349953E-3</v>
      </c>
      <c r="FD125" s="340">
        <v>-1.0405394634143785E-3</v>
      </c>
      <c r="FE125" s="465">
        <v>0.68995387738219871</v>
      </c>
      <c r="FF125" s="212"/>
      <c r="FG125" s="464">
        <v>0</v>
      </c>
      <c r="FH125" s="340">
        <v>-0.14530024962326993</v>
      </c>
      <c r="FI125" s="340">
        <v>2.963750400000003E-2</v>
      </c>
      <c r="FJ125" s="340">
        <v>-6.5854690909090879E-2</v>
      </c>
      <c r="FK125" s="340">
        <v>0</v>
      </c>
      <c r="FL125" s="340">
        <v>7.3093663769784156E-2</v>
      </c>
      <c r="FM125" s="340">
        <v>-0.38352193438016535</v>
      </c>
      <c r="FN125" s="340">
        <v>-0.2255402604037855</v>
      </c>
      <c r="FO125" s="340">
        <v>0.39602351356466886</v>
      </c>
      <c r="FP125" s="340">
        <v>-0.12981101286486496</v>
      </c>
      <c r="FQ125" s="340">
        <v>4.8754946341464476E-4</v>
      </c>
      <c r="FR125" s="465">
        <v>7.3935460617801027E-2</v>
      </c>
      <c r="FS125" s="340"/>
      <c r="FT125" s="559">
        <v>307.01282000000003</v>
      </c>
      <c r="FU125" s="560">
        <v>203.75999999999996</v>
      </c>
      <c r="FV125" s="560">
        <v>308.47436999999996</v>
      </c>
      <c r="FW125" s="560">
        <v>103.25282000000007</v>
      </c>
      <c r="FX125" s="561">
        <v>0.50673743619945077</v>
      </c>
      <c r="FY125" s="345">
        <v>7.333694092</v>
      </c>
      <c r="FZ125" s="345">
        <v>3.9960000000000009</v>
      </c>
      <c r="GA125" s="345">
        <v>6.9173336250000004</v>
      </c>
      <c r="GB125" s="345">
        <v>3.3376940919999991</v>
      </c>
      <c r="GC125" s="345">
        <v>2.0249227950530031</v>
      </c>
      <c r="GD125" s="345">
        <v>1.312771296946996</v>
      </c>
      <c r="GE125" s="345">
        <v>-0.37685045676550788</v>
      </c>
      <c r="GF125" s="344">
        <v>0.79321092376550761</v>
      </c>
      <c r="GG125" s="214">
        <v>0</v>
      </c>
      <c r="GH125" s="559">
        <v>26.142140000000001</v>
      </c>
      <c r="GI125" s="560">
        <v>16.98</v>
      </c>
      <c r="GJ125" s="560">
        <v>22.92</v>
      </c>
      <c r="GK125" s="560">
        <v>9.1621400000000008</v>
      </c>
      <c r="GL125" s="561">
        <v>0.53958421672555956</v>
      </c>
      <c r="GM125" s="345">
        <v>1.2898133379999996</v>
      </c>
      <c r="GN125" s="345">
        <v>0.33300000000000002</v>
      </c>
      <c r="GO125" s="345">
        <v>0.52592399999999995</v>
      </c>
      <c r="GP125" s="345">
        <v>0.95681333799999968</v>
      </c>
      <c r="GQ125" s="345">
        <v>0.17968154416961132</v>
      </c>
      <c r="GR125" s="345">
        <v>0.77713179383038844</v>
      </c>
      <c r="GS125" s="345">
        <v>7.3935460617801027E-2</v>
      </c>
      <c r="GT125" s="345">
        <v>0.68995387738219871</v>
      </c>
      <c r="GU125" s="292">
        <v>1.3180682109260637E-6</v>
      </c>
      <c r="GV125" s="214">
        <v>0</v>
      </c>
      <c r="GW125" s="345">
        <v>5.385594520995468E-6</v>
      </c>
      <c r="GX125" s="345"/>
      <c r="GY125" s="345">
        <v>0.41636046699999962</v>
      </c>
      <c r="GZ125" s="345">
        <v>0</v>
      </c>
      <c r="HA125" s="345">
        <v>0.7638893379999997</v>
      </c>
      <c r="HB125" s="345">
        <v>0.68995387738219871</v>
      </c>
      <c r="HC125" s="345">
        <v>1.1580065169073935E-5</v>
      </c>
    </row>
    <row r="126" spans="1:211" ht="12.75" customHeight="1" thickBot="1">
      <c r="A126" s="213"/>
      <c r="B126" s="328" t="s">
        <v>28</v>
      </c>
      <c r="C126" s="553" t="s">
        <v>68</v>
      </c>
      <c r="D126" s="328" t="s">
        <v>28</v>
      </c>
      <c r="E126" s="555"/>
      <c r="F126" s="563"/>
      <c r="G126" s="307">
        <v>0</v>
      </c>
      <c r="H126" s="307">
        <v>0.39591999999999999</v>
      </c>
      <c r="I126" s="307">
        <v>0</v>
      </c>
      <c r="J126" s="307">
        <v>0.55369999999999997</v>
      </c>
      <c r="K126" s="307">
        <v>0</v>
      </c>
      <c r="L126" s="307">
        <v>0</v>
      </c>
      <c r="M126" s="307">
        <v>0.28860000000000002</v>
      </c>
      <c r="N126" s="307">
        <v>4.4000000000000003E-3</v>
      </c>
      <c r="O126" s="307">
        <v>0</v>
      </c>
      <c r="P126" s="307">
        <v>0.24840000000000001</v>
      </c>
      <c r="Q126" s="307">
        <v>0</v>
      </c>
      <c r="R126" s="307">
        <v>0</v>
      </c>
      <c r="S126" s="261">
        <f t="shared" si="5"/>
        <v>0.24840000000000001</v>
      </c>
      <c r="T126" s="464">
        <v>0.4254</v>
      </c>
      <c r="U126" s="464">
        <v>0.3</v>
      </c>
      <c r="V126" s="464">
        <v>0</v>
      </c>
      <c r="W126" s="464">
        <v>0.16</v>
      </c>
      <c r="X126" s="464">
        <v>0</v>
      </c>
      <c r="Y126" s="464">
        <v>0.36</v>
      </c>
      <c r="Z126" s="464">
        <v>4.6833333333333336</v>
      </c>
      <c r="AA126" s="464">
        <v>4.6533333333333333</v>
      </c>
      <c r="AB126" s="464">
        <v>4.6533333333333333</v>
      </c>
      <c r="AC126" s="464">
        <v>4.6533333333333333</v>
      </c>
      <c r="AD126" s="464">
        <v>4.6533333333333333</v>
      </c>
      <c r="AE126" s="464">
        <v>4.6533333333333333</v>
      </c>
      <c r="AF126" s="212"/>
      <c r="AG126" s="389">
        <v>0</v>
      </c>
      <c r="AH126" s="389">
        <v>0.45500000000000002</v>
      </c>
      <c r="AI126" s="389">
        <v>0</v>
      </c>
      <c r="AJ126" s="389">
        <v>0</v>
      </c>
      <c r="AK126" s="389">
        <v>0</v>
      </c>
      <c r="AL126" s="389">
        <v>0</v>
      </c>
      <c r="AM126" s="389">
        <v>0.3</v>
      </c>
      <c r="AN126" s="389">
        <v>0</v>
      </c>
      <c r="AO126" s="389">
        <v>0</v>
      </c>
      <c r="AP126" s="389">
        <v>0.25</v>
      </c>
      <c r="AQ126" s="389">
        <v>0</v>
      </c>
      <c r="AR126" s="389">
        <v>0</v>
      </c>
      <c r="AS126" s="269">
        <v>0</v>
      </c>
      <c r="AT126" s="389">
        <v>0</v>
      </c>
      <c r="AU126" s="307">
        <v>30.779999999999994</v>
      </c>
      <c r="AV126" s="307">
        <v>0</v>
      </c>
      <c r="AW126" s="307">
        <v>24.519757991692252</v>
      </c>
      <c r="AX126" s="307">
        <v>0</v>
      </c>
      <c r="AY126" s="307">
        <v>0</v>
      </c>
      <c r="AZ126" s="307">
        <v>54.109999999999992</v>
      </c>
      <c r="BA126" s="307">
        <v>54.109999999999992</v>
      </c>
      <c r="BB126" s="307">
        <v>0</v>
      </c>
      <c r="BC126" s="307">
        <v>14.8</v>
      </c>
      <c r="BD126" s="307">
        <v>0</v>
      </c>
      <c r="BE126" s="308">
        <v>0</v>
      </c>
      <c r="BF126" s="212"/>
      <c r="BG126" s="389">
        <v>377.30976781005887</v>
      </c>
      <c r="BH126" s="307">
        <v>44.374164631374242</v>
      </c>
      <c r="BI126" s="307">
        <v>0</v>
      </c>
      <c r="BJ126" s="307">
        <v>60.870919038074987</v>
      </c>
      <c r="BK126" s="307">
        <v>0</v>
      </c>
      <c r="BL126" s="307">
        <v>48.805026570058089</v>
      </c>
      <c r="BM126" s="307">
        <v>23.7642786932592</v>
      </c>
      <c r="BN126" s="307">
        <v>23.631406935778518</v>
      </c>
      <c r="BO126" s="307">
        <v>23.631406935778518</v>
      </c>
      <c r="BP126" s="307">
        <v>23.631406935778518</v>
      </c>
      <c r="BQ126" s="307">
        <v>23.631406935778518</v>
      </c>
      <c r="BR126" s="308">
        <v>23.631406935778518</v>
      </c>
      <c r="BS126" s="212"/>
      <c r="BT126" s="389">
        <v>0</v>
      </c>
      <c r="BU126" s="307">
        <v>30.78</v>
      </c>
      <c r="BV126" s="307">
        <v>0</v>
      </c>
      <c r="BW126" s="307">
        <v>0</v>
      </c>
      <c r="BX126" s="307">
        <v>0</v>
      </c>
      <c r="BY126" s="307">
        <v>0</v>
      </c>
      <c r="BZ126" s="307">
        <v>74.213999999999999</v>
      </c>
      <c r="CA126" s="307">
        <v>0</v>
      </c>
      <c r="CB126" s="307">
        <v>0</v>
      </c>
      <c r="CC126" s="307">
        <v>14.8</v>
      </c>
      <c r="CD126" s="307">
        <v>0</v>
      </c>
      <c r="CE126" s="308">
        <v>0</v>
      </c>
      <c r="CF126" s="212"/>
      <c r="CG126" s="464">
        <v>0</v>
      </c>
      <c r="CH126" s="464">
        <v>0.12186417599999999</v>
      </c>
      <c r="CI126" s="389">
        <v>0</v>
      </c>
      <c r="CJ126" s="389">
        <v>0.13576589999999999</v>
      </c>
      <c r="CK126" s="389">
        <v>0</v>
      </c>
      <c r="CL126" s="389">
        <v>0</v>
      </c>
      <c r="CM126" s="389">
        <v>0.15616146</v>
      </c>
      <c r="CN126" s="389">
        <v>2.38084E-3</v>
      </c>
      <c r="CO126" s="389">
        <v>0</v>
      </c>
      <c r="CP126" s="389">
        <v>3.6763200000000003E-2</v>
      </c>
      <c r="CQ126" s="389">
        <v>0</v>
      </c>
      <c r="CR126" s="389">
        <v>0</v>
      </c>
      <c r="CS126" s="212"/>
      <c r="CT126" s="464">
        <v>1.6050757522639905</v>
      </c>
      <c r="CU126" s="464">
        <v>0.13312249389412273</v>
      </c>
      <c r="CV126" s="464">
        <v>0</v>
      </c>
      <c r="CW126" s="464">
        <v>9.7393470460919992E-2</v>
      </c>
      <c r="CX126" s="464">
        <v>0</v>
      </c>
      <c r="CY126" s="464">
        <v>0.17569809565220912</v>
      </c>
      <c r="CZ126" s="464">
        <v>1.1129603854676393</v>
      </c>
      <c r="DA126" s="464">
        <v>1.0996481360782271</v>
      </c>
      <c r="DB126" s="464">
        <v>1.0996481360782271</v>
      </c>
      <c r="DC126" s="464">
        <v>1.0996481360782271</v>
      </c>
      <c r="DD126" s="464">
        <v>1.0996481360782271</v>
      </c>
      <c r="DE126" s="464">
        <v>1.0996481360782271</v>
      </c>
      <c r="DF126" s="390">
        <f t="shared" si="6"/>
        <v>3.2989444082346813</v>
      </c>
      <c r="DG126" s="464">
        <v>0</v>
      </c>
      <c r="DH126" s="464">
        <v>0.14004900000000001</v>
      </c>
      <c r="DI126" s="464">
        <v>0</v>
      </c>
      <c r="DJ126" s="464">
        <v>0</v>
      </c>
      <c r="DK126" s="464">
        <v>0</v>
      </c>
      <c r="DL126" s="464">
        <v>0</v>
      </c>
      <c r="DM126" s="464">
        <v>0.22264200000000001</v>
      </c>
      <c r="DN126" s="464">
        <v>0</v>
      </c>
      <c r="DO126" s="464">
        <v>0</v>
      </c>
      <c r="DP126" s="464">
        <v>3.6999999999999998E-2</v>
      </c>
      <c r="DQ126" s="464">
        <v>0</v>
      </c>
      <c r="DR126" s="464">
        <v>0</v>
      </c>
      <c r="DS126" s="558"/>
      <c r="DT126" s="464">
        <v>0</v>
      </c>
      <c r="DU126" s="340">
        <v>-5.3822016608536923E-2</v>
      </c>
      <c r="DV126" s="340">
        <v>0</v>
      </c>
      <c r="DW126" s="340">
        <v>-0.2012763787138212</v>
      </c>
      <c r="DX126" s="340">
        <v>0</v>
      </c>
      <c r="DY126" s="340">
        <v>0</v>
      </c>
      <c r="DZ126" s="340">
        <v>8.7577751691253924E-2</v>
      </c>
      <c r="EA126" s="340">
        <v>1.3410580948257449E-3</v>
      </c>
      <c r="EB126" s="340">
        <v>0</v>
      </c>
      <c r="EC126" s="340">
        <v>-2.1937214828473838E-2</v>
      </c>
      <c r="ED126" s="340">
        <v>0</v>
      </c>
      <c r="EE126" s="465">
        <v>0</v>
      </c>
      <c r="EF126" s="212"/>
      <c r="EG126" s="464">
        <v>-1.6050757522639902</v>
      </c>
      <c r="EH126" s="340">
        <v>4.2563698714414178E-2</v>
      </c>
      <c r="EI126" s="340">
        <v>0</v>
      </c>
      <c r="EJ126" s="340">
        <v>0.23964880825290119</v>
      </c>
      <c r="EK126" s="340">
        <v>0</v>
      </c>
      <c r="EL126" s="340">
        <v>-0.17569809565220909</v>
      </c>
      <c r="EM126" s="340">
        <v>-1.0443766771588934</v>
      </c>
      <c r="EN126" s="340">
        <v>-1.0986083541730527</v>
      </c>
      <c r="EO126" s="340">
        <v>-1.0996481360782271</v>
      </c>
      <c r="EP126" s="340">
        <v>-1.0409477212497531</v>
      </c>
      <c r="EQ126" s="340">
        <v>-1.0996481360782271</v>
      </c>
      <c r="ER126" s="340">
        <v>-1.0996481360782271</v>
      </c>
      <c r="ES126" s="340"/>
      <c r="ET126" s="464">
        <v>0</v>
      </c>
      <c r="EU126" s="340">
        <v>-2.8131807994213889E-17</v>
      </c>
      <c r="EV126" s="340">
        <v>0</v>
      </c>
      <c r="EW126" s="340">
        <v>0.13576589999999999</v>
      </c>
      <c r="EX126" s="340">
        <v>0</v>
      </c>
      <c r="EY126" s="340">
        <v>0</v>
      </c>
      <c r="EZ126" s="340">
        <v>-5.802014400000003E-2</v>
      </c>
      <c r="FA126" s="340">
        <v>2.38084E-3</v>
      </c>
      <c r="FB126" s="340">
        <v>0</v>
      </c>
      <c r="FC126" s="340">
        <v>0</v>
      </c>
      <c r="FD126" s="340">
        <v>0</v>
      </c>
      <c r="FE126" s="465">
        <v>0</v>
      </c>
      <c r="FF126" s="212"/>
      <c r="FG126" s="464">
        <v>0</v>
      </c>
      <c r="FH126" s="340">
        <v>-1.8184824000000009E-2</v>
      </c>
      <c r="FI126" s="340">
        <v>0</v>
      </c>
      <c r="FJ126" s="340">
        <v>0</v>
      </c>
      <c r="FK126" s="340">
        <v>0</v>
      </c>
      <c r="FL126" s="340">
        <v>0</v>
      </c>
      <c r="FM126" s="340">
        <v>-8.4603959999999742E-3</v>
      </c>
      <c r="FN126" s="340">
        <v>0</v>
      </c>
      <c r="FO126" s="340">
        <v>0</v>
      </c>
      <c r="FP126" s="340">
        <v>-2.3679999999999857E-4</v>
      </c>
      <c r="FQ126" s="340">
        <v>0</v>
      </c>
      <c r="FR126" s="465">
        <v>0</v>
      </c>
      <c r="FS126" s="340"/>
      <c r="FT126" s="559">
        <v>1.4910199999999998</v>
      </c>
      <c r="FU126" s="560">
        <v>29.195399999999996</v>
      </c>
      <c r="FV126" s="560">
        <v>1.0049999999999999</v>
      </c>
      <c r="FW126" s="560">
        <v>-27.704379999999997</v>
      </c>
      <c r="FX126" s="561">
        <v>-0.94892962589997054</v>
      </c>
      <c r="FY126" s="345">
        <v>0.45293557599999995</v>
      </c>
      <c r="FZ126" s="345">
        <v>8.6224908781300176</v>
      </c>
      <c r="GA126" s="345">
        <v>0.39969099999999996</v>
      </c>
      <c r="GB126" s="345">
        <v>-8.1695553021300178</v>
      </c>
      <c r="GC126" s="345">
        <v>-7.9814385017652647</v>
      </c>
      <c r="GD126" s="345">
        <v>-0.18811680036475309</v>
      </c>
      <c r="GE126" s="345">
        <v>-2.6882019999999982E-2</v>
      </c>
      <c r="GF126" s="344">
        <v>8.0126595999999939E-2</v>
      </c>
      <c r="GG126" s="214">
        <v>0</v>
      </c>
      <c r="GH126" s="559">
        <v>0</v>
      </c>
      <c r="GI126" s="560">
        <v>4.6533333333333333</v>
      </c>
      <c r="GJ126" s="560">
        <v>0</v>
      </c>
      <c r="GK126" s="560">
        <v>-4.6533333333333333</v>
      </c>
      <c r="GL126" s="561">
        <v>-1</v>
      </c>
      <c r="GM126" s="345">
        <v>0</v>
      </c>
      <c r="GN126" s="345">
        <v>1.0996481360782271</v>
      </c>
      <c r="GO126" s="345">
        <v>0</v>
      </c>
      <c r="GP126" s="345">
        <v>-1.0996481360782271</v>
      </c>
      <c r="GQ126" s="345">
        <v>-1.0996481360782271</v>
      </c>
      <c r="GR126" s="345">
        <v>0</v>
      </c>
      <c r="GS126" s="345">
        <v>0</v>
      </c>
      <c r="GT126" s="345">
        <v>0</v>
      </c>
      <c r="GU126" s="292">
        <v>0</v>
      </c>
      <c r="GV126" s="214">
        <v>0</v>
      </c>
      <c r="GW126" s="345">
        <v>0</v>
      </c>
      <c r="GX126" s="345"/>
      <c r="GY126" s="345">
        <v>5.3244575999999988E-2</v>
      </c>
      <c r="GZ126" s="345">
        <v>0</v>
      </c>
      <c r="HA126" s="345">
        <v>0</v>
      </c>
      <c r="HB126" s="345">
        <v>0</v>
      </c>
      <c r="HC126" s="345">
        <v>0</v>
      </c>
    </row>
    <row r="127" spans="1:211" s="381" customFormat="1" ht="13.5" customHeight="1" thickBot="1">
      <c r="A127" s="352"/>
      <c r="B127" s="505"/>
      <c r="C127" s="506"/>
      <c r="D127" s="1093" t="s">
        <v>343</v>
      </c>
      <c r="E127" s="1094" t="s">
        <v>21</v>
      </c>
      <c r="F127" s="1095"/>
      <c r="G127" s="564">
        <v>29.102460000000001</v>
      </c>
      <c r="H127" s="565">
        <v>41.104219999999998</v>
      </c>
      <c r="I127" s="564">
        <v>55.796400000000006</v>
      </c>
      <c r="J127" s="564">
        <v>41.644380000000005</v>
      </c>
      <c r="K127" s="564">
        <v>23.02824</v>
      </c>
      <c r="L127" s="566">
        <v>46.735299999999995</v>
      </c>
      <c r="M127" s="564">
        <v>54.647900000000007</v>
      </c>
      <c r="N127" s="564">
        <v>56.083660000000002</v>
      </c>
      <c r="O127" s="564">
        <v>86.908600000000007</v>
      </c>
      <c r="P127" s="564">
        <v>65.324160000000006</v>
      </c>
      <c r="Q127" s="564">
        <v>63.204859999999996</v>
      </c>
      <c r="R127" s="564">
        <v>53.646140000000003</v>
      </c>
      <c r="S127" s="261">
        <f t="shared" si="5"/>
        <v>182.17516000000001</v>
      </c>
      <c r="T127" s="564">
        <v>30.317899999999998</v>
      </c>
      <c r="U127" s="564">
        <v>30.192499999999999</v>
      </c>
      <c r="V127" s="564">
        <v>29.892499999999998</v>
      </c>
      <c r="W127" s="564">
        <v>30.052499999999998</v>
      </c>
      <c r="X127" s="564">
        <v>29.892499999999998</v>
      </c>
      <c r="Y127" s="564">
        <v>30.252499999999998</v>
      </c>
      <c r="Z127" s="564">
        <v>34.575833333333335</v>
      </c>
      <c r="AA127" s="564">
        <v>34.545833333333334</v>
      </c>
      <c r="AB127" s="564">
        <v>34.545833333333334</v>
      </c>
      <c r="AC127" s="564">
        <v>34.545833333333334</v>
      </c>
      <c r="AD127" s="564">
        <v>34.545833333333334</v>
      </c>
      <c r="AE127" s="567">
        <v>34.545833333333334</v>
      </c>
      <c r="AF127" s="360"/>
      <c r="AG127" s="567">
        <v>0</v>
      </c>
      <c r="AH127" s="567">
        <v>57.192169999999997</v>
      </c>
      <c r="AI127" s="567">
        <v>56.930639999999997</v>
      </c>
      <c r="AJ127" s="567">
        <v>45.510559999999998</v>
      </c>
      <c r="AK127" s="567">
        <v>20.4816</v>
      </c>
      <c r="AL127" s="567">
        <v>40.779519999999998</v>
      </c>
      <c r="AM127" s="567">
        <v>72.518879999999996</v>
      </c>
      <c r="AN127" s="567">
        <v>69.055520000000001</v>
      </c>
      <c r="AO127" s="567">
        <v>69.116990000000001</v>
      </c>
      <c r="AP127" s="567">
        <v>77.587680000000006</v>
      </c>
      <c r="AQ127" s="567">
        <v>76.604420000000005</v>
      </c>
      <c r="AR127" s="567">
        <v>47.217200000000005</v>
      </c>
      <c r="AS127" s="568">
        <v>1.1910356063324776E-2</v>
      </c>
      <c r="AT127" s="569">
        <v>6.0628343789494084</v>
      </c>
      <c r="AU127" s="570">
        <v>6.1855649809192341</v>
      </c>
      <c r="AV127" s="570">
        <v>5.5155838871325029</v>
      </c>
      <c r="AW127" s="570">
        <v>6.1114990954361659</v>
      </c>
      <c r="AX127" s="570">
        <v>9.5857355056226634</v>
      </c>
      <c r="AY127" s="570">
        <v>7.0052527019191055</v>
      </c>
      <c r="AZ127" s="570">
        <v>7.5735149529991075</v>
      </c>
      <c r="BA127" s="570">
        <v>5.5749665981143162</v>
      </c>
      <c r="BB127" s="570">
        <v>5.2770620099736947</v>
      </c>
      <c r="BC127" s="570">
        <v>7.0159162000705368</v>
      </c>
      <c r="BD127" s="570">
        <v>5.8400453161354999</v>
      </c>
      <c r="BE127" s="527">
        <v>6.92622887313048</v>
      </c>
      <c r="BF127" s="360"/>
      <c r="BG127" s="569">
        <v>11.799415218212081</v>
      </c>
      <c r="BH127" s="570">
        <v>6.9731941643535729</v>
      </c>
      <c r="BI127" s="570">
        <v>6.597839438582688</v>
      </c>
      <c r="BJ127" s="570">
        <v>6.886790199282089</v>
      </c>
      <c r="BK127" s="570">
        <v>6.597839438582688</v>
      </c>
      <c r="BL127" s="570">
        <v>7.1000983384200946</v>
      </c>
      <c r="BM127" s="570">
        <v>8.9230518608256322</v>
      </c>
      <c r="BN127" s="570">
        <v>8.8922657057239611</v>
      </c>
      <c r="BO127" s="570">
        <v>8.8922657057239611</v>
      </c>
      <c r="BP127" s="570">
        <v>8.8922657057239611</v>
      </c>
      <c r="BQ127" s="570">
        <v>8.8922657057239611</v>
      </c>
      <c r="BR127" s="527">
        <v>8.8922657057239611</v>
      </c>
      <c r="BS127" s="360"/>
      <c r="BT127" s="569">
        <v>0</v>
      </c>
      <c r="BU127" s="570">
        <v>5.9078869782088095</v>
      </c>
      <c r="BV127" s="570">
        <v>5.8145913549516131</v>
      </c>
      <c r="BW127" s="570">
        <v>5.4300934024968601</v>
      </c>
      <c r="BX127" s="570">
        <v>11.117505366231107</v>
      </c>
      <c r="BY127" s="570">
        <v>8.3537452732052717</v>
      </c>
      <c r="BZ127" s="570">
        <v>6.3590209844512531</v>
      </c>
      <c r="CA127" s="570">
        <v>5.2486070416555615</v>
      </c>
      <c r="CB127" s="570">
        <v>7.1159599378236322</v>
      </c>
      <c r="CC127" s="570">
        <v>7.4948846960018844</v>
      </c>
      <c r="CD127" s="570">
        <v>6.7024549075432818</v>
      </c>
      <c r="CE127" s="527">
        <v>6.0425870067368193</v>
      </c>
      <c r="CF127" s="361"/>
      <c r="CG127" s="571">
        <v>1.7644339499999999</v>
      </c>
      <c r="CH127" s="572">
        <v>2.5425282380000001</v>
      </c>
      <c r="CI127" s="572">
        <v>3.0774972480000002</v>
      </c>
      <c r="CJ127" s="572">
        <v>2.5450959069999999</v>
      </c>
      <c r="CK127" s="572">
        <v>2.2074261780000004</v>
      </c>
      <c r="CL127" s="572">
        <v>3.2739258659999995</v>
      </c>
      <c r="CM127" s="572">
        <v>4.1387668780000002</v>
      </c>
      <c r="CN127" s="572">
        <v>3.126645312</v>
      </c>
      <c r="CO127" s="572">
        <v>4.5862207139999995</v>
      </c>
      <c r="CP127" s="572">
        <v>4.5830883239999984</v>
      </c>
      <c r="CQ127" s="572">
        <v>3.6911924660000004</v>
      </c>
      <c r="CR127" s="573">
        <v>3.7156544379999996</v>
      </c>
      <c r="CS127" s="361"/>
      <c r="CT127" s="569">
        <v>3.5773349064423203</v>
      </c>
      <c r="CU127" s="572">
        <v>2.1053816480724525</v>
      </c>
      <c r="CV127" s="572">
        <v>1.9722591541783299</v>
      </c>
      <c r="CW127" s="572">
        <v>2.0696526246392497</v>
      </c>
      <c r="CX127" s="572">
        <v>1.9722591541783299</v>
      </c>
      <c r="CY127" s="572">
        <v>2.1479572498305388</v>
      </c>
      <c r="CZ127" s="572">
        <v>3.0852195396459692</v>
      </c>
      <c r="DA127" s="572">
        <v>3.071907290256557</v>
      </c>
      <c r="DB127" s="572">
        <v>3.071907290256557</v>
      </c>
      <c r="DC127" s="572">
        <v>3.071907290256557</v>
      </c>
      <c r="DD127" s="572">
        <v>3.071907290256557</v>
      </c>
      <c r="DE127" s="573">
        <v>3.071907290256557</v>
      </c>
      <c r="DF127" s="390">
        <f t="shared" si="6"/>
        <v>9.21572187076967</v>
      </c>
      <c r="DG127" s="571">
        <v>0</v>
      </c>
      <c r="DH127" s="572">
        <v>3.3788487639850446</v>
      </c>
      <c r="DI127" s="572">
        <v>3.310284071758625</v>
      </c>
      <c r="DJ127" s="572">
        <v>2.4712659159993748</v>
      </c>
      <c r="DK127" s="572">
        <v>2.2770429790899906</v>
      </c>
      <c r="DL127" s="572">
        <v>3.4066172244357982</v>
      </c>
      <c r="DM127" s="572">
        <v>4.6114907968890222</v>
      </c>
      <c r="DN127" s="572">
        <v>3.6244528853718645</v>
      </c>
      <c r="DO127" s="572">
        <v>4.9183373186295665</v>
      </c>
      <c r="DP127" s="572">
        <v>5.8151071543029147</v>
      </c>
      <c r="DQ127" s="572">
        <v>5.1343767076850675</v>
      </c>
      <c r="DR127" s="573">
        <v>2.8531403921449376</v>
      </c>
      <c r="DS127" s="371"/>
      <c r="DT127" s="571">
        <v>-0.26312223714611399</v>
      </c>
      <c r="DU127" s="572">
        <v>-2.1919533745399622E-2</v>
      </c>
      <c r="DV127" s="572">
        <v>-0.63278281167893202</v>
      </c>
      <c r="DW127" s="572">
        <v>-0.38190844847959454</v>
      </c>
      <c r="DX127" s="572">
        <v>-0.71603970580372356</v>
      </c>
      <c r="DY127" s="572">
        <v>-0.51704309804214843</v>
      </c>
      <c r="DZ127" s="572">
        <v>-0.61664192955862707</v>
      </c>
      <c r="EA127" s="572">
        <v>-0.94712309265693062</v>
      </c>
      <c r="EB127" s="572">
        <v>-0.54356268349456582</v>
      </c>
      <c r="EC127" s="572">
        <v>-0.51152474300086559</v>
      </c>
      <c r="ED127" s="572">
        <v>-1.1618666180422612</v>
      </c>
      <c r="EE127" s="573">
        <v>-0.28869671132126984</v>
      </c>
      <c r="EF127" s="361"/>
      <c r="EG127" s="571">
        <v>-1.5497787192962065</v>
      </c>
      <c r="EH127" s="572">
        <v>0.45906612367294697</v>
      </c>
      <c r="EI127" s="572">
        <v>1.7380209055006022</v>
      </c>
      <c r="EJ127" s="572">
        <v>0.85735173084034466</v>
      </c>
      <c r="EK127" s="572">
        <v>0.9512067296253941</v>
      </c>
      <c r="EL127" s="572">
        <v>1.6430117142116085</v>
      </c>
      <c r="EM127" s="572">
        <v>1.6701892679126573</v>
      </c>
      <c r="EN127" s="572">
        <v>1.0018611144003735</v>
      </c>
      <c r="EO127" s="572">
        <v>2.0578761072380081</v>
      </c>
      <c r="EP127" s="572">
        <v>2.0227057767443073</v>
      </c>
      <c r="EQ127" s="572">
        <v>1.7811517937857042</v>
      </c>
      <c r="ER127" s="573">
        <v>0.93244385906471283</v>
      </c>
      <c r="ES127" s="550"/>
      <c r="ET127" s="571">
        <v>1.7644339499999999</v>
      </c>
      <c r="EU127" s="572">
        <v>0.25735861128933779</v>
      </c>
      <c r="EV127" s="572">
        <v>-7.1565994863325971E-3</v>
      </c>
      <c r="EW127" s="572">
        <v>0.26520557251310461</v>
      </c>
      <c r="EX127" s="572">
        <v>-0.35273963974857792</v>
      </c>
      <c r="EY127" s="572">
        <v>-0.54313984356751854</v>
      </c>
      <c r="EZ127" s="572">
        <v>0.13240871808900878</v>
      </c>
      <c r="FA127" s="572">
        <v>2.0522955141068545E-2</v>
      </c>
      <c r="FB127" s="572">
        <v>-0.83636872426649134</v>
      </c>
      <c r="FC127" s="572">
        <v>-0.30043634217591292</v>
      </c>
      <c r="FD127" s="572">
        <v>-0.17997711030916372</v>
      </c>
      <c r="FE127" s="573">
        <v>0.48142724572775436</v>
      </c>
      <c r="FF127" s="361"/>
      <c r="FG127" s="571">
        <v>0</v>
      </c>
      <c r="FH127" s="572">
        <v>-1.0936791372743828</v>
      </c>
      <c r="FI127" s="572">
        <v>-0.22563022427229257</v>
      </c>
      <c r="FJ127" s="572">
        <v>-0.19137558151247966</v>
      </c>
      <c r="FK127" s="572">
        <v>0.28312283865858784</v>
      </c>
      <c r="FL127" s="572">
        <v>0.41044848513171978</v>
      </c>
      <c r="FM127" s="572">
        <v>-0.60513263697803021</v>
      </c>
      <c r="FN127" s="572">
        <v>-0.51833052851293293</v>
      </c>
      <c r="FO127" s="572">
        <v>0.50425211963692451</v>
      </c>
      <c r="FP127" s="572">
        <v>-0.93158248812700328</v>
      </c>
      <c r="FQ127" s="572">
        <v>-1.263207131375903</v>
      </c>
      <c r="FR127" s="573">
        <v>0.38108680012730783</v>
      </c>
      <c r="FS127" s="550"/>
      <c r="FT127" s="574">
        <v>617.2263200000001</v>
      </c>
      <c r="FU127" s="575">
        <v>387.90539999999993</v>
      </c>
      <c r="FV127" s="575">
        <v>632.99518</v>
      </c>
      <c r="FW127" s="575">
        <v>229.32092000000014</v>
      </c>
      <c r="FX127" s="576">
        <v>0.55020845566895493</v>
      </c>
      <c r="FY127" s="577">
        <v>39.252475519000001</v>
      </c>
      <c r="FZ127" s="577">
        <v>32.289600728269981</v>
      </c>
      <c r="GA127" s="577">
        <v>41.800964210292207</v>
      </c>
      <c r="GB127" s="577">
        <v>6.962874790730023</v>
      </c>
      <c r="GC127" s="577">
        <v>13.565106403700451</v>
      </c>
      <c r="GD127" s="577">
        <v>-6.6022316129704297</v>
      </c>
      <c r="GE127" s="577">
        <v>-3.2500274844984842</v>
      </c>
      <c r="GF127" s="578">
        <v>0.70153879320627721</v>
      </c>
      <c r="GG127" s="214"/>
      <c r="GH127" s="574">
        <v>53.646140000000003</v>
      </c>
      <c r="GI127" s="575">
        <v>34.545833333333334</v>
      </c>
      <c r="GJ127" s="575">
        <v>47.217200000000005</v>
      </c>
      <c r="GK127" s="575">
        <v>19.100306666666672</v>
      </c>
      <c r="GL127" s="576">
        <v>0.66961325835189078</v>
      </c>
      <c r="GM127" s="577">
        <v>3.7156544379999996</v>
      </c>
      <c r="GN127" s="577">
        <v>3.071907290256557</v>
      </c>
      <c r="GO127" s="577">
        <v>2.8531403921449376</v>
      </c>
      <c r="GP127" s="577">
        <v>0.64374714774344266</v>
      </c>
      <c r="GQ127" s="577">
        <v>0.93244385906471283</v>
      </c>
      <c r="GR127" s="577">
        <v>-0.28869671132126984</v>
      </c>
      <c r="GS127" s="577">
        <v>0.38108680012730783</v>
      </c>
      <c r="GT127" s="577">
        <v>0.48142724572775436</v>
      </c>
      <c r="GU127" s="447">
        <v>3.667116311411428E-6</v>
      </c>
      <c r="GV127" s="214"/>
      <c r="GW127" s="579"/>
      <c r="GX127" s="579"/>
      <c r="GY127" s="579"/>
      <c r="GZ127" s="579"/>
      <c r="HA127" s="579"/>
      <c r="HB127" s="579"/>
      <c r="HC127" s="579"/>
    </row>
    <row r="128" spans="1:211" s="381" customFormat="1" ht="13.5" customHeight="1" thickBot="1">
      <c r="A128" s="352"/>
      <c r="B128" s="383" t="s">
        <v>59</v>
      </c>
      <c r="C128" s="580"/>
      <c r="D128" s="1093" t="s">
        <v>344</v>
      </c>
      <c r="E128" s="1094"/>
      <c r="F128" s="1095"/>
      <c r="G128" s="421"/>
      <c r="H128" s="421"/>
      <c r="I128" s="421"/>
      <c r="J128" s="421"/>
      <c r="K128" s="421"/>
      <c r="L128" s="421"/>
      <c r="M128" s="421"/>
      <c r="N128" s="421"/>
      <c r="O128" s="421"/>
      <c r="P128" s="421"/>
      <c r="Q128" s="421"/>
      <c r="R128" s="421"/>
      <c r="S128" s="261">
        <f t="shared" si="5"/>
        <v>0</v>
      </c>
      <c r="T128" s="421"/>
      <c r="U128" s="421"/>
      <c r="V128" s="421"/>
      <c r="W128" s="421"/>
      <c r="X128" s="421"/>
      <c r="Y128" s="421"/>
      <c r="Z128" s="421"/>
      <c r="AA128" s="421"/>
      <c r="AB128" s="421"/>
      <c r="AC128" s="421"/>
      <c r="AD128" s="421"/>
      <c r="AE128" s="421"/>
      <c r="AF128" s="581"/>
      <c r="AG128" s="421"/>
      <c r="AH128" s="421"/>
      <c r="AI128" s="421"/>
      <c r="AJ128" s="421"/>
      <c r="AK128" s="421"/>
      <c r="AL128" s="421"/>
      <c r="AM128" s="421"/>
      <c r="AN128" s="421"/>
      <c r="AO128" s="421"/>
      <c r="AP128" s="421"/>
      <c r="AQ128" s="421"/>
      <c r="AR128" s="421"/>
      <c r="AS128" s="582"/>
      <c r="AT128" s="421">
        <v>0</v>
      </c>
      <c r="AU128" s="421">
        <v>0</v>
      </c>
      <c r="AV128" s="421">
        <v>0</v>
      </c>
      <c r="AW128" s="421">
        <v>0</v>
      </c>
      <c r="AX128" s="421">
        <v>0</v>
      </c>
      <c r="AY128" s="421">
        <v>0</v>
      </c>
      <c r="AZ128" s="421">
        <v>0</v>
      </c>
      <c r="BA128" s="421">
        <v>0</v>
      </c>
      <c r="BB128" s="421">
        <v>0</v>
      </c>
      <c r="BC128" s="421">
        <v>0</v>
      </c>
      <c r="BD128" s="421">
        <v>0</v>
      </c>
      <c r="BE128" s="421">
        <v>0</v>
      </c>
      <c r="BF128" s="581"/>
      <c r="BG128" s="421">
        <v>0</v>
      </c>
      <c r="BH128" s="421">
        <v>0</v>
      </c>
      <c r="BI128" s="421">
        <v>0</v>
      </c>
      <c r="BJ128" s="421">
        <v>0</v>
      </c>
      <c r="BK128" s="421">
        <v>0</v>
      </c>
      <c r="BL128" s="421">
        <v>0</v>
      </c>
      <c r="BM128" s="421">
        <v>0</v>
      </c>
      <c r="BN128" s="421">
        <v>0</v>
      </c>
      <c r="BO128" s="421">
        <v>0</v>
      </c>
      <c r="BP128" s="421">
        <v>0</v>
      </c>
      <c r="BQ128" s="421">
        <v>0</v>
      </c>
      <c r="BR128" s="421">
        <v>0</v>
      </c>
      <c r="BS128" s="581"/>
      <c r="BT128" s="421">
        <v>0</v>
      </c>
      <c r="BU128" s="421">
        <v>0</v>
      </c>
      <c r="BV128" s="421">
        <v>0</v>
      </c>
      <c r="BW128" s="421">
        <v>0</v>
      </c>
      <c r="BX128" s="421">
        <v>0</v>
      </c>
      <c r="BY128" s="421">
        <v>0</v>
      </c>
      <c r="BZ128" s="421">
        <v>0</v>
      </c>
      <c r="CA128" s="421">
        <v>0</v>
      </c>
      <c r="CB128" s="421">
        <v>0</v>
      </c>
      <c r="CC128" s="421">
        <v>0</v>
      </c>
      <c r="CD128" s="421">
        <v>0</v>
      </c>
      <c r="CE128" s="421">
        <v>0</v>
      </c>
      <c r="CF128" s="583"/>
      <c r="CG128" s="363">
        <v>0.13293972500000001</v>
      </c>
      <c r="CH128" s="363">
        <v>8.5632862000000004E-2</v>
      </c>
      <c r="CI128" s="363">
        <v>0.13000462299999999</v>
      </c>
      <c r="CJ128" s="363">
        <v>8.9632225999999995E-2</v>
      </c>
      <c r="CK128" s="363">
        <v>9.3586403999999998E-2</v>
      </c>
      <c r="CL128" s="363">
        <v>0.12742363700000001</v>
      </c>
      <c r="CM128" s="363">
        <v>0.23579239799999999</v>
      </c>
      <c r="CN128" s="363">
        <v>5.7501319000000009E-2</v>
      </c>
      <c r="CO128" s="363">
        <v>0.13325522400000001</v>
      </c>
      <c r="CP128" s="363">
        <v>1.272474028</v>
      </c>
      <c r="CQ128" s="363">
        <v>0.30281487899999998</v>
      </c>
      <c r="CR128" s="363">
        <v>-0.47775453799999995</v>
      </c>
      <c r="CS128" s="583"/>
      <c r="CT128" s="363">
        <v>5.3079032722641174E-2</v>
      </c>
      <c r="CU128" s="363">
        <v>5.3079032722641174E-2</v>
      </c>
      <c r="CV128" s="363">
        <v>5.3079032722641174E-2</v>
      </c>
      <c r="CW128" s="363">
        <v>5.3079032722641174E-2</v>
      </c>
      <c r="CX128" s="363">
        <v>5.3079032722641174E-2</v>
      </c>
      <c r="CY128" s="363">
        <v>5.3079032722641174E-2</v>
      </c>
      <c r="CZ128" s="363">
        <v>5.3079032722641174E-2</v>
      </c>
      <c r="DA128" s="363">
        <v>5.3079032722641174E-2</v>
      </c>
      <c r="DB128" s="363">
        <v>5.3079032722641174E-2</v>
      </c>
      <c r="DC128" s="363">
        <v>5.3079032722641174E-2</v>
      </c>
      <c r="DD128" s="363">
        <v>5.3079032722641174E-2</v>
      </c>
      <c r="DE128" s="363">
        <v>5.3079032722641174E-2</v>
      </c>
      <c r="DF128" s="390">
        <f t="shared" si="6"/>
        <v>0.15923709816792353</v>
      </c>
      <c r="DG128" s="363"/>
      <c r="DH128" s="363">
        <v>0.16590488929607772</v>
      </c>
      <c r="DI128" s="363">
        <v>8.3614368924814969E-2</v>
      </c>
      <c r="DJ128" s="363">
        <v>6.296860842481497E-2</v>
      </c>
      <c r="DK128" s="363">
        <v>2.0424000000000001E-2</v>
      </c>
      <c r="DL128" s="363">
        <v>3.5999999999999999E-3</v>
      </c>
      <c r="DM128" s="363">
        <v>3.5999999999999999E-3</v>
      </c>
      <c r="DN128" s="363"/>
      <c r="DO128" s="363">
        <v>2.1840000000000002E-2</v>
      </c>
      <c r="DP128" s="363">
        <v>1.4429999999999998E-2</v>
      </c>
      <c r="DQ128" s="363"/>
      <c r="DR128" s="363"/>
      <c r="DS128" s="584"/>
      <c r="DT128" s="363">
        <v>0</v>
      </c>
      <c r="DU128" s="363">
        <v>0</v>
      </c>
      <c r="DV128" s="363"/>
      <c r="DW128" s="363"/>
      <c r="DX128" s="363"/>
      <c r="DY128" s="363"/>
      <c r="DZ128" s="363"/>
      <c r="EA128" s="363"/>
      <c r="EB128" s="363"/>
      <c r="EC128" s="363"/>
      <c r="ED128" s="363"/>
      <c r="EE128" s="363"/>
      <c r="EF128" s="583"/>
      <c r="EG128" s="363">
        <v>0</v>
      </c>
      <c r="EH128" s="363">
        <v>0</v>
      </c>
      <c r="EI128" s="363"/>
      <c r="EJ128" s="363"/>
      <c r="EK128" s="363"/>
      <c r="EL128" s="363"/>
      <c r="EM128" s="363"/>
      <c r="EN128" s="363"/>
      <c r="EO128" s="363"/>
      <c r="EP128" s="363"/>
      <c r="EQ128" s="363"/>
      <c r="ER128" s="363"/>
      <c r="ES128" s="585"/>
      <c r="ET128" s="363">
        <v>0</v>
      </c>
      <c r="EU128" s="363">
        <v>0</v>
      </c>
      <c r="EV128" s="363">
        <v>0</v>
      </c>
      <c r="EW128" s="363">
        <v>0</v>
      </c>
      <c r="EX128" s="363">
        <v>0</v>
      </c>
      <c r="EY128" s="363">
        <v>0</v>
      </c>
      <c r="EZ128" s="363">
        <v>0</v>
      </c>
      <c r="FA128" s="363">
        <v>0</v>
      </c>
      <c r="FB128" s="363">
        <v>0</v>
      </c>
      <c r="FC128" s="363">
        <v>0</v>
      </c>
      <c r="FD128" s="363">
        <v>0</v>
      </c>
      <c r="FE128" s="363">
        <v>0</v>
      </c>
      <c r="FF128" s="583"/>
      <c r="FG128" s="363">
        <v>0</v>
      </c>
      <c r="FH128" s="363">
        <v>0</v>
      </c>
      <c r="FI128" s="363"/>
      <c r="FJ128" s="363"/>
      <c r="FK128" s="363"/>
      <c r="FL128" s="363"/>
      <c r="FM128" s="363"/>
      <c r="FN128" s="363"/>
      <c r="FO128" s="363"/>
      <c r="FP128" s="363"/>
      <c r="FQ128" s="363"/>
      <c r="FR128" s="363"/>
      <c r="FS128" s="585"/>
      <c r="FT128" s="586">
        <v>0</v>
      </c>
      <c r="FU128" s="586">
        <v>0</v>
      </c>
      <c r="FV128" s="586">
        <v>0</v>
      </c>
      <c r="FW128" s="586">
        <v>0</v>
      </c>
      <c r="FX128" s="586">
        <v>0</v>
      </c>
      <c r="FY128" s="447">
        <v>2.1833027869999997</v>
      </c>
      <c r="FZ128" s="447">
        <v>0.63694839267169412</v>
      </c>
      <c r="GA128" s="447">
        <v>0.37638186664570766</v>
      </c>
      <c r="GB128" s="447">
        <v>1.5463543943283056</v>
      </c>
      <c r="GC128" s="447">
        <v>0</v>
      </c>
      <c r="GD128" s="447">
        <v>0</v>
      </c>
      <c r="GE128" s="447">
        <v>0</v>
      </c>
      <c r="GF128" s="447">
        <v>0</v>
      </c>
      <c r="GG128" s="587"/>
      <c r="GH128" s="586">
        <v>0</v>
      </c>
      <c r="GI128" s="586">
        <v>0</v>
      </c>
      <c r="GJ128" s="586">
        <v>0</v>
      </c>
      <c r="GK128" s="586"/>
      <c r="GL128" s="588"/>
      <c r="GM128" s="447">
        <v>-0.47775453799999995</v>
      </c>
      <c r="GN128" s="447">
        <v>5.3079032722641174E-2</v>
      </c>
      <c r="GO128" s="447">
        <v>0</v>
      </c>
      <c r="GP128" s="447">
        <v>-0.53083357072264115</v>
      </c>
      <c r="GQ128" s="447">
        <v>0</v>
      </c>
      <c r="GR128" s="447">
        <v>0</v>
      </c>
      <c r="GS128" s="447">
        <v>0</v>
      </c>
      <c r="GT128" s="447">
        <v>0</v>
      </c>
      <c r="GU128" s="447">
        <v>0</v>
      </c>
      <c r="GV128" s="214"/>
      <c r="GW128" s="293">
        <v>0</v>
      </c>
      <c r="GX128" s="294"/>
      <c r="GY128" s="293">
        <v>1.806920920354292</v>
      </c>
      <c r="GZ128" s="293">
        <v>-1.806920920354292</v>
      </c>
      <c r="HA128" s="293">
        <v>-0.47775453799999995</v>
      </c>
      <c r="HB128" s="293">
        <v>-0.47775453799999995</v>
      </c>
      <c r="HC128" s="295">
        <v>0</v>
      </c>
    </row>
    <row r="129" spans="1:211" s="381" customFormat="1" ht="13.5" customHeight="1" thickBot="1">
      <c r="A129" s="352"/>
      <c r="B129" s="383"/>
      <c r="C129" s="580"/>
      <c r="D129" s="1093" t="s">
        <v>345</v>
      </c>
      <c r="E129" s="1094"/>
      <c r="F129" s="1095"/>
      <c r="G129" s="421"/>
      <c r="H129" s="421"/>
      <c r="I129" s="421"/>
      <c r="J129" s="421"/>
      <c r="K129" s="421"/>
      <c r="L129" s="421"/>
      <c r="M129" s="421"/>
      <c r="N129" s="421"/>
      <c r="O129" s="421"/>
      <c r="P129" s="421"/>
      <c r="Q129" s="421"/>
      <c r="R129" s="421"/>
      <c r="S129" s="261">
        <f t="shared" si="5"/>
        <v>0</v>
      </c>
      <c r="T129" s="421"/>
      <c r="U129" s="421"/>
      <c r="V129" s="421"/>
      <c r="W129" s="421"/>
      <c r="X129" s="421"/>
      <c r="Y129" s="421"/>
      <c r="Z129" s="421"/>
      <c r="AA129" s="421"/>
      <c r="AB129" s="421"/>
      <c r="AC129" s="421"/>
      <c r="AD129" s="421"/>
      <c r="AE129" s="421"/>
      <c r="AF129" s="581"/>
      <c r="AG129" s="421"/>
      <c r="AH129" s="421"/>
      <c r="AI129" s="421"/>
      <c r="AJ129" s="421"/>
      <c r="AK129" s="421"/>
      <c r="AL129" s="421"/>
      <c r="AM129" s="421"/>
      <c r="AN129" s="421"/>
      <c r="AO129" s="421"/>
      <c r="AP129" s="421"/>
      <c r="AQ129" s="421"/>
      <c r="AR129" s="421"/>
      <c r="AS129" s="582"/>
      <c r="AT129" s="421">
        <v>0</v>
      </c>
      <c r="AU129" s="421">
        <v>0</v>
      </c>
      <c r="AV129" s="421">
        <v>0</v>
      </c>
      <c r="AW129" s="421">
        <v>0</v>
      </c>
      <c r="AX129" s="421">
        <v>0</v>
      </c>
      <c r="AY129" s="421">
        <v>0</v>
      </c>
      <c r="AZ129" s="421">
        <v>0</v>
      </c>
      <c r="BA129" s="421">
        <v>0</v>
      </c>
      <c r="BB129" s="421">
        <v>0</v>
      </c>
      <c r="BC129" s="421">
        <v>0</v>
      </c>
      <c r="BD129" s="421">
        <v>0</v>
      </c>
      <c r="BE129" s="421">
        <v>0</v>
      </c>
      <c r="BF129" s="581"/>
      <c r="BG129" s="421">
        <v>0</v>
      </c>
      <c r="BH129" s="421">
        <v>0</v>
      </c>
      <c r="BI129" s="421">
        <v>0</v>
      </c>
      <c r="BJ129" s="421">
        <v>0</v>
      </c>
      <c r="BK129" s="421">
        <v>0</v>
      </c>
      <c r="BL129" s="421">
        <v>0</v>
      </c>
      <c r="BM129" s="421">
        <v>0</v>
      </c>
      <c r="BN129" s="421">
        <v>0</v>
      </c>
      <c r="BO129" s="421">
        <v>0</v>
      </c>
      <c r="BP129" s="421">
        <v>0</v>
      </c>
      <c r="BQ129" s="421">
        <v>0</v>
      </c>
      <c r="BR129" s="421">
        <v>0</v>
      </c>
      <c r="BS129" s="581"/>
      <c r="BT129" s="421">
        <v>0</v>
      </c>
      <c r="BU129" s="421">
        <v>0</v>
      </c>
      <c r="BV129" s="421">
        <v>0</v>
      </c>
      <c r="BW129" s="421">
        <v>0</v>
      </c>
      <c r="BX129" s="421">
        <v>0</v>
      </c>
      <c r="BY129" s="421">
        <v>0</v>
      </c>
      <c r="BZ129" s="421">
        <v>0</v>
      </c>
      <c r="CA129" s="421">
        <v>0</v>
      </c>
      <c r="CB129" s="421">
        <v>0</v>
      </c>
      <c r="CC129" s="421">
        <v>0</v>
      </c>
      <c r="CD129" s="421">
        <v>0</v>
      </c>
      <c r="CE129" s="421">
        <v>0</v>
      </c>
      <c r="CF129" s="583"/>
      <c r="CG129" s="363">
        <v>-0.17008529999999999</v>
      </c>
      <c r="CH129" s="363">
        <v>-0.22534950000000001</v>
      </c>
      <c r="CI129" s="363">
        <v>-0.187343496</v>
      </c>
      <c r="CJ129" s="363">
        <v>-0.114385526</v>
      </c>
      <c r="CK129" s="363">
        <v>-0.120993376</v>
      </c>
      <c r="CL129" s="363">
        <v>-9.3588199999999996E-2</v>
      </c>
      <c r="CM129" s="363">
        <v>1.1344783999999999</v>
      </c>
      <c r="CN129" s="363">
        <v>-0.11849660000000001</v>
      </c>
      <c r="CO129" s="363">
        <v>-0.105198282</v>
      </c>
      <c r="CP129" s="363">
        <v>-0.13838995000000001</v>
      </c>
      <c r="CQ129" s="363">
        <v>-0.12772320300000001</v>
      </c>
      <c r="CR129" s="363">
        <v>-0.21282552399999993</v>
      </c>
      <c r="CS129" s="583"/>
      <c r="CT129" s="363"/>
      <c r="CU129" s="363"/>
      <c r="CV129" s="363"/>
      <c r="CW129" s="363"/>
      <c r="CX129" s="363"/>
      <c r="CY129" s="363"/>
      <c r="CZ129" s="421"/>
      <c r="DA129" s="363"/>
      <c r="DB129" s="363"/>
      <c r="DC129" s="363"/>
      <c r="DD129" s="363"/>
      <c r="DE129" s="363"/>
      <c r="DF129" s="390">
        <f t="shared" si="6"/>
        <v>0</v>
      </c>
      <c r="DG129" s="363"/>
      <c r="DH129" s="363">
        <v>-0.13059999999999999</v>
      </c>
      <c r="DI129" s="363">
        <v>-0.10489791666666699</v>
      </c>
      <c r="DJ129" s="363">
        <v>-7.2286232500000006E-2</v>
      </c>
      <c r="DK129" s="363">
        <v>-4.5705616666666699E-2</v>
      </c>
      <c r="DL129" s="363">
        <v>-4.2688983333333298E-2</v>
      </c>
      <c r="DM129" s="363">
        <v>-5.1424133333333302E-2</v>
      </c>
      <c r="DN129" s="363">
        <v>-0.10439058347499999</v>
      </c>
      <c r="DO129" s="363">
        <v>-0.297527975</v>
      </c>
      <c r="DP129" s="363">
        <v>-0.11</v>
      </c>
      <c r="DQ129" s="363"/>
      <c r="DR129" s="363"/>
      <c r="DS129" s="584"/>
      <c r="DT129" s="363">
        <v>0</v>
      </c>
      <c r="DU129" s="363">
        <v>0</v>
      </c>
      <c r="DV129" s="363"/>
      <c r="DW129" s="363"/>
      <c r="DX129" s="363"/>
      <c r="DY129" s="363"/>
      <c r="DZ129" s="363"/>
      <c r="EA129" s="363"/>
      <c r="EB129" s="363"/>
      <c r="EC129" s="363"/>
      <c r="ED129" s="363"/>
      <c r="EE129" s="363"/>
      <c r="EF129" s="583"/>
      <c r="EG129" s="363">
        <v>0</v>
      </c>
      <c r="EH129" s="363">
        <v>0</v>
      </c>
      <c r="EI129" s="363"/>
      <c r="EJ129" s="363"/>
      <c r="EK129" s="363"/>
      <c r="EL129" s="363"/>
      <c r="EM129" s="363"/>
      <c r="EN129" s="363"/>
      <c r="EO129" s="363"/>
      <c r="EP129" s="363"/>
      <c r="EQ129" s="363"/>
      <c r="ER129" s="363"/>
      <c r="ES129" s="585"/>
      <c r="ET129" s="363">
        <v>0</v>
      </c>
      <c r="EU129" s="363">
        <v>0</v>
      </c>
      <c r="EV129" s="363">
        <v>0</v>
      </c>
      <c r="EW129" s="363">
        <v>0</v>
      </c>
      <c r="EX129" s="363">
        <v>0</v>
      </c>
      <c r="EY129" s="363">
        <v>0</v>
      </c>
      <c r="EZ129" s="363">
        <v>0</v>
      </c>
      <c r="FA129" s="363">
        <v>0</v>
      </c>
      <c r="FB129" s="363">
        <v>0</v>
      </c>
      <c r="FC129" s="363">
        <v>0</v>
      </c>
      <c r="FD129" s="363">
        <v>0</v>
      </c>
      <c r="FE129" s="363">
        <v>0</v>
      </c>
      <c r="FF129" s="583"/>
      <c r="FG129" s="363">
        <v>0</v>
      </c>
      <c r="FH129" s="363">
        <v>0</v>
      </c>
      <c r="FI129" s="363"/>
      <c r="FJ129" s="363"/>
      <c r="FK129" s="363"/>
      <c r="FL129" s="363"/>
      <c r="FM129" s="363"/>
      <c r="FN129" s="363"/>
      <c r="FO129" s="363"/>
      <c r="FP129" s="363"/>
      <c r="FQ129" s="363"/>
      <c r="FR129" s="363"/>
      <c r="FS129" s="585"/>
      <c r="FT129" s="586">
        <v>0</v>
      </c>
      <c r="FU129" s="586">
        <v>0</v>
      </c>
      <c r="FV129" s="586">
        <v>0</v>
      </c>
      <c r="FW129" s="586">
        <v>0</v>
      </c>
      <c r="FX129" s="586">
        <v>0</v>
      </c>
      <c r="FY129" s="447">
        <v>-0.47990055700000006</v>
      </c>
      <c r="FZ129" s="447">
        <v>0</v>
      </c>
      <c r="GA129" s="447">
        <v>-0.95952144097500025</v>
      </c>
      <c r="GB129" s="447">
        <v>-0.47990055700000006</v>
      </c>
      <c r="GC129" s="447">
        <v>0</v>
      </c>
      <c r="GD129" s="447">
        <v>0</v>
      </c>
      <c r="GE129" s="447">
        <v>0</v>
      </c>
      <c r="GF129" s="447">
        <v>0</v>
      </c>
      <c r="GG129" s="587"/>
      <c r="GH129" s="586">
        <v>0</v>
      </c>
      <c r="GI129" s="586">
        <v>0</v>
      </c>
      <c r="GJ129" s="586">
        <v>0</v>
      </c>
      <c r="GK129" s="586"/>
      <c r="GL129" s="588"/>
      <c r="GM129" s="447">
        <v>-0.21282552399999993</v>
      </c>
      <c r="GN129" s="447">
        <v>0</v>
      </c>
      <c r="GO129" s="447">
        <v>0</v>
      </c>
      <c r="GP129" s="447">
        <v>-0.21282552399999993</v>
      </c>
      <c r="GQ129" s="447">
        <v>0</v>
      </c>
      <c r="GR129" s="447">
        <v>0</v>
      </c>
      <c r="GS129" s="447">
        <v>0</v>
      </c>
      <c r="GT129" s="447">
        <v>0</v>
      </c>
      <c r="GU129" s="447">
        <v>0</v>
      </c>
      <c r="GV129" s="214"/>
      <c r="GW129" s="293">
        <v>0</v>
      </c>
      <c r="GX129" s="294"/>
      <c r="GY129" s="293">
        <v>0.47962088397500019</v>
      </c>
      <c r="GZ129" s="293">
        <v>-0.47962088397500019</v>
      </c>
      <c r="HA129" s="293">
        <v>-0.21282552399999993</v>
      </c>
      <c r="HB129" s="293">
        <v>-0.21282552399999993</v>
      </c>
      <c r="HC129" s="295">
        <v>0</v>
      </c>
    </row>
    <row r="130" spans="1:211" s="361" customFormat="1" ht="12.75" customHeight="1" thickBot="1">
      <c r="A130" s="589"/>
      <c r="B130" s="590"/>
      <c r="C130" s="591"/>
      <c r="D130" s="592"/>
      <c r="E130" s="593"/>
      <c r="F130" s="589"/>
      <c r="G130" s="594"/>
      <c r="H130" s="594"/>
      <c r="I130" s="594"/>
      <c r="J130" s="594"/>
      <c r="K130" s="595"/>
      <c r="L130" s="595"/>
      <c r="M130" s="595">
        <v>0</v>
      </c>
      <c r="N130" s="595"/>
      <c r="O130" s="595"/>
      <c r="P130" s="595"/>
      <c r="Q130" s="560"/>
      <c r="R130" s="596"/>
      <c r="S130" s="261">
        <f t="shared" si="5"/>
        <v>0</v>
      </c>
      <c r="T130" s="597"/>
      <c r="U130" s="598"/>
      <c r="V130" s="594"/>
      <c r="W130" s="594"/>
      <c r="X130" s="595"/>
      <c r="Y130" s="595"/>
      <c r="Z130" s="595"/>
      <c r="AA130" s="595"/>
      <c r="AB130" s="595"/>
      <c r="AC130" s="595"/>
      <c r="AD130" s="595"/>
      <c r="AE130" s="599"/>
      <c r="AF130" s="360"/>
      <c r="AG130" s="597"/>
      <c r="AH130" s="595"/>
      <c r="AI130" s="595"/>
      <c r="AJ130" s="595"/>
      <c r="AK130" s="595"/>
      <c r="AL130" s="595"/>
      <c r="AM130" s="595"/>
      <c r="AN130" s="595"/>
      <c r="AO130" s="595"/>
      <c r="AP130" s="595"/>
      <c r="AQ130" s="595"/>
      <c r="AR130" s="599"/>
      <c r="AS130" s="600"/>
      <c r="AT130" s="597"/>
      <c r="AU130" s="594"/>
      <c r="AV130" s="594"/>
      <c r="AW130" s="594"/>
      <c r="AX130" s="595"/>
      <c r="AY130" s="595"/>
      <c r="AZ130" s="595"/>
      <c r="BA130" s="595"/>
      <c r="BB130" s="595"/>
      <c r="BC130" s="595"/>
      <c r="BD130" s="595"/>
      <c r="BE130" s="599"/>
      <c r="BF130" s="360"/>
      <c r="BG130" s="597"/>
      <c r="BH130" s="594"/>
      <c r="BI130" s="594"/>
      <c r="BJ130" s="594"/>
      <c r="BK130" s="595"/>
      <c r="BL130" s="595"/>
      <c r="BM130" s="595"/>
      <c r="BN130" s="595"/>
      <c r="BO130" s="595"/>
      <c r="BP130" s="595"/>
      <c r="BQ130" s="595"/>
      <c r="BR130" s="599"/>
      <c r="BS130" s="360"/>
      <c r="BT130" s="601">
        <v>0</v>
      </c>
      <c r="BU130" s="595">
        <v>0</v>
      </c>
      <c r="BV130" s="595">
        <v>0</v>
      </c>
      <c r="BW130" s="595">
        <v>0</v>
      </c>
      <c r="BX130" s="595">
        <v>0</v>
      </c>
      <c r="BY130" s="595">
        <v>0</v>
      </c>
      <c r="BZ130" s="595">
        <v>0</v>
      </c>
      <c r="CA130" s="595">
        <v>0</v>
      </c>
      <c r="CB130" s="595">
        <v>0</v>
      </c>
      <c r="CC130" s="595">
        <v>0</v>
      </c>
      <c r="CD130" s="595">
        <v>0</v>
      </c>
      <c r="CE130" s="599">
        <v>0</v>
      </c>
      <c r="CG130" s="602"/>
      <c r="CH130" s="550"/>
      <c r="CI130" s="550"/>
      <c r="CJ130" s="550"/>
      <c r="CK130" s="603"/>
      <c r="CL130" s="603"/>
      <c r="CM130" s="603"/>
      <c r="CN130" s="603"/>
      <c r="CO130" s="603"/>
      <c r="CP130" s="603"/>
      <c r="CQ130" s="345"/>
      <c r="CR130" s="604"/>
      <c r="CT130" s="602"/>
      <c r="CU130" s="550"/>
      <c r="CV130" s="550"/>
      <c r="CW130" s="550"/>
      <c r="CX130" s="603"/>
      <c r="CY130" s="603"/>
      <c r="CZ130" s="595"/>
      <c r="DA130" s="603"/>
      <c r="DB130" s="603"/>
      <c r="DC130" s="603"/>
      <c r="DD130" s="603"/>
      <c r="DE130" s="604"/>
      <c r="DF130" s="390">
        <f t="shared" si="6"/>
        <v>0</v>
      </c>
      <c r="DG130" s="602"/>
      <c r="DH130" s="605"/>
      <c r="DI130" s="550"/>
      <c r="DJ130" s="550"/>
      <c r="DK130" s="603"/>
      <c r="DL130" s="603"/>
      <c r="DM130" s="603"/>
      <c r="DN130" s="603"/>
      <c r="DO130" s="603"/>
      <c r="DP130" s="603"/>
      <c r="DQ130" s="603"/>
      <c r="DR130" s="604"/>
      <c r="DS130" s="606"/>
      <c r="DT130" s="602"/>
      <c r="DU130" s="550"/>
      <c r="DV130" s="550"/>
      <c r="DW130" s="550"/>
      <c r="DX130" s="603"/>
      <c r="DY130" s="603"/>
      <c r="DZ130" s="603"/>
      <c r="EA130" s="603"/>
      <c r="EB130" s="603"/>
      <c r="EC130" s="603"/>
      <c r="ED130" s="603"/>
      <c r="EE130" s="604"/>
      <c r="EG130" s="602"/>
      <c r="EH130" s="550"/>
      <c r="EI130" s="550"/>
      <c r="EJ130" s="550"/>
      <c r="EK130" s="603"/>
      <c r="EL130" s="603"/>
      <c r="EM130" s="603"/>
      <c r="EN130" s="603"/>
      <c r="EO130" s="603"/>
      <c r="EP130" s="603"/>
      <c r="EQ130" s="603"/>
      <c r="ER130" s="604"/>
      <c r="ES130" s="603"/>
      <c r="ET130" s="602"/>
      <c r="EU130" s="550"/>
      <c r="EV130" s="550"/>
      <c r="EW130" s="550"/>
      <c r="EX130" s="603"/>
      <c r="EY130" s="603"/>
      <c r="EZ130" s="603"/>
      <c r="FA130" s="603"/>
      <c r="FB130" s="603"/>
      <c r="FC130" s="603"/>
      <c r="FD130" s="603"/>
      <c r="FE130" s="604"/>
      <c r="FG130" s="602"/>
      <c r="FH130" s="550"/>
      <c r="FI130" s="550"/>
      <c r="FJ130" s="550"/>
      <c r="FK130" s="603"/>
      <c r="FL130" s="603"/>
      <c r="FM130" s="603"/>
      <c r="FN130" s="603"/>
      <c r="FO130" s="603"/>
      <c r="FP130" s="603"/>
      <c r="FQ130" s="603"/>
      <c r="FR130" s="604"/>
      <c r="FS130" s="603"/>
      <c r="FT130" s="601"/>
      <c r="FU130" s="595"/>
      <c r="FV130" s="595"/>
      <c r="FW130" s="595"/>
      <c r="FX130" s="599"/>
      <c r="FY130" s="603">
        <v>0</v>
      </c>
      <c r="FZ130" s="603">
        <v>0</v>
      </c>
      <c r="GA130" s="603"/>
      <c r="GB130" s="603">
        <v>0</v>
      </c>
      <c r="GC130" s="603">
        <v>0</v>
      </c>
      <c r="GD130" s="603">
        <v>0</v>
      </c>
      <c r="GE130" s="603">
        <v>0</v>
      </c>
      <c r="GF130" s="604">
        <v>0</v>
      </c>
      <c r="GG130" s="214">
        <v>0</v>
      </c>
      <c r="GH130" s="601"/>
      <c r="GI130" s="595"/>
      <c r="GJ130" s="595"/>
      <c r="GK130" s="595"/>
      <c r="GL130" s="599"/>
      <c r="GM130" s="603"/>
      <c r="GN130" s="603"/>
      <c r="GO130" s="603"/>
      <c r="GP130" s="603"/>
      <c r="GQ130" s="603"/>
      <c r="GR130" s="604"/>
      <c r="GS130" s="603"/>
      <c r="GT130" s="603"/>
      <c r="GU130" s="292">
        <v>0</v>
      </c>
      <c r="GV130" s="214">
        <v>0</v>
      </c>
      <c r="GW130" s="293">
        <v>0</v>
      </c>
      <c r="GX130" s="294"/>
      <c r="GY130" s="293">
        <v>0</v>
      </c>
      <c r="GZ130" s="293">
        <v>0</v>
      </c>
      <c r="HA130" s="293">
        <v>0</v>
      </c>
      <c r="HB130" s="293">
        <v>0</v>
      </c>
      <c r="HC130" s="295">
        <v>0</v>
      </c>
    </row>
    <row r="131" spans="1:211" s="381" customFormat="1" ht="13.5" customHeight="1" thickBot="1">
      <c r="A131" s="392"/>
      <c r="B131" s="466"/>
      <c r="C131" s="467"/>
      <c r="D131" s="1084" t="s">
        <v>346</v>
      </c>
      <c r="E131" s="1085"/>
      <c r="F131" s="1086"/>
      <c r="G131" s="443">
        <v>3648.2724600000006</v>
      </c>
      <c r="H131" s="443">
        <v>3892.9412200000002</v>
      </c>
      <c r="I131" s="607">
        <v>3870.2994000000003</v>
      </c>
      <c r="J131" s="607">
        <v>3737.0333800000003</v>
      </c>
      <c r="K131" s="608">
        <v>2837.3192399999994</v>
      </c>
      <c r="L131" s="608">
        <v>1257.6683</v>
      </c>
      <c r="M131" s="608">
        <v>1630.4129</v>
      </c>
      <c r="N131" s="608">
        <v>1597.8906600000003</v>
      </c>
      <c r="O131" s="608">
        <v>2948.472600000001</v>
      </c>
      <c r="P131" s="608">
        <v>2745.3017599999998</v>
      </c>
      <c r="Q131" s="608">
        <v>3273.6688599999998</v>
      </c>
      <c r="R131" s="608">
        <v>4059.627140000001</v>
      </c>
      <c r="S131" s="261">
        <f t="shared" si="5"/>
        <v>10078.597760000001</v>
      </c>
      <c r="T131" s="443">
        <v>3283.9323896427245</v>
      </c>
      <c r="U131" s="443">
        <v>4233.3874212634664</v>
      </c>
      <c r="V131" s="441">
        <v>3603.0400464720597</v>
      </c>
      <c r="W131" s="442">
        <v>3526.7256860425891</v>
      </c>
      <c r="X131" s="442">
        <v>3690.3653922420235</v>
      </c>
      <c r="Y131" s="442">
        <v>3729.6139387137237</v>
      </c>
      <c r="Z131" s="442">
        <v>3427.3081278687141</v>
      </c>
      <c r="AA131" s="442">
        <v>3303.1398338435811</v>
      </c>
      <c r="AB131" s="442">
        <v>3327.5066613279919</v>
      </c>
      <c r="AC131" s="442">
        <v>3973.2086457716505</v>
      </c>
      <c r="AD131" s="442">
        <v>3486.8869939198771</v>
      </c>
      <c r="AE131" s="443">
        <v>3530.164548605886</v>
      </c>
      <c r="AF131" s="360"/>
      <c r="AG131" s="443">
        <v>0</v>
      </c>
      <c r="AH131" s="443">
        <v>3911.2919699999998</v>
      </c>
      <c r="AI131" s="441">
        <v>4270.067</v>
      </c>
      <c r="AJ131" s="442">
        <v>3787.38256</v>
      </c>
      <c r="AK131" s="442">
        <v>2726.6149999999998</v>
      </c>
      <c r="AL131" s="442">
        <v>1473.9587200000001</v>
      </c>
      <c r="AM131" s="442">
        <v>1626.6915800000002</v>
      </c>
      <c r="AN131" s="442">
        <v>1513.577397</v>
      </c>
      <c r="AO131" s="442">
        <v>2872.3839899999998</v>
      </c>
      <c r="AP131" s="442">
        <v>2616.5783800000004</v>
      </c>
      <c r="AQ131" s="442">
        <v>3425.5323199999998</v>
      </c>
      <c r="AR131" s="443">
        <v>3964.3819000000003</v>
      </c>
      <c r="AS131" s="609">
        <v>0.99999999999999989</v>
      </c>
      <c r="AT131" s="440"/>
      <c r="AU131" s="442"/>
      <c r="AV131" s="442"/>
      <c r="AW131" s="442"/>
      <c r="AX131" s="442"/>
      <c r="AY131" s="442"/>
      <c r="AZ131" s="442"/>
      <c r="BA131" s="442"/>
      <c r="BB131" s="442"/>
      <c r="BC131" s="442"/>
      <c r="BD131" s="442"/>
      <c r="BE131" s="443"/>
      <c r="BF131" s="360"/>
      <c r="BG131" s="440"/>
      <c r="BH131" s="442"/>
      <c r="BI131" s="442"/>
      <c r="BJ131" s="442"/>
      <c r="BK131" s="442"/>
      <c r="BL131" s="442"/>
      <c r="BM131" s="442"/>
      <c r="BN131" s="442"/>
      <c r="BO131" s="442"/>
      <c r="BP131" s="442"/>
      <c r="BQ131" s="442"/>
      <c r="BR131" s="443"/>
      <c r="BS131" s="360"/>
      <c r="BT131" s="610"/>
      <c r="BU131" s="611"/>
      <c r="BV131" s="611"/>
      <c r="BW131" s="611"/>
      <c r="BX131" s="611"/>
      <c r="BY131" s="611"/>
      <c r="BZ131" s="611"/>
      <c r="CA131" s="611"/>
      <c r="CB131" s="611"/>
      <c r="CC131" s="611"/>
      <c r="CD131" s="611"/>
      <c r="CE131" s="612"/>
      <c r="CF131" s="361"/>
      <c r="CG131" s="446">
        <v>34.818498506999994</v>
      </c>
      <c r="CH131" s="446">
        <v>40.151701881999998</v>
      </c>
      <c r="CI131" s="446">
        <v>39.625102595000001</v>
      </c>
      <c r="CJ131" s="446">
        <v>38.950457884999992</v>
      </c>
      <c r="CK131" s="446">
        <v>30.276833351999997</v>
      </c>
      <c r="CL131" s="446">
        <v>19.392590700000003</v>
      </c>
      <c r="CM131" s="446">
        <v>24.697700056000002</v>
      </c>
      <c r="CN131" s="446">
        <v>19.767383192</v>
      </c>
      <c r="CO131" s="446">
        <v>29.980878108999999</v>
      </c>
      <c r="CP131" s="446">
        <v>29.248688479999998</v>
      </c>
      <c r="CQ131" s="446">
        <v>25.930335182999997</v>
      </c>
      <c r="CR131" s="447">
        <v>34.929680404999999</v>
      </c>
      <c r="CS131" s="361"/>
      <c r="CT131" s="613">
        <v>34.272805319720355</v>
      </c>
      <c r="CU131" s="613">
        <v>42.808113859867795</v>
      </c>
      <c r="CV131" s="613">
        <v>35.712987777980835</v>
      </c>
      <c r="CW131" s="613">
        <v>37.564560604006175</v>
      </c>
      <c r="CX131" s="613">
        <v>37.341072430074824</v>
      </c>
      <c r="CY131" s="613">
        <v>38.821030872001643</v>
      </c>
      <c r="CZ131" s="614">
        <v>36.160309545590373</v>
      </c>
      <c r="DA131" s="613">
        <v>36.987845964146551</v>
      </c>
      <c r="DB131" s="613">
        <v>35.257472539528102</v>
      </c>
      <c r="DC131" s="613">
        <v>41.753351483990635</v>
      </c>
      <c r="DD131" s="613">
        <v>38.080566647551045</v>
      </c>
      <c r="DE131" s="613">
        <v>37.079814339112289</v>
      </c>
      <c r="DF131" s="390">
        <f t="shared" si="6"/>
        <v>116.91373247065397</v>
      </c>
      <c r="DG131" s="446">
        <v>0</v>
      </c>
      <c r="DH131" s="615">
        <v>43.439824024905398</v>
      </c>
      <c r="DI131" s="616">
        <v>45.312508110769691</v>
      </c>
      <c r="DJ131" s="444">
        <v>40.87603116989802</v>
      </c>
      <c r="DK131" s="444">
        <v>29.817158061114796</v>
      </c>
      <c r="DL131" s="444">
        <v>22.934915570406851</v>
      </c>
      <c r="DM131" s="444">
        <v>24.95380831994353</v>
      </c>
      <c r="DN131" s="444">
        <v>19.586959034906169</v>
      </c>
      <c r="DO131" s="444">
        <v>29.844842261210289</v>
      </c>
      <c r="DP131" s="444">
        <v>29.267517472238936</v>
      </c>
      <c r="DQ131" s="444">
        <v>29.153936526423951</v>
      </c>
      <c r="DR131" s="615">
        <v>34.816093067145317</v>
      </c>
      <c r="DS131" s="371"/>
      <c r="DT131" s="613">
        <v>0.74759424350837977</v>
      </c>
      <c r="DU131" s="614">
        <v>0.73102415455776382</v>
      </c>
      <c r="DV131" s="614">
        <v>0.10285380686018564</v>
      </c>
      <c r="DW131" s="614">
        <v>0.54030611901398728</v>
      </c>
      <c r="DX131" s="614">
        <v>-0.1479337982149771</v>
      </c>
      <c r="DY131" s="614">
        <v>0.23421689834943893</v>
      </c>
      <c r="DZ131" s="614">
        <v>0.25391399583018881</v>
      </c>
      <c r="EA131" s="614">
        <v>-0.19585579293613253</v>
      </c>
      <c r="EB131" s="614">
        <v>-1.4561155298396629</v>
      </c>
      <c r="EC131" s="614">
        <v>-0.88096644686740078</v>
      </c>
      <c r="ED131" s="614">
        <v>-2.3875220752890183</v>
      </c>
      <c r="EE131" s="617">
        <v>-2.6099690146111523</v>
      </c>
      <c r="EF131" s="361"/>
      <c r="EG131" s="613">
        <v>-0.18848571598336683</v>
      </c>
      <c r="EH131" s="613">
        <v>-3.3385461031577424</v>
      </c>
      <c r="EI131" s="613">
        <v>5.0529432794779874</v>
      </c>
      <c r="EJ131" s="613">
        <v>1.032433460374665</v>
      </c>
      <c r="EK131" s="613">
        <v>-7.0489824503522858</v>
      </c>
      <c r="EL131" s="613">
        <v>-19.643418674628428</v>
      </c>
      <c r="EM131" s="613">
        <v>-13.033715250697917</v>
      </c>
      <c r="EN131" s="613">
        <v>-16.910532665487771</v>
      </c>
      <c r="EO131" s="613">
        <v>-3.7920332926880693</v>
      </c>
      <c r="EP131" s="613">
        <v>-12.503451305941041</v>
      </c>
      <c r="EQ131" s="613">
        <v>-9.8847220325393899</v>
      </c>
      <c r="ER131" s="613">
        <v>1.2046332592533449</v>
      </c>
      <c r="ES131" s="618"/>
      <c r="ET131" s="613">
        <v>34.855644081999991</v>
      </c>
      <c r="EU131" s="614">
        <v>0.35152465229871888</v>
      </c>
      <c r="EV131" s="614">
        <v>-6.172992136588713E-3</v>
      </c>
      <c r="EW131" s="614">
        <v>0.26314183621498766</v>
      </c>
      <c r="EX131" s="614">
        <v>0.98639538986987263</v>
      </c>
      <c r="EY131" s="614">
        <v>-0.36658141576361486</v>
      </c>
      <c r="EZ131" s="614">
        <v>0.92465701197142725</v>
      </c>
      <c r="FA131" s="614">
        <v>0.80121009311959812</v>
      </c>
      <c r="FB131" s="614">
        <v>0.53730334406955216</v>
      </c>
      <c r="FC131" s="614">
        <v>1.7504511828169025</v>
      </c>
      <c r="FD131" s="614">
        <v>1.7447046143735876</v>
      </c>
      <c r="FE131" s="617">
        <v>3.1993861660573697</v>
      </c>
      <c r="FF131" s="361"/>
      <c r="FG131" s="446">
        <v>0</v>
      </c>
      <c r="FH131" s="446">
        <v>-3.4646252679080289</v>
      </c>
      <c r="FI131" s="446">
        <v>-5.6451771983749568</v>
      </c>
      <c r="FJ131" s="446">
        <v>-2.1734274331881815</v>
      </c>
      <c r="FK131" s="446">
        <v>-0.52459474365133851</v>
      </c>
      <c r="FL131" s="446">
        <v>-3.2486730749765673</v>
      </c>
      <c r="FM131" s="446">
        <v>-2.5988602072482929</v>
      </c>
      <c r="FN131" s="446">
        <v>-0.66418123850076616</v>
      </c>
      <c r="FO131" s="446">
        <v>-0.70501241327984254</v>
      </c>
      <c r="FP131" s="446">
        <v>-2.9989342530558365</v>
      </c>
      <c r="FQ131" s="446">
        <v>-5.1433976337975373</v>
      </c>
      <c r="FR131" s="446">
        <v>-2.395218766202694</v>
      </c>
      <c r="FS131" s="619"/>
      <c r="FT131" s="440">
        <v>35498.907920000005</v>
      </c>
      <c r="FU131" s="440">
        <v>43115.279685714297</v>
      </c>
      <c r="FV131" s="441">
        <v>32188.460817000003</v>
      </c>
      <c r="FW131" s="442">
        <v>-7616.3717657142915</v>
      </c>
      <c r="FX131" s="445">
        <v>-0.1766513361674395</v>
      </c>
      <c r="FY131" s="446">
        <v>367.76985034599988</v>
      </c>
      <c r="FZ131" s="446">
        <v>451.83993138357056</v>
      </c>
      <c r="GA131" s="446">
        <v>350.0035936189629</v>
      </c>
      <c r="GB131" s="446">
        <v>-84.070081037570603</v>
      </c>
      <c r="GC131" s="446">
        <v>-79.487434001779519</v>
      </c>
      <c r="GD131" s="446">
        <v>-5.6492540611193656</v>
      </c>
      <c r="GE131" s="446">
        <v>-29.562102230184045</v>
      </c>
      <c r="GF131" s="447">
        <v>45.041663964891796</v>
      </c>
      <c r="GG131" s="214"/>
      <c r="GH131" s="442">
        <v>4059.627140000001</v>
      </c>
      <c r="GI131" s="442">
        <v>3530.164548605886</v>
      </c>
      <c r="GJ131" s="442">
        <v>3964.3819000000003</v>
      </c>
      <c r="GK131" s="442">
        <v>529.46259139411495</v>
      </c>
      <c r="GL131" s="445">
        <v>0.14998241133071474</v>
      </c>
      <c r="GM131" s="444">
        <v>34.929680404999999</v>
      </c>
      <c r="GN131" s="444">
        <v>37.079814339112289</v>
      </c>
      <c r="GO131" s="616">
        <v>34.816093067145317</v>
      </c>
      <c r="GP131" s="446">
        <v>-2.1501339341122927</v>
      </c>
      <c r="GQ131" s="444">
        <v>1.2046332592533449</v>
      </c>
      <c r="GR131" s="615">
        <v>-2.6099690146111523</v>
      </c>
      <c r="GS131" s="615">
        <v>-2.395218766202694</v>
      </c>
      <c r="GT131" s="473">
        <v>3.1993861660573697</v>
      </c>
      <c r="GU131" s="447">
        <v>3.667116311411428E-6</v>
      </c>
      <c r="GV131" s="214"/>
      <c r="GW131" s="447">
        <v>31.682603636259664</v>
      </c>
      <c r="GX131" s="447">
        <v>0</v>
      </c>
      <c r="GY131" s="447">
        <v>23.924284821183431</v>
      </c>
      <c r="GZ131" s="447">
        <v>-2.2865470043293183</v>
      </c>
      <c r="HA131" s="447">
        <v>-0.74892670800038308</v>
      </c>
      <c r="HB131" s="447">
        <v>2.0273788583296186</v>
      </c>
      <c r="HC131" s="447">
        <v>28.035397755781702</v>
      </c>
    </row>
    <row r="132" spans="1:211" s="632" customFormat="1" ht="12.75" customHeight="1">
      <c r="A132" s="620"/>
      <c r="B132" s="621"/>
      <c r="C132" s="622"/>
      <c r="D132" s="623"/>
      <c r="E132" s="623"/>
      <c r="F132" s="620"/>
      <c r="G132" s="624">
        <v>3648.2724600000015</v>
      </c>
      <c r="H132" s="625">
        <v>3892.9412200000002</v>
      </c>
      <c r="I132" s="624">
        <v>3870.2993999999994</v>
      </c>
      <c r="J132" s="624">
        <v>3737.0333799999999</v>
      </c>
      <c r="K132" s="624">
        <v>2837.3192399999998</v>
      </c>
      <c r="L132" s="624">
        <v>1257.6683</v>
      </c>
      <c r="M132" s="624">
        <v>1630.4128999999994</v>
      </c>
      <c r="N132" s="624">
        <v>1597.8906600000003</v>
      </c>
      <c r="O132" s="624">
        <v>2948.472600000001</v>
      </c>
      <c r="P132" s="624">
        <v>2745.3017599999998</v>
      </c>
      <c r="Q132" s="624">
        <v>3273.6688599999998</v>
      </c>
      <c r="R132" s="624">
        <v>4059.627140000001</v>
      </c>
      <c r="S132" s="261">
        <f t="shared" si="5"/>
        <v>10078.597760000001</v>
      </c>
      <c r="T132" s="625">
        <v>3283.9323896427245</v>
      </c>
      <c r="U132" s="625">
        <v>4233.3874212634664</v>
      </c>
      <c r="V132" s="625">
        <v>3603.0400464720597</v>
      </c>
      <c r="W132" s="625">
        <v>3526.7256860425896</v>
      </c>
      <c r="X132" s="625">
        <v>3690.3653922420235</v>
      </c>
      <c r="Y132" s="625">
        <v>3729.6139387137232</v>
      </c>
      <c r="Z132" s="624">
        <v>3427.3081278687141</v>
      </c>
      <c r="AA132" s="627">
        <v>3303.1398338435811</v>
      </c>
      <c r="AB132" s="627">
        <v>3327.5066613279919</v>
      </c>
      <c r="AC132" s="627">
        <v>3973.2086457716505</v>
      </c>
      <c r="AD132" s="627">
        <v>3486.8869939198771</v>
      </c>
      <c r="AE132" s="627">
        <v>3530.164548605886</v>
      </c>
      <c r="AF132" s="626"/>
      <c r="AG132" s="627"/>
      <c r="AH132" s="627">
        <v>0</v>
      </c>
      <c r="AI132" s="627">
        <v>0</v>
      </c>
      <c r="AJ132" s="627">
        <v>0</v>
      </c>
      <c r="AK132" s="627">
        <v>0</v>
      </c>
      <c r="AL132" s="627">
        <v>0</v>
      </c>
      <c r="AM132" s="628">
        <v>0</v>
      </c>
      <c r="AN132" s="628">
        <v>0</v>
      </c>
      <c r="AO132" s="628">
        <v>0</v>
      </c>
      <c r="AP132" s="628">
        <v>0</v>
      </c>
      <c r="AQ132" s="627">
        <v>76.604420000000005</v>
      </c>
      <c r="AR132" s="627">
        <v>3964.3819000000003</v>
      </c>
      <c r="AS132" s="210"/>
      <c r="AT132" s="624"/>
      <c r="AU132" s="624"/>
      <c r="AV132" s="620"/>
      <c r="AW132" s="620"/>
      <c r="AX132" s="620"/>
      <c r="AY132" s="620"/>
      <c r="AZ132" s="620"/>
      <c r="BA132" s="620"/>
      <c r="BB132" s="620"/>
      <c r="BC132" s="620"/>
      <c r="BD132" s="627"/>
      <c r="BE132" s="620"/>
      <c r="BF132" s="626"/>
      <c r="BG132" s="624"/>
      <c r="BH132" s="620"/>
      <c r="BI132" s="620"/>
      <c r="BJ132" s="620"/>
      <c r="BK132" s="620"/>
      <c r="BL132" s="620"/>
      <c r="BM132" s="620"/>
      <c r="BN132" s="620"/>
      <c r="BO132" s="620"/>
      <c r="BP132" s="620"/>
      <c r="BQ132" s="620"/>
      <c r="BR132" s="620"/>
      <c r="BS132" s="626"/>
      <c r="BT132" s="620"/>
      <c r="BU132" s="620"/>
      <c r="BV132" s="620"/>
      <c r="BW132" s="620"/>
      <c r="BX132" s="620"/>
      <c r="BY132" s="620"/>
      <c r="BZ132" s="620"/>
      <c r="CA132" s="620"/>
      <c r="CB132" s="620"/>
      <c r="CC132" s="620"/>
      <c r="CD132" s="620"/>
      <c r="CE132" s="620"/>
      <c r="CF132" s="626"/>
      <c r="CG132" s="629">
        <v>34.855644081999991</v>
      </c>
      <c r="CH132" s="628">
        <v>40.291418520000001</v>
      </c>
      <c r="CI132" s="629">
        <v>39.682441468000007</v>
      </c>
      <c r="CJ132" s="628">
        <v>38.975211184999999</v>
      </c>
      <c r="CK132" s="628">
        <v>30.304240323999995</v>
      </c>
      <c r="CL132" s="629">
        <v>19.358755262999999</v>
      </c>
      <c r="CM132" s="628">
        <v>23.327429258000002</v>
      </c>
      <c r="CN132" s="629">
        <v>19.828378472999997</v>
      </c>
      <c r="CO132" s="630">
        <v>29.952821167000014</v>
      </c>
      <c r="CP132" s="629">
        <v>28.114604401999994</v>
      </c>
      <c r="CQ132" s="629">
        <v>25.755243506999999</v>
      </c>
      <c r="CR132" s="628">
        <v>35.620260466999987</v>
      </c>
      <c r="CS132" s="626"/>
      <c r="CT132" s="628">
        <v>34.272805319720355</v>
      </c>
      <c r="CU132" s="628">
        <v>42.808113859867795</v>
      </c>
      <c r="CV132" s="628">
        <v>35.712987777980835</v>
      </c>
      <c r="CW132" s="628">
        <v>37.564560604006175</v>
      </c>
      <c r="CX132" s="628">
        <v>37.341072430074824</v>
      </c>
      <c r="CY132" s="628">
        <v>38.821030872001643</v>
      </c>
      <c r="CZ132" s="628">
        <v>36.160309545590373</v>
      </c>
      <c r="DA132" s="628">
        <v>36.987845964146551</v>
      </c>
      <c r="DB132" s="628">
        <v>35.257472539528102</v>
      </c>
      <c r="DC132" s="628">
        <v>41.753351483990635</v>
      </c>
      <c r="DD132" s="628">
        <v>38.080566647551045</v>
      </c>
      <c r="DE132" s="628">
        <v>37.079814339112289</v>
      </c>
      <c r="DF132" s="390">
        <f t="shared" si="6"/>
        <v>116.91373247065397</v>
      </c>
      <c r="DG132" s="627">
        <v>0</v>
      </c>
      <c r="DH132" s="628">
        <v>-3.5304889296078557E-2</v>
      </c>
      <c r="DI132" s="628">
        <v>2.128354774185226E-2</v>
      </c>
      <c r="DJ132" s="627">
        <v>9.3176240751802197E-3</v>
      </c>
      <c r="DK132" s="628">
        <v>2.5281616666667617E-2</v>
      </c>
      <c r="DL132" s="628">
        <v>3.9088983333336103E-2</v>
      </c>
      <c r="DM132" s="628">
        <v>-3.599999999997508E-3</v>
      </c>
      <c r="DN132" s="628">
        <v>-1.4710455076283324E-15</v>
      </c>
      <c r="DO132" s="628">
        <v>-2.183999999999614E-2</v>
      </c>
      <c r="DP132" s="628">
        <v>-1.44300000000014E-2</v>
      </c>
      <c r="DQ132" s="627"/>
      <c r="DR132" s="631">
        <v>0</v>
      </c>
      <c r="DS132" s="628"/>
      <c r="DT132" s="628"/>
      <c r="DU132" s="628"/>
      <c r="DV132" s="628"/>
      <c r="DW132" s="629"/>
      <c r="DX132" s="620"/>
      <c r="DY132" s="620"/>
      <c r="DZ132" s="620"/>
      <c r="EA132" s="620"/>
      <c r="EB132" s="620"/>
      <c r="EC132" s="620"/>
      <c r="ED132" s="620"/>
      <c r="EE132" s="620"/>
      <c r="EF132" s="626"/>
      <c r="EG132" s="620"/>
      <c r="EH132" s="620"/>
      <c r="EI132" s="620"/>
      <c r="EJ132" s="628"/>
      <c r="EK132" s="628"/>
      <c r="EL132" s="620"/>
      <c r="EM132" s="620"/>
      <c r="EN132" s="620"/>
      <c r="EO132" s="620"/>
      <c r="EP132" s="620"/>
      <c r="EQ132" s="620"/>
      <c r="ER132" s="620"/>
      <c r="ET132" s="628"/>
      <c r="EU132" s="628"/>
      <c r="EV132" s="628"/>
      <c r="EW132" s="629"/>
      <c r="EX132" s="620"/>
      <c r="EY132" s="620"/>
      <c r="EZ132" s="620"/>
      <c r="FA132" s="620"/>
      <c r="FB132" s="620"/>
      <c r="FC132" s="620"/>
      <c r="FD132" s="620"/>
      <c r="FE132" s="620"/>
      <c r="FF132" s="626"/>
      <c r="FG132" s="620"/>
      <c r="FH132" s="620"/>
      <c r="FI132" s="620"/>
      <c r="FJ132" s="628"/>
      <c r="FK132" s="628"/>
      <c r="FL132" s="620"/>
      <c r="FM132" s="620"/>
      <c r="FN132" s="620"/>
      <c r="FO132" s="620"/>
      <c r="FP132" s="620"/>
      <c r="FQ132" s="620"/>
      <c r="FR132" s="620"/>
      <c r="FT132" s="627">
        <v>35498.907920000005</v>
      </c>
      <c r="FU132" s="624">
        <v>43115.279685714282</v>
      </c>
      <c r="FV132" s="624">
        <v>32188.460816999996</v>
      </c>
      <c r="FW132" s="628"/>
      <c r="FY132" s="633">
        <v>366.06644811599995</v>
      </c>
      <c r="FZ132" s="634">
        <v>451.83993138357056</v>
      </c>
      <c r="GG132" s="634"/>
      <c r="GH132" s="627">
        <v>4059.627140000001</v>
      </c>
      <c r="GI132" s="635">
        <v>3530.164548605886</v>
      </c>
      <c r="GJ132" s="624">
        <v>3964.3819000000003</v>
      </c>
      <c r="GK132" s="628"/>
      <c r="GM132" s="633">
        <v>34.929680404999999</v>
      </c>
      <c r="GN132" s="635">
        <v>37.079814339112289</v>
      </c>
      <c r="GO132" s="635">
        <v>34.816093067145317</v>
      </c>
      <c r="GQ132" s="635">
        <v>1.2046332592533449</v>
      </c>
      <c r="GR132" s="635">
        <v>-2.6099690146111523</v>
      </c>
      <c r="GS132" s="635">
        <v>0</v>
      </c>
      <c r="GT132" s="635">
        <v>3.1993861660573697</v>
      </c>
      <c r="GU132" s="635"/>
      <c r="GV132" s="634"/>
      <c r="GX132" s="294"/>
    </row>
    <row r="133" spans="1:211" ht="12.75" customHeight="1">
      <c r="G133" s="636">
        <v>0</v>
      </c>
      <c r="H133" s="637">
        <v>0</v>
      </c>
      <c r="I133" s="637">
        <v>0</v>
      </c>
      <c r="J133" s="637">
        <v>0</v>
      </c>
      <c r="K133" s="637">
        <v>0</v>
      </c>
      <c r="L133" s="637">
        <v>0</v>
      </c>
      <c r="M133" s="637">
        <v>0</v>
      </c>
      <c r="N133" s="636">
        <v>0</v>
      </c>
      <c r="O133" s="636">
        <v>0</v>
      </c>
      <c r="P133" s="636">
        <v>0</v>
      </c>
      <c r="Q133" s="636">
        <v>0</v>
      </c>
      <c r="R133" s="638">
        <v>0</v>
      </c>
      <c r="S133" s="261">
        <f t="shared" si="5"/>
        <v>0</v>
      </c>
      <c r="T133" s="639">
        <v>0</v>
      </c>
      <c r="U133" s="639">
        <v>0</v>
      </c>
      <c r="V133" s="639">
        <v>0</v>
      </c>
      <c r="W133" s="639">
        <v>0</v>
      </c>
      <c r="X133" s="639">
        <v>0</v>
      </c>
      <c r="Y133" s="639">
        <v>0</v>
      </c>
      <c r="Z133" s="639">
        <v>0</v>
      </c>
      <c r="AA133" s="639">
        <v>0</v>
      </c>
      <c r="AB133" s="639">
        <v>0</v>
      </c>
      <c r="AC133" s="639">
        <v>0</v>
      </c>
      <c r="AD133" s="639">
        <v>0</v>
      </c>
      <c r="AE133" s="639">
        <v>0</v>
      </c>
      <c r="AF133" s="639"/>
      <c r="AG133" s="639"/>
      <c r="AH133" s="639"/>
      <c r="AI133" s="639"/>
      <c r="AJ133" s="639"/>
      <c r="AK133" s="639"/>
      <c r="AL133" s="639"/>
      <c r="AM133" s="639"/>
      <c r="AN133" s="639"/>
      <c r="AO133" s="639"/>
      <c r="AP133" s="639"/>
      <c r="AQ133" s="639"/>
      <c r="AR133" s="640">
        <v>0</v>
      </c>
      <c r="CF133" s="641"/>
      <c r="CG133" s="636">
        <v>3.2751579226442118E-15</v>
      </c>
      <c r="CH133" s="636">
        <v>-2.9976021664879227E-15</v>
      </c>
      <c r="CI133" s="642">
        <v>-6.1617377866696188E-15</v>
      </c>
      <c r="CJ133" s="642">
        <v>-7.5217609918354356E-15</v>
      </c>
      <c r="CK133" s="642">
        <v>2.1371793224034263E-15</v>
      </c>
      <c r="CL133" s="642">
        <v>4.0245584642661925E-15</v>
      </c>
      <c r="CM133" s="642">
        <v>0</v>
      </c>
      <c r="CN133" s="642">
        <v>3.2612801348363973E-15</v>
      </c>
      <c r="CO133" s="642">
        <v>-1.5015766408055242E-14</v>
      </c>
      <c r="CP133" s="642">
        <v>4.4408920985006262E-15</v>
      </c>
      <c r="CQ133" s="642">
        <v>-2.55351295663786E-15</v>
      </c>
      <c r="CR133" s="642">
        <v>1.1879386363489175E-14</v>
      </c>
      <c r="CT133" s="636">
        <v>0</v>
      </c>
      <c r="CU133" s="636">
        <v>0</v>
      </c>
      <c r="CV133" s="636">
        <v>0</v>
      </c>
      <c r="CW133" s="636">
        <v>0</v>
      </c>
      <c r="CX133" s="636">
        <v>0</v>
      </c>
      <c r="CY133" s="636">
        <v>0</v>
      </c>
      <c r="CZ133" s="636">
        <v>0</v>
      </c>
      <c r="DA133" s="636">
        <v>0</v>
      </c>
      <c r="DB133" s="636">
        <v>0</v>
      </c>
      <c r="DC133" s="636">
        <v>0</v>
      </c>
      <c r="DD133" s="636">
        <v>0</v>
      </c>
      <c r="DE133" s="636">
        <v>0</v>
      </c>
      <c r="DF133" s="390">
        <f t="shared" si="6"/>
        <v>0</v>
      </c>
      <c r="DG133" s="639"/>
      <c r="DH133" s="639"/>
      <c r="DI133" s="639"/>
      <c r="DJ133" s="639"/>
      <c r="DK133" s="639"/>
      <c r="DL133" s="639"/>
      <c r="DM133" s="636"/>
      <c r="DN133" s="636">
        <v>-2.6428747599105407E-3</v>
      </c>
      <c r="DO133" s="639"/>
      <c r="DP133" s="639"/>
      <c r="DQ133" s="639"/>
      <c r="DR133" s="641"/>
      <c r="DT133" s="636"/>
      <c r="DU133" s="636"/>
      <c r="DV133" s="636"/>
      <c r="EJ133" s="636"/>
      <c r="EK133" s="636"/>
      <c r="ET133" s="636"/>
      <c r="EU133" s="636"/>
      <c r="EV133" s="636"/>
      <c r="FJ133" s="636"/>
      <c r="FK133" s="636"/>
      <c r="FT133" s="639"/>
      <c r="FU133" s="639">
        <v>0</v>
      </c>
      <c r="FV133" s="639">
        <v>0</v>
      </c>
      <c r="FX133" s="293"/>
      <c r="FY133" s="293">
        <v>0</v>
      </c>
      <c r="FZ133" s="214">
        <v>0</v>
      </c>
      <c r="GA133" s="293">
        <v>0</v>
      </c>
      <c r="GH133" s="293">
        <v>0</v>
      </c>
      <c r="GI133" s="293">
        <v>0</v>
      </c>
      <c r="GJ133" s="293">
        <v>0</v>
      </c>
      <c r="GK133" s="636"/>
      <c r="GM133" s="293">
        <v>0</v>
      </c>
      <c r="GN133" s="293">
        <v>0</v>
      </c>
      <c r="GO133" s="293">
        <v>0</v>
      </c>
      <c r="GP133" s="293"/>
      <c r="GQ133" s="294">
        <v>0</v>
      </c>
      <c r="GR133" s="643">
        <v>0</v>
      </c>
      <c r="GS133" s="293"/>
      <c r="GT133" s="293"/>
      <c r="GU133" s="636"/>
      <c r="GX133" s="294"/>
    </row>
    <row r="134" spans="1:211" ht="12.75" customHeight="1">
      <c r="G134" s="639"/>
      <c r="H134" s="636"/>
      <c r="I134" s="639"/>
      <c r="J134" s="639"/>
      <c r="K134" s="639"/>
      <c r="L134" s="639"/>
      <c r="M134" s="636"/>
      <c r="N134" s="639"/>
      <c r="O134" s="639"/>
      <c r="P134" s="639"/>
      <c r="R134" s="639"/>
      <c r="S134" s="261">
        <f t="shared" si="5"/>
        <v>0</v>
      </c>
      <c r="T134" s="639"/>
      <c r="U134" s="639"/>
      <c r="V134" s="639"/>
      <c r="W134" s="639"/>
      <c r="AF134" s="639"/>
      <c r="CG134" s="639"/>
      <c r="CH134" s="642"/>
      <c r="CI134" s="639"/>
      <c r="CJ134" s="639"/>
      <c r="CK134" s="636"/>
      <c r="CL134" s="636"/>
      <c r="CN134" s="639"/>
      <c r="CO134" s="639"/>
      <c r="CP134" s="644"/>
      <c r="CQ134" s="639"/>
      <c r="CR134" s="636">
        <v>31.214025966999998</v>
      </c>
      <c r="CS134" s="639"/>
      <c r="CT134" s="636"/>
      <c r="CU134" s="639"/>
      <c r="CV134" s="639"/>
      <c r="CW134" s="639"/>
      <c r="DF134" s="390">
        <f t="shared" si="6"/>
        <v>0</v>
      </c>
      <c r="DG134" s="642"/>
      <c r="DJ134" s="642"/>
      <c r="DK134" s="642"/>
      <c r="DQ134" s="642"/>
      <c r="DT134" s="636"/>
      <c r="DU134" s="636"/>
      <c r="DV134" s="636"/>
      <c r="EJ134" s="636"/>
      <c r="EK134" s="636"/>
      <c r="ET134" s="636"/>
      <c r="EU134" s="636"/>
      <c r="EV134" s="636"/>
      <c r="FJ134" s="636"/>
      <c r="FK134" s="636"/>
      <c r="FU134" s="636"/>
      <c r="FV134" s="636"/>
      <c r="FW134" s="636"/>
      <c r="GI134" s="636"/>
      <c r="GJ134" s="636"/>
      <c r="GK134" s="636"/>
      <c r="GM134" s="293"/>
      <c r="GP134" s="636"/>
      <c r="GQ134" s="636"/>
      <c r="GR134" s="636"/>
      <c r="GS134" s="636"/>
      <c r="GT134" s="636"/>
      <c r="GU134" s="636"/>
      <c r="GX134" s="294"/>
    </row>
    <row r="135" spans="1:211" s="214" customFormat="1" ht="12.75" customHeight="1">
      <c r="A135" s="636"/>
      <c r="B135" s="645"/>
      <c r="C135" s="646"/>
      <c r="D135" s="647" t="s">
        <v>135</v>
      </c>
      <c r="E135" s="648"/>
      <c r="F135" s="636"/>
      <c r="G135" s="636">
        <v>1191.4859999999996</v>
      </c>
      <c r="H135" s="636">
        <v>1656.299</v>
      </c>
      <c r="I135" s="636">
        <v>1778.895</v>
      </c>
      <c r="J135" s="636">
        <v>1681.2729999999999</v>
      </c>
      <c r="K135" s="636">
        <v>1690.9169999999995</v>
      </c>
      <c r="L135" s="636">
        <v>1001.761</v>
      </c>
      <c r="M135" s="636">
        <v>1065.6689999999999</v>
      </c>
      <c r="N135" s="636">
        <v>818.86099999999988</v>
      </c>
      <c r="O135" s="636">
        <v>1041.1210000000001</v>
      </c>
      <c r="P135" s="636">
        <v>1067.3589999999999</v>
      </c>
      <c r="Q135" s="636">
        <v>785.3850000000001</v>
      </c>
      <c r="R135" s="636">
        <v>1114.5820000000003</v>
      </c>
      <c r="S135" s="636">
        <v>1880.5626587962529</v>
      </c>
      <c r="T135" s="636">
        <v>1289.4764561277723</v>
      </c>
      <c r="U135" s="636">
        <v>1925.3519854254321</v>
      </c>
      <c r="V135" s="636">
        <v>1607.976096018755</v>
      </c>
      <c r="W135" s="636">
        <v>1901.1619204358967</v>
      </c>
      <c r="X135" s="636">
        <v>1604.280596387259</v>
      </c>
      <c r="Y135" s="636">
        <v>1619.9209378548555</v>
      </c>
      <c r="Z135" s="636">
        <v>1380.2244140085254</v>
      </c>
      <c r="AA135" s="636">
        <v>1524.4578915162815</v>
      </c>
      <c r="AB135" s="636">
        <v>1380.8239119333509</v>
      </c>
      <c r="AC135" s="636">
        <v>1670.6040079449358</v>
      </c>
      <c r="AD135" s="636">
        <v>1171.0153930377455</v>
      </c>
      <c r="AE135" s="636">
        <v>1326.6766750234783</v>
      </c>
      <c r="AF135" s="636">
        <v>0</v>
      </c>
      <c r="AG135" s="636">
        <v>0</v>
      </c>
      <c r="AH135" s="636">
        <v>1928.0457999999996</v>
      </c>
      <c r="AI135" s="636">
        <v>2058.7695599999997</v>
      </c>
      <c r="AJ135" s="636">
        <v>1820.3020000000001</v>
      </c>
      <c r="AK135" s="636">
        <v>1659.6933999999999</v>
      </c>
      <c r="AL135" s="636">
        <v>1270.4791999999995</v>
      </c>
      <c r="AM135" s="636">
        <v>1208.2927</v>
      </c>
      <c r="AN135" s="636">
        <v>864.31887700000004</v>
      </c>
      <c r="AO135" s="636">
        <v>1053.2670000000001</v>
      </c>
      <c r="AP135" s="636">
        <v>1136.7006999999999</v>
      </c>
      <c r="AQ135" s="636">
        <v>854.08789999999999</v>
      </c>
      <c r="AR135" s="636">
        <v>1429.8977</v>
      </c>
      <c r="AS135" s="636"/>
      <c r="AT135" s="636"/>
      <c r="AU135" s="636"/>
      <c r="AV135" s="636"/>
      <c r="AW135" s="636"/>
      <c r="AX135" s="636"/>
      <c r="AY135" s="636"/>
      <c r="AZ135" s="636"/>
      <c r="BA135" s="636"/>
      <c r="BB135" s="636"/>
      <c r="BC135" s="636"/>
      <c r="BD135" s="636"/>
      <c r="BE135" s="636">
        <v>3826790.603900217</v>
      </c>
      <c r="BF135" s="636"/>
      <c r="BG135" s="636"/>
      <c r="BH135" s="636"/>
      <c r="BI135" s="636"/>
      <c r="BJ135" s="636"/>
      <c r="BK135" s="636"/>
      <c r="BL135" s="636"/>
      <c r="BM135" s="636"/>
      <c r="BN135" s="636"/>
      <c r="BO135" s="636"/>
      <c r="BP135" s="636"/>
      <c r="BQ135" s="636"/>
      <c r="BR135" s="636"/>
      <c r="BS135" s="636"/>
      <c r="BT135" s="636"/>
      <c r="BU135" s="636"/>
      <c r="BV135" s="636">
        <v>3481728.0436668894</v>
      </c>
      <c r="BW135" s="636">
        <v>4304109.3413430825</v>
      </c>
      <c r="BX135" s="636">
        <v>3846851.2268280368</v>
      </c>
      <c r="BY135" s="636">
        <v>4332388.3933983808</v>
      </c>
      <c r="BZ135" s="636">
        <v>4354342.4225204922</v>
      </c>
      <c r="CA135" s="636">
        <v>3476758.0975529798</v>
      </c>
      <c r="CB135" s="636">
        <v>4045509.8057728964</v>
      </c>
      <c r="CC135" s="636">
        <v>3434777.0501263477</v>
      </c>
      <c r="CD135" s="636">
        <v>2740639.2738260697</v>
      </c>
      <c r="CE135" s="636">
        <v>4031039.8336611581</v>
      </c>
      <c r="CF135" s="636">
        <v>0</v>
      </c>
      <c r="CG135" s="636">
        <v>15.929406624</v>
      </c>
      <c r="CH135" s="636">
        <v>20.969038049000002</v>
      </c>
      <c r="CI135" s="636">
        <v>23.161537706999994</v>
      </c>
      <c r="CJ135" s="636">
        <v>22.616443109999999</v>
      </c>
      <c r="CK135" s="636">
        <v>21.339228619</v>
      </c>
      <c r="CL135" s="636">
        <v>14.517872283000003</v>
      </c>
      <c r="CM135" s="636">
        <v>15.497378036000001</v>
      </c>
      <c r="CN135" s="636">
        <v>11.610660688999999</v>
      </c>
      <c r="CO135" s="636">
        <v>15.569666986</v>
      </c>
      <c r="CP135" s="636">
        <v>14.541715559999998</v>
      </c>
      <c r="CQ135" s="636">
        <v>10.343228739000001</v>
      </c>
      <c r="CR135" s="636">
        <v>16.605018158</v>
      </c>
      <c r="CS135" s="636">
        <v>0</v>
      </c>
      <c r="CT135" s="636">
        <v>16.133644203004803</v>
      </c>
      <c r="CU135" s="636">
        <v>23.718473387423348</v>
      </c>
      <c r="CV135" s="636">
        <v>20.20600437164283</v>
      </c>
      <c r="CW135" s="636">
        <v>23.34725457172032</v>
      </c>
      <c r="CX135" s="636">
        <v>20.463431334679321</v>
      </c>
      <c r="CY135" s="636">
        <v>20.122894445945537</v>
      </c>
      <c r="CZ135" s="636">
        <v>18.027944649444755</v>
      </c>
      <c r="DA135" s="636">
        <v>19.219645530418155</v>
      </c>
      <c r="DB135" s="636">
        <v>17.977444122389773</v>
      </c>
      <c r="DC135" s="636">
        <v>21.124353599128785</v>
      </c>
      <c r="DD135" s="636">
        <v>15.337026125961948</v>
      </c>
      <c r="DE135" s="636">
        <v>17.315157450753212</v>
      </c>
      <c r="DF135" s="390">
        <f t="shared" si="6"/>
        <v>53.776537175843949</v>
      </c>
      <c r="DG135" s="636">
        <v>0</v>
      </c>
      <c r="DH135" s="636">
        <v>24.471868779469929</v>
      </c>
      <c r="DI135" s="636">
        <v>26.481135138240955</v>
      </c>
      <c r="DJ135" s="636">
        <v>25.086732907701826</v>
      </c>
      <c r="DK135" s="636">
        <v>21.101232350955772</v>
      </c>
      <c r="DL135" s="636">
        <v>18.074720786904027</v>
      </c>
      <c r="DM135" s="636">
        <v>17.481370317355733</v>
      </c>
      <c r="DN135" s="636">
        <v>12.432910528717986</v>
      </c>
      <c r="DO135" s="636">
        <v>15.832478739817009</v>
      </c>
      <c r="DP135" s="636">
        <v>14.635208851306912</v>
      </c>
      <c r="DQ135" s="636">
        <v>10.701692574891922</v>
      </c>
      <c r="DR135" s="636">
        <v>18.783854308642841</v>
      </c>
      <c r="DS135" s="636">
        <v>0</v>
      </c>
      <c r="DT135" s="636">
        <v>0.89171903420349974</v>
      </c>
      <c r="DU135" s="636">
        <v>1.419307996364215</v>
      </c>
      <c r="DV135" s="636">
        <v>1.6142578621013126</v>
      </c>
      <c r="DW135" s="636">
        <v>1.3387292953394687</v>
      </c>
      <c r="DX135" s="636">
        <v>1.0226170872553186</v>
      </c>
      <c r="DY135" s="636">
        <v>0.89095247159447555</v>
      </c>
      <c r="DZ135" s="636">
        <v>1.2138174494399141</v>
      </c>
      <c r="EA135" s="636">
        <v>0.99161724634819304</v>
      </c>
      <c r="EB135" s="636">
        <v>1.2115807311387283</v>
      </c>
      <c r="EC135" s="636">
        <v>1.1082886035754396</v>
      </c>
      <c r="ED135" s="636">
        <v>0.92908537656211165</v>
      </c>
      <c r="EE135" s="636">
        <v>1.3808689519476105</v>
      </c>
      <c r="EF135" s="636">
        <v>0</v>
      </c>
      <c r="EG135" s="636">
        <v>-0.43763981304762267</v>
      </c>
      <c r="EH135" s="636">
        <v>-4.8218394474731827</v>
      </c>
      <c r="EI135" s="636">
        <v>3.1609494744210784</v>
      </c>
      <c r="EJ135" s="636">
        <v>-4.4360684985018439</v>
      </c>
      <c r="EK135" s="636">
        <v>-3.5983016697963341</v>
      </c>
      <c r="EL135" s="636">
        <v>-9.2820311084844978</v>
      </c>
      <c r="EM135" s="636">
        <v>-3.8545948353869894</v>
      </c>
      <c r="EN135" s="636">
        <v>-10.167912375717588</v>
      </c>
      <c r="EO135" s="636">
        <v>-4.0602677174305439</v>
      </c>
      <c r="EP135" s="636">
        <v>-11.003196853748216</v>
      </c>
      <c r="EQ135" s="636">
        <v>-4.1855580080963746</v>
      </c>
      <c r="ER135" s="636">
        <v>-1.7423187887495284</v>
      </c>
      <c r="ES135" s="636">
        <v>0</v>
      </c>
      <c r="ET135" s="636">
        <v>19.332731007</v>
      </c>
      <c r="EU135" s="636">
        <v>-9.1278910306358652E-2</v>
      </c>
      <c r="EV135" s="636">
        <v>0.27706692634974134</v>
      </c>
      <c r="EW135" s="636">
        <v>-0.24917449579812317</v>
      </c>
      <c r="EX135" s="636">
        <v>1.2018919586184509</v>
      </c>
      <c r="EY135" s="636">
        <v>0.11883428780390369</v>
      </c>
      <c r="EZ135" s="636">
        <v>0.30037575788241833</v>
      </c>
      <c r="FA135" s="636">
        <v>0.74574334197852965</v>
      </c>
      <c r="FB135" s="636">
        <v>1.3055235833360455</v>
      </c>
      <c r="FC135" s="636">
        <v>1.0994782938687162</v>
      </c>
      <c r="FD135" s="636">
        <v>0.70960152568275336</v>
      </c>
      <c r="FE135" s="636">
        <v>0.55502394717220871</v>
      </c>
      <c r="FF135" s="636">
        <v>0</v>
      </c>
      <c r="FG135" s="636">
        <v>0</v>
      </c>
      <c r="FH135" s="636">
        <v>-4.6202850218773275</v>
      </c>
      <c r="FI135" s="636">
        <v>-4.0928223241026647</v>
      </c>
      <c r="FJ135" s="636">
        <v>-2.0634460991756991</v>
      </c>
      <c r="FK135" s="636">
        <v>-0.86746998230992678</v>
      </c>
      <c r="FL135" s="636">
        <v>-3.659121560108288</v>
      </c>
      <c r="FM135" s="636">
        <v>-1.9937275702702626</v>
      </c>
      <c r="FN135" s="636">
        <v>-0.17153070998783337</v>
      </c>
      <c r="FO135" s="636">
        <v>-1.3251698329167694</v>
      </c>
      <c r="FP135" s="636">
        <v>-1.898063876814307</v>
      </c>
      <c r="FQ135" s="636">
        <v>-0.86347400242163419</v>
      </c>
      <c r="FR135" s="636">
        <v>-1.5583846952725917</v>
      </c>
      <c r="FS135" s="636">
        <v>0</v>
      </c>
      <c r="FT135" s="636">
        <v>14893.608000000002</v>
      </c>
      <c r="FU135" s="636">
        <v>18401.970285714287</v>
      </c>
      <c r="FV135" s="636">
        <v>15283.854836999999</v>
      </c>
      <c r="FW135" s="636">
        <v>-3508.3622857142864</v>
      </c>
      <c r="FX135" s="636"/>
      <c r="FY135" s="636">
        <v>202.70119456000006</v>
      </c>
      <c r="FZ135" s="636">
        <v>232.99327379251281</v>
      </c>
      <c r="GA135" s="636">
        <v>205.08320528400486</v>
      </c>
      <c r="GB135" s="636"/>
      <c r="GC135" s="636">
        <v>-43.983241918954867</v>
      </c>
      <c r="GD135" s="636">
        <v>13.691009498442135</v>
      </c>
      <c r="GE135" s="636">
        <v>-22.009374601414265</v>
      </c>
      <c r="GF135" s="636"/>
      <c r="GG135" s="636">
        <v>-1.5318799999297639E-4</v>
      </c>
      <c r="GH135" s="636">
        <v>1114.5820000000003</v>
      </c>
      <c r="GI135" s="636">
        <v>1326.6766750234783</v>
      </c>
      <c r="GJ135" s="636">
        <v>1429.8977</v>
      </c>
      <c r="GK135" s="636">
        <v>-212.0946750234784</v>
      </c>
      <c r="GL135" s="636">
        <v>6.2693060116819836</v>
      </c>
      <c r="GM135" s="636">
        <v>16.605018158</v>
      </c>
      <c r="GN135" s="636">
        <v>17.315157450753212</v>
      </c>
      <c r="GO135" s="636">
        <v>18.783854308642841</v>
      </c>
      <c r="GP135" s="636">
        <v>-0.71013929275320609</v>
      </c>
      <c r="GQ135" s="636">
        <v>-1.9547863245408168</v>
      </c>
      <c r="GR135" s="636">
        <v>1.244647031787611</v>
      </c>
      <c r="GS135" s="636">
        <v>-2.2459455158212296</v>
      </c>
      <c r="GT135" s="636">
        <v>6.7109365178391486E-2</v>
      </c>
      <c r="GU135" s="636">
        <v>1.1239345899729127</v>
      </c>
      <c r="GV135" s="636">
        <v>0</v>
      </c>
    </row>
    <row r="136" spans="1:211" ht="12.75" customHeight="1">
      <c r="D136" s="649" t="s">
        <v>198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636">
        <v>154.73159999999999</v>
      </c>
      <c r="Q136" s="208">
        <v>421.49400000000014</v>
      </c>
      <c r="R136" s="208">
        <v>290.94200000000001</v>
      </c>
      <c r="S136" s="208"/>
      <c r="T136" s="208">
        <v>0</v>
      </c>
      <c r="U136" s="208">
        <v>0</v>
      </c>
      <c r="V136" s="208">
        <v>0</v>
      </c>
      <c r="W136" s="208">
        <v>0</v>
      </c>
      <c r="X136" s="208">
        <v>0</v>
      </c>
      <c r="Y136" s="208">
        <v>0</v>
      </c>
      <c r="Z136" s="208">
        <v>0</v>
      </c>
      <c r="AA136" s="208">
        <v>0</v>
      </c>
      <c r="AB136" s="208">
        <v>0</v>
      </c>
      <c r="AC136" s="208">
        <v>0</v>
      </c>
      <c r="AD136" s="208">
        <v>0</v>
      </c>
      <c r="AE136" s="208">
        <v>0</v>
      </c>
      <c r="AF136" s="639"/>
      <c r="AG136" s="208">
        <v>0</v>
      </c>
      <c r="AH136" s="208">
        <v>0</v>
      </c>
      <c r="AI136" s="208">
        <v>0</v>
      </c>
      <c r="AJ136" s="208">
        <v>0</v>
      </c>
      <c r="AK136" s="208">
        <v>0</v>
      </c>
      <c r="AL136" s="208">
        <v>0</v>
      </c>
      <c r="AM136" s="208">
        <v>0</v>
      </c>
      <c r="AN136" s="208">
        <v>0</v>
      </c>
      <c r="AO136" s="208">
        <v>0</v>
      </c>
      <c r="AP136" s="208">
        <v>0</v>
      </c>
      <c r="AQ136" s="208">
        <v>0</v>
      </c>
      <c r="AR136" s="208">
        <v>0</v>
      </c>
      <c r="CG136" s="636">
        <v>0</v>
      </c>
      <c r="CH136" s="636">
        <v>0</v>
      </c>
      <c r="CI136" s="636">
        <v>0</v>
      </c>
      <c r="CJ136" s="636">
        <v>0</v>
      </c>
      <c r="CK136" s="636">
        <v>0</v>
      </c>
      <c r="CL136" s="636">
        <v>0</v>
      </c>
      <c r="CM136" s="636">
        <v>0</v>
      </c>
      <c r="CN136" s="650">
        <v>0</v>
      </c>
      <c r="CO136" s="636">
        <v>0</v>
      </c>
      <c r="CP136" s="636">
        <v>0.29914775999999993</v>
      </c>
      <c r="CQ136" s="636">
        <v>0.27162791999999997</v>
      </c>
      <c r="CR136" s="636">
        <v>0.56248631999999998</v>
      </c>
      <c r="CS136" s="636"/>
      <c r="CT136" s="636">
        <v>0</v>
      </c>
      <c r="CU136" s="636">
        <v>0</v>
      </c>
      <c r="CV136" s="636">
        <v>0</v>
      </c>
      <c r="CW136" s="636">
        <v>0</v>
      </c>
      <c r="CX136" s="636">
        <v>0</v>
      </c>
      <c r="CY136" s="636">
        <v>0</v>
      </c>
      <c r="CZ136" s="636">
        <v>0</v>
      </c>
      <c r="DA136" s="636">
        <v>0</v>
      </c>
      <c r="DB136" s="636">
        <v>0</v>
      </c>
      <c r="DC136" s="636">
        <v>0</v>
      </c>
      <c r="DD136" s="636">
        <v>0</v>
      </c>
      <c r="DE136" s="636">
        <v>0</v>
      </c>
      <c r="DF136" s="390">
        <f t="shared" ref="DF136:DF198" si="7">DC136+DD136+DE136</f>
        <v>0</v>
      </c>
      <c r="DG136" s="639">
        <v>0</v>
      </c>
      <c r="DH136" s="639">
        <v>0</v>
      </c>
      <c r="DI136" s="639">
        <v>0</v>
      </c>
      <c r="DJ136" s="639">
        <v>0</v>
      </c>
      <c r="DK136" s="639">
        <v>0</v>
      </c>
      <c r="DL136" s="639">
        <v>0</v>
      </c>
      <c r="DM136" s="639">
        <v>0</v>
      </c>
      <c r="DN136" s="639">
        <v>0</v>
      </c>
      <c r="DO136" s="639">
        <v>0</v>
      </c>
      <c r="DP136" s="639">
        <v>0</v>
      </c>
      <c r="DQ136" s="639">
        <v>0</v>
      </c>
      <c r="DR136" s="639">
        <v>0</v>
      </c>
      <c r="DS136" s="641"/>
      <c r="DT136" s="636"/>
      <c r="DU136" s="636"/>
      <c r="DV136" s="636"/>
      <c r="DW136" s="636"/>
      <c r="DX136" s="636"/>
      <c r="DY136" s="636"/>
      <c r="DZ136" s="636"/>
      <c r="EA136" s="636"/>
      <c r="EB136" s="636"/>
      <c r="EC136" s="636"/>
      <c r="ED136" s="636"/>
      <c r="EE136" s="636"/>
      <c r="EF136" s="636"/>
      <c r="EG136" s="636"/>
      <c r="EH136" s="636"/>
      <c r="EI136" s="636"/>
      <c r="EJ136" s="636"/>
      <c r="EK136" s="636"/>
      <c r="EL136" s="636"/>
      <c r="EM136" s="636"/>
      <c r="EN136" s="636"/>
      <c r="EO136" s="636"/>
      <c r="EP136" s="636"/>
      <c r="EQ136" s="636"/>
      <c r="ER136" s="636"/>
      <c r="ES136" s="636"/>
      <c r="ET136" s="636"/>
      <c r="EU136" s="636"/>
      <c r="EV136" s="636"/>
      <c r="EW136" s="636"/>
      <c r="EX136" s="636"/>
      <c r="EY136" s="636"/>
      <c r="EZ136" s="636"/>
      <c r="FA136" s="636"/>
      <c r="FB136" s="636"/>
      <c r="FC136" s="636"/>
      <c r="FD136" s="636"/>
      <c r="FE136" s="636"/>
      <c r="FF136" s="636"/>
      <c r="FG136" s="636"/>
      <c r="FH136" s="636"/>
      <c r="FI136" s="636"/>
      <c r="FJ136" s="636"/>
      <c r="FK136" s="636"/>
      <c r="FL136" s="636"/>
      <c r="FM136" s="636"/>
      <c r="FN136" s="636"/>
      <c r="FO136" s="636"/>
      <c r="FP136" s="636"/>
      <c r="FQ136" s="636"/>
      <c r="FR136" s="636"/>
      <c r="FS136" s="636"/>
      <c r="FT136" s="636">
        <v>867.16760000000011</v>
      </c>
      <c r="FU136" s="636">
        <v>0</v>
      </c>
      <c r="FV136" s="636">
        <v>0</v>
      </c>
      <c r="FW136" s="636">
        <v>867.16760000000011</v>
      </c>
      <c r="FX136" s="636"/>
      <c r="FY136" s="636">
        <v>1.1332619999999998</v>
      </c>
      <c r="FZ136" s="636">
        <v>0</v>
      </c>
      <c r="GA136" s="636">
        <v>0</v>
      </c>
      <c r="GB136" s="636"/>
      <c r="GC136" s="636">
        <v>1.1332619999999998</v>
      </c>
      <c r="GD136" s="636"/>
      <c r="GE136" s="636"/>
      <c r="GF136" s="636"/>
      <c r="GG136" s="636"/>
      <c r="GH136" s="636"/>
      <c r="GI136" s="636"/>
      <c r="GJ136" s="636">
        <v>0</v>
      </c>
      <c r="GK136" s="636">
        <v>290.94200000000001</v>
      </c>
      <c r="GL136" s="636">
        <v>0</v>
      </c>
      <c r="GM136" s="636">
        <v>0.56248631999999998</v>
      </c>
      <c r="GN136" s="636">
        <v>0</v>
      </c>
      <c r="GO136" s="636">
        <v>0</v>
      </c>
      <c r="GP136" s="636">
        <v>0.56248631999999998</v>
      </c>
      <c r="GQ136" s="636">
        <v>0.56248631999999998</v>
      </c>
      <c r="GR136" s="636">
        <v>0</v>
      </c>
      <c r="GS136" s="636">
        <v>0</v>
      </c>
      <c r="GT136" s="636">
        <v>0.56248631999999998</v>
      </c>
      <c r="GU136" s="636"/>
      <c r="GV136" s="636"/>
      <c r="GW136" s="636"/>
      <c r="GX136" s="294"/>
    </row>
    <row r="137" spans="1:211" ht="12.75" customHeight="1">
      <c r="D137" s="649" t="s">
        <v>312</v>
      </c>
      <c r="G137" s="208">
        <v>1886.5600000000009</v>
      </c>
      <c r="H137" s="639">
        <v>1681.7899999999997</v>
      </c>
      <c r="I137" s="639">
        <v>1392.46</v>
      </c>
      <c r="J137" s="639">
        <v>1675.4599999999998</v>
      </c>
      <c r="K137" s="639">
        <v>1000.3000000000001</v>
      </c>
      <c r="L137" s="639">
        <v>0</v>
      </c>
      <c r="M137" s="639">
        <v>88.71</v>
      </c>
      <c r="N137" s="639">
        <v>355.35000000000008</v>
      </c>
      <c r="O137" s="639">
        <v>1531.8100000000006</v>
      </c>
      <c r="P137" s="639">
        <v>1170.4149999999997</v>
      </c>
      <c r="Q137" s="639">
        <v>1554.598</v>
      </c>
      <c r="R137" s="639">
        <v>2025.9500000000012</v>
      </c>
      <c r="S137" s="639"/>
      <c r="T137" s="639">
        <v>1500</v>
      </c>
      <c r="U137" s="639">
        <v>1600</v>
      </c>
      <c r="V137" s="639">
        <v>1500</v>
      </c>
      <c r="W137" s="639">
        <v>900</v>
      </c>
      <c r="X137" s="639">
        <v>1450</v>
      </c>
      <c r="Y137" s="639">
        <v>1450</v>
      </c>
      <c r="Z137" s="639">
        <v>1500</v>
      </c>
      <c r="AA137" s="639">
        <v>1100</v>
      </c>
      <c r="AB137" s="639">
        <v>1500</v>
      </c>
      <c r="AC137" s="639">
        <v>1400</v>
      </c>
      <c r="AD137" s="639">
        <v>1800</v>
      </c>
      <c r="AE137" s="639">
        <v>1400</v>
      </c>
      <c r="AF137" s="639"/>
      <c r="AG137" s="639">
        <v>0</v>
      </c>
      <c r="AH137" s="639">
        <v>1360</v>
      </c>
      <c r="AI137" s="639">
        <v>1536</v>
      </c>
      <c r="AJ137" s="639">
        <v>1665</v>
      </c>
      <c r="AK137" s="639">
        <v>990</v>
      </c>
      <c r="AL137" s="639">
        <v>0</v>
      </c>
      <c r="AM137" s="639">
        <v>0</v>
      </c>
      <c r="AN137" s="639">
        <v>350</v>
      </c>
      <c r="AO137" s="639">
        <v>1500</v>
      </c>
      <c r="AP137" s="639">
        <v>1031</v>
      </c>
      <c r="AQ137" s="639">
        <v>2000</v>
      </c>
      <c r="AR137" s="639">
        <v>2000</v>
      </c>
      <c r="CG137" s="636">
        <v>12.086959141999994</v>
      </c>
      <c r="CH137" s="642">
        <v>11.841642609000001</v>
      </c>
      <c r="CI137" s="642">
        <v>8.6909505990000024</v>
      </c>
      <c r="CJ137" s="636">
        <v>11.051117762000004</v>
      </c>
      <c r="CK137" s="636">
        <v>5.8786057999999999</v>
      </c>
      <c r="CL137" s="636">
        <v>0</v>
      </c>
      <c r="CM137" s="636">
        <v>0.42580800000000002</v>
      </c>
      <c r="CN137" s="642">
        <v>1.7056800000000001</v>
      </c>
      <c r="CO137" s="636">
        <v>7.3614853</v>
      </c>
      <c r="CP137" s="636">
        <v>5.961018546</v>
      </c>
      <c r="CQ137" s="639">
        <v>8.000386160999998</v>
      </c>
      <c r="CR137" s="639">
        <v>10.643767009999996</v>
      </c>
      <c r="CS137" s="639"/>
      <c r="CT137" s="651">
        <v>9.9110036994256152</v>
      </c>
      <c r="CU137" s="651">
        <v>10.781003699425614</v>
      </c>
      <c r="CV137" s="642">
        <v>9.9110036994256152</v>
      </c>
      <c r="CW137" s="636">
        <v>6.4271849513093384</v>
      </c>
      <c r="CX137" s="642">
        <v>10.281272973493124</v>
      </c>
      <c r="CY137" s="642">
        <v>11.553491280355543</v>
      </c>
      <c r="CZ137" s="642">
        <v>10.971024823205932</v>
      </c>
      <c r="DA137" s="642">
        <v>9.7066886507349537</v>
      </c>
      <c r="DB137" s="642">
        <v>10.971024823205932</v>
      </c>
      <c r="DC137" s="642">
        <v>9.591521123780316</v>
      </c>
      <c r="DD137" s="642">
        <v>14.136759292194323</v>
      </c>
      <c r="DE137" s="642">
        <v>9.591521123780316</v>
      </c>
      <c r="DF137" s="390">
        <f t="shared" si="7"/>
        <v>33.319801539754955</v>
      </c>
      <c r="DG137" s="639">
        <v>0</v>
      </c>
      <c r="DH137" s="639">
        <v>9.8058160000000001</v>
      </c>
      <c r="DI137" s="639">
        <v>10.4191</v>
      </c>
      <c r="DJ137" s="639">
        <v>10.89805275</v>
      </c>
      <c r="DK137" s="639">
        <v>5.7896999999999998</v>
      </c>
      <c r="DL137" s="639">
        <v>0</v>
      </c>
      <c r="DM137" s="639">
        <v>0</v>
      </c>
      <c r="DN137" s="639">
        <v>1.68</v>
      </c>
      <c r="DO137" s="639">
        <v>7.2349999999999994</v>
      </c>
      <c r="DP137" s="639">
        <v>5.0167700000000002</v>
      </c>
      <c r="DQ137" s="639">
        <v>9.6875</v>
      </c>
      <c r="DR137" s="640">
        <v>9.6875</v>
      </c>
      <c r="DS137" s="641"/>
      <c r="DT137" s="651">
        <v>2.1892933130454675E-2</v>
      </c>
      <c r="DU137" s="651">
        <v>6.9353743964968489E-2</v>
      </c>
      <c r="DV137" s="651">
        <v>-0.38330785851751492</v>
      </c>
      <c r="DW137" s="651">
        <v>-0.74910906491399476</v>
      </c>
      <c r="DX137" s="651">
        <v>-0.42725500974778685</v>
      </c>
      <c r="DY137" s="651">
        <v>0</v>
      </c>
      <c r="DZ137" s="651">
        <v>-0.13109713998234848</v>
      </c>
      <c r="EA137" s="651">
        <v>-0.52514224656439634</v>
      </c>
      <c r="EB137" s="651">
        <v>-2.2619898407103998</v>
      </c>
      <c r="EC137" s="651">
        <v>-1.5039111818246071</v>
      </c>
      <c r="ED137" s="651">
        <v>-1.9218830120437571</v>
      </c>
      <c r="EE137" s="651">
        <v>-2.4269401951703475</v>
      </c>
      <c r="EG137" s="651"/>
      <c r="EH137" s="651"/>
      <c r="EI137" s="651"/>
      <c r="EJ137" s="651"/>
      <c r="EK137" s="651"/>
      <c r="EL137" s="651"/>
      <c r="EM137" s="651"/>
      <c r="EN137" s="651"/>
      <c r="EO137" s="651"/>
      <c r="EP137" s="651"/>
      <c r="EQ137" s="651"/>
      <c r="ER137" s="651"/>
      <c r="ET137" s="651"/>
      <c r="EU137" s="651"/>
      <c r="EV137" s="651"/>
      <c r="EW137" s="651"/>
      <c r="EX137" s="651"/>
      <c r="EY137" s="651"/>
      <c r="EZ137" s="651"/>
      <c r="FA137" s="651"/>
      <c r="FB137" s="651"/>
      <c r="FC137" s="651"/>
      <c r="FD137" s="651"/>
      <c r="FE137" s="651"/>
      <c r="FG137" s="651"/>
      <c r="FH137" s="651"/>
      <c r="FI137" s="651"/>
      <c r="FJ137" s="651"/>
      <c r="FK137" s="651"/>
      <c r="FL137" s="651"/>
      <c r="FM137" s="651"/>
      <c r="FN137" s="651"/>
      <c r="FO137" s="651"/>
      <c r="FP137" s="651"/>
      <c r="FQ137" s="651"/>
      <c r="FR137" s="651"/>
      <c r="FT137" s="636">
        <v>14363.403000000004</v>
      </c>
      <c r="FU137" s="636">
        <v>17100</v>
      </c>
      <c r="FV137" s="636">
        <v>12432</v>
      </c>
      <c r="FW137" s="636">
        <v>-2736.5969999999979</v>
      </c>
      <c r="FX137" s="636"/>
      <c r="FY137" s="636">
        <v>83.647420928999992</v>
      </c>
      <c r="FZ137" s="636">
        <v>123.83350014033664</v>
      </c>
      <c r="GA137" s="636">
        <v>70.219438749999995</v>
      </c>
      <c r="GB137" s="651"/>
      <c r="GC137" s="636">
        <v>-29.946690338956898</v>
      </c>
      <c r="GD137" s="636">
        <v>-10.239388872379731</v>
      </c>
      <c r="GE137" s="636">
        <v>-3.0105165524999968</v>
      </c>
      <c r="GF137" s="651"/>
      <c r="GG137" s="651">
        <v>0</v>
      </c>
      <c r="GH137" s="651">
        <v>2025.9500000000012</v>
      </c>
      <c r="GI137" s="636">
        <v>1400</v>
      </c>
      <c r="GJ137" s="636">
        <v>2000</v>
      </c>
      <c r="GK137" s="636">
        <v>625.95000000000118</v>
      </c>
      <c r="GL137" s="636">
        <v>1.8194000000000043</v>
      </c>
      <c r="GM137" s="651">
        <v>10.643767009999996</v>
      </c>
      <c r="GN137" s="636">
        <v>9.591521123780316</v>
      </c>
      <c r="GO137" s="636">
        <v>9.6875</v>
      </c>
      <c r="GP137" s="636">
        <v>1.0522458862196797</v>
      </c>
      <c r="GQ137" s="636">
        <v>3.4791860813900275</v>
      </c>
      <c r="GR137" s="651">
        <v>-2.4269401951703475</v>
      </c>
      <c r="GS137" s="651">
        <v>-1.1851989999999937</v>
      </c>
      <c r="GT137" s="651">
        <v>2.14146600999999</v>
      </c>
      <c r="GU137" s="651">
        <v>-0.11610969268128085</v>
      </c>
      <c r="GX137" s="294"/>
    </row>
    <row r="138" spans="1:211" ht="12.75" customHeight="1">
      <c r="A138" s="213"/>
      <c r="D138" s="649" t="s">
        <v>159</v>
      </c>
      <c r="G138" s="208">
        <v>466.00100000000003</v>
      </c>
      <c r="H138" s="639">
        <v>453.67800000000005</v>
      </c>
      <c r="I138" s="639">
        <v>572.28800000000001</v>
      </c>
      <c r="J138" s="639">
        <v>273.46600000000001</v>
      </c>
      <c r="K138" s="639">
        <v>28.713999999999999</v>
      </c>
      <c r="L138" s="639">
        <v>145.88999999999999</v>
      </c>
      <c r="M138" s="639">
        <v>336.19</v>
      </c>
      <c r="N138" s="639">
        <v>293.89800000000008</v>
      </c>
      <c r="O138" s="639">
        <v>229.06300000000005</v>
      </c>
      <c r="P138" s="639">
        <v>245.46599999999998</v>
      </c>
      <c r="Q138" s="639">
        <v>390.99700000000007</v>
      </c>
      <c r="R138" s="639">
        <v>555.34700000000021</v>
      </c>
      <c r="S138" s="639"/>
      <c r="T138" s="639">
        <v>394.13803351495238</v>
      </c>
      <c r="U138" s="639">
        <v>567.84293583803412</v>
      </c>
      <c r="V138" s="639">
        <v>325.17145045330466</v>
      </c>
      <c r="W138" s="639">
        <v>560.51126560669297</v>
      </c>
      <c r="X138" s="639">
        <v>466.19229585476455</v>
      </c>
      <c r="Y138" s="639">
        <v>469.44050085886784</v>
      </c>
      <c r="Z138" s="639">
        <v>352.50788052685562</v>
      </c>
      <c r="AA138" s="639">
        <v>529.13610899396645</v>
      </c>
      <c r="AB138" s="639">
        <v>277.13691606130772</v>
      </c>
      <c r="AC138" s="639">
        <v>733.05880449338099</v>
      </c>
      <c r="AD138" s="639">
        <v>391.32576754879835</v>
      </c>
      <c r="AE138" s="639">
        <v>633.94204024907458</v>
      </c>
      <c r="AF138" s="639"/>
      <c r="AG138" s="639">
        <v>0</v>
      </c>
      <c r="AH138" s="639">
        <v>566.05399999999997</v>
      </c>
      <c r="AI138" s="639">
        <v>599.64679999999998</v>
      </c>
      <c r="AJ138" s="639">
        <v>227.13</v>
      </c>
      <c r="AK138" s="639">
        <v>27.02</v>
      </c>
      <c r="AL138" s="639">
        <v>115</v>
      </c>
      <c r="AM138" s="639">
        <v>305.88</v>
      </c>
      <c r="AN138" s="639">
        <v>187</v>
      </c>
      <c r="AO138" s="639">
        <v>250</v>
      </c>
      <c r="AP138" s="639">
        <v>371.28999999999996</v>
      </c>
      <c r="AQ138" s="639">
        <v>494.84000000000003</v>
      </c>
      <c r="AR138" s="639">
        <v>487.26700000000005</v>
      </c>
      <c r="CG138" s="636">
        <v>4.810180493999999</v>
      </c>
      <c r="CH138" s="636">
        <v>4.7841409509999986</v>
      </c>
      <c r="CI138" s="636">
        <v>4.4245627820000006</v>
      </c>
      <c r="CJ138" s="636">
        <v>2.5871144110000004</v>
      </c>
      <c r="CK138" s="636">
        <v>0.36451785600000003</v>
      </c>
      <c r="CL138" s="636">
        <v>1.1701554709999999</v>
      </c>
      <c r="CM138" s="636">
        <v>2.6603468120000016</v>
      </c>
      <c r="CN138" s="636">
        <v>2.7644119659999999</v>
      </c>
      <c r="CO138" s="636">
        <v>2.1116632380000002</v>
      </c>
      <c r="CP138" s="636">
        <v>2.628198866</v>
      </c>
      <c r="CQ138" s="636">
        <v>3.3788202639999994</v>
      </c>
      <c r="CR138" s="636">
        <v>4.0706823239999981</v>
      </c>
      <c r="CS138" s="639"/>
      <c r="CT138" s="636">
        <v>4.4017434781249758</v>
      </c>
      <c r="CU138" s="636">
        <v>5.6721760922237294</v>
      </c>
      <c r="CV138" s="636">
        <v>2.9415535757448947</v>
      </c>
      <c r="CW138" s="636">
        <v>4.8702825024942227</v>
      </c>
      <c r="CX138" s="636">
        <v>3.7401307249404532</v>
      </c>
      <c r="CY138" s="636">
        <v>4.0915019420269738</v>
      </c>
      <c r="CZ138" s="636">
        <v>3.1539535563045571</v>
      </c>
      <c r="DA138" s="636">
        <v>4.6085254600142402</v>
      </c>
      <c r="DB138" s="636">
        <v>2.6360172709532108</v>
      </c>
      <c r="DC138" s="636">
        <v>7.3644904381023348</v>
      </c>
      <c r="DD138" s="636">
        <v>5.0587949064155771</v>
      </c>
      <c r="DE138" s="636">
        <v>6.5001494415995662</v>
      </c>
      <c r="DF138" s="390">
        <f t="shared" si="7"/>
        <v>18.923434786117475</v>
      </c>
      <c r="DG138" s="639">
        <v>0</v>
      </c>
      <c r="DH138" s="639">
        <v>5.7479855921543397</v>
      </c>
      <c r="DI138" s="639">
        <v>4.920720298729889</v>
      </c>
      <c r="DJ138" s="639">
        <v>2.1086760577332111</v>
      </c>
      <c r="DK138" s="639">
        <v>0.3377368418965952</v>
      </c>
      <c r="DL138" s="639">
        <v>0.95300234761966929</v>
      </c>
      <c r="DM138" s="639">
        <v>2.4586093006768142</v>
      </c>
      <c r="DN138" s="639">
        <v>1.4723882149032721</v>
      </c>
      <c r="DO138" s="639">
        <v>2.1347141777637142</v>
      </c>
      <c r="DP138" s="639">
        <v>3.8960014666291047</v>
      </c>
      <c r="DQ138" s="639">
        <v>3.6303672438469561</v>
      </c>
      <c r="DR138" s="640">
        <v>3.4915983663575432</v>
      </c>
      <c r="DS138" s="641"/>
      <c r="DT138" s="636">
        <v>-0.13562833028565993</v>
      </c>
      <c r="DU138" s="636">
        <v>-0.23493902853810691</v>
      </c>
      <c r="DV138" s="636">
        <v>-0.45520103917663468</v>
      </c>
      <c r="DW138" s="636">
        <v>-0.22089525917256556</v>
      </c>
      <c r="DX138" s="636">
        <v>-2.065801213970744E-2</v>
      </c>
      <c r="DY138" s="636">
        <v>-7.8702516301970643E-2</v>
      </c>
      <c r="DZ138" s="636">
        <v>-0.13937911158570507</v>
      </c>
      <c r="EA138" s="636">
        <v>0.30923350393700155</v>
      </c>
      <c r="EB138" s="636">
        <v>0.18277226094883592</v>
      </c>
      <c r="EC138" s="636">
        <v>-0.11694401807691757</v>
      </c>
      <c r="ED138" s="636">
        <v>-0.13467477876511183</v>
      </c>
      <c r="EE138" s="636">
        <v>-1.2434283610989878</v>
      </c>
      <c r="EG138" s="636"/>
      <c r="EH138" s="636"/>
      <c r="EI138" s="636"/>
      <c r="EJ138" s="636"/>
      <c r="EK138" s="636"/>
      <c r="EL138" s="636"/>
      <c r="EM138" s="636"/>
      <c r="EN138" s="636"/>
      <c r="EO138" s="636"/>
      <c r="EP138" s="636"/>
      <c r="EQ138" s="636"/>
      <c r="ER138" s="636"/>
      <c r="ET138" s="636"/>
      <c r="EU138" s="636"/>
      <c r="EV138" s="636"/>
      <c r="EW138" s="636"/>
      <c r="EX138" s="636"/>
      <c r="EY138" s="636"/>
      <c r="EZ138" s="636"/>
      <c r="FA138" s="636"/>
      <c r="FB138" s="636"/>
      <c r="FC138" s="636"/>
      <c r="FD138" s="636"/>
      <c r="FE138" s="636"/>
      <c r="FG138" s="636"/>
      <c r="FH138" s="636"/>
      <c r="FI138" s="636"/>
      <c r="FJ138" s="636"/>
      <c r="FK138" s="636"/>
      <c r="FL138" s="636"/>
      <c r="FM138" s="636"/>
      <c r="FN138" s="636"/>
      <c r="FO138" s="636"/>
      <c r="FP138" s="636"/>
      <c r="FQ138" s="636"/>
      <c r="FR138" s="636"/>
      <c r="FT138" s="636">
        <v>3990.998</v>
      </c>
      <c r="FU138" s="636">
        <v>5700.4039999999995</v>
      </c>
      <c r="FV138" s="636">
        <v>3631.1277999999998</v>
      </c>
      <c r="FW138" s="636">
        <v>-1709.4059999999995</v>
      </c>
      <c r="FY138" s="636">
        <v>35.754795434999998</v>
      </c>
      <c r="FZ138" s="636">
        <v>55.221130654739163</v>
      </c>
      <c r="GA138" s="636">
        <v>31.151799908311112</v>
      </c>
      <c r="GB138" s="636"/>
      <c r="GC138" s="636">
        <v>-17.4997231369118</v>
      </c>
      <c r="GD138" s="636">
        <v>-1.9666120828273759</v>
      </c>
      <c r="GE138" s="636">
        <v>-0.95545138262186557</v>
      </c>
      <c r="GF138" s="636"/>
      <c r="GG138" s="636">
        <v>5.201719818078869E-2</v>
      </c>
      <c r="GH138" s="636">
        <v>555.34700000000021</v>
      </c>
      <c r="GI138" s="636">
        <v>633.94204024907458</v>
      </c>
      <c r="GJ138" s="636">
        <v>487.26700000000005</v>
      </c>
      <c r="GK138" s="636">
        <v>-78.595040249074358</v>
      </c>
      <c r="GL138" s="636">
        <v>7.4900957284537402</v>
      </c>
      <c r="GM138" s="636">
        <v>4.0706823239999981</v>
      </c>
      <c r="GN138" s="636">
        <v>6.5001494415995662</v>
      </c>
      <c r="GO138" s="636">
        <v>3.4915983663575432</v>
      </c>
      <c r="GP138" s="636">
        <v>-2.4294671175995677</v>
      </c>
      <c r="GQ138" s="636">
        <v>-1.3222606766605791</v>
      </c>
      <c r="GR138" s="636">
        <v>-1.1072064409389881</v>
      </c>
      <c r="GS138" s="636">
        <v>0.65483894949122179</v>
      </c>
      <c r="GT138" s="636">
        <v>-7.5754991848766065E-2</v>
      </c>
      <c r="GU138" s="636">
        <v>0.34545798631325264</v>
      </c>
      <c r="GX138" s="294"/>
    </row>
    <row r="139" spans="1:211" ht="12.75" customHeight="1">
      <c r="D139" s="649" t="s">
        <v>225</v>
      </c>
      <c r="G139" s="208">
        <v>10.373000000000001</v>
      </c>
      <c r="H139" s="639">
        <v>0</v>
      </c>
      <c r="I139" s="639">
        <v>18.72</v>
      </c>
      <c r="J139" s="639">
        <v>0</v>
      </c>
      <c r="K139" s="639">
        <v>37.44</v>
      </c>
      <c r="L139" s="639">
        <v>29.802</v>
      </c>
      <c r="M139" s="639">
        <v>46.295999999999999</v>
      </c>
      <c r="N139" s="639">
        <v>53.567999999999998</v>
      </c>
      <c r="O139" s="639">
        <v>23.05</v>
      </c>
      <c r="P139" s="639">
        <v>4.1100000000000003</v>
      </c>
      <c r="Q139" s="639">
        <v>0</v>
      </c>
      <c r="R139" s="639">
        <v>0</v>
      </c>
      <c r="S139" s="639"/>
      <c r="T139" s="639">
        <v>0</v>
      </c>
      <c r="U139" s="639">
        <v>0</v>
      </c>
      <c r="V139" s="639">
        <v>25</v>
      </c>
      <c r="W139" s="639">
        <v>25</v>
      </c>
      <c r="X139" s="639">
        <v>25</v>
      </c>
      <c r="Y139" s="639">
        <v>25</v>
      </c>
      <c r="Z139" s="639">
        <v>25</v>
      </c>
      <c r="AA139" s="639">
        <v>0</v>
      </c>
      <c r="AB139" s="639">
        <v>0</v>
      </c>
      <c r="AC139" s="639">
        <v>0</v>
      </c>
      <c r="AD139" s="639">
        <v>0</v>
      </c>
      <c r="AE139" s="639">
        <v>0</v>
      </c>
      <c r="AF139" s="639"/>
      <c r="AG139" s="639">
        <v>0</v>
      </c>
      <c r="AH139" s="639">
        <v>0</v>
      </c>
      <c r="AI139" s="639">
        <v>18.72</v>
      </c>
      <c r="AJ139" s="639">
        <v>29.439999999999998</v>
      </c>
      <c r="AK139" s="639">
        <v>29.419999999999998</v>
      </c>
      <c r="AL139" s="639">
        <v>47.7</v>
      </c>
      <c r="AM139" s="639">
        <v>40</v>
      </c>
      <c r="AN139" s="639">
        <v>43.203000000000003</v>
      </c>
      <c r="AO139" s="639">
        <v>0</v>
      </c>
      <c r="AP139" s="639">
        <v>0</v>
      </c>
      <c r="AQ139" s="639">
        <v>0</v>
      </c>
      <c r="AR139" s="639">
        <v>0</v>
      </c>
      <c r="AT139" s="639"/>
      <c r="AU139" s="639"/>
      <c r="AV139" s="639"/>
      <c r="AW139" s="639"/>
      <c r="AX139" s="639"/>
      <c r="AY139" s="639"/>
      <c r="AZ139" s="639"/>
      <c r="BA139" s="639"/>
      <c r="BB139" s="639"/>
      <c r="BC139" s="639"/>
      <c r="BD139" s="639"/>
      <c r="BE139" s="639"/>
      <c r="BF139" s="639"/>
      <c r="BG139" s="639"/>
      <c r="BH139" s="639"/>
      <c r="BI139" s="639"/>
      <c r="BJ139" s="639"/>
      <c r="BK139" s="639"/>
      <c r="BL139" s="639"/>
      <c r="BM139" s="639"/>
      <c r="BN139" s="639"/>
      <c r="BO139" s="639"/>
      <c r="BP139" s="639"/>
      <c r="BQ139" s="639"/>
      <c r="BR139" s="639"/>
      <c r="BS139" s="639"/>
      <c r="BT139" s="639"/>
      <c r="BU139" s="639"/>
      <c r="BV139" s="639"/>
      <c r="BW139" s="639"/>
      <c r="BX139" s="639"/>
      <c r="BY139" s="639"/>
      <c r="BZ139" s="639"/>
      <c r="CA139" s="639"/>
      <c r="CB139" s="639"/>
      <c r="CC139" s="639"/>
      <c r="CD139" s="639"/>
      <c r="CE139" s="639"/>
      <c r="CF139" s="639"/>
      <c r="CG139" s="636">
        <v>0.114251454</v>
      </c>
      <c r="CH139" s="642">
        <v>0</v>
      </c>
      <c r="CI139" s="642">
        <v>0.2025517</v>
      </c>
      <c r="CJ139" s="636">
        <v>0</v>
      </c>
      <c r="CK139" s="636">
        <v>0.40637220000000007</v>
      </c>
      <c r="CL139" s="636">
        <v>0.339077503</v>
      </c>
      <c r="CM139" s="636">
        <v>0.53906499600000002</v>
      </c>
      <c r="CN139" s="650">
        <v>0.58603670999999991</v>
      </c>
      <c r="CO139" s="636">
        <v>0.266216444</v>
      </c>
      <c r="CP139" s="636">
        <v>4.9148749999999998E-2</v>
      </c>
      <c r="CQ139" s="636">
        <v>0</v>
      </c>
      <c r="CR139" s="636">
        <v>0</v>
      </c>
      <c r="CS139" s="639"/>
      <c r="CT139" s="651">
        <v>0</v>
      </c>
      <c r="CU139" s="651">
        <v>0</v>
      </c>
      <c r="CV139" s="642">
        <v>0.32108794426651593</v>
      </c>
      <c r="CW139" s="636">
        <v>0.30410692112040016</v>
      </c>
      <c r="CX139" s="636">
        <v>0.32108794426651593</v>
      </c>
      <c r="CY139" s="636">
        <v>0.30410692112040016</v>
      </c>
      <c r="CZ139" s="636">
        <v>0.32108794426651593</v>
      </c>
      <c r="DA139" s="636">
        <v>0</v>
      </c>
      <c r="DB139" s="636">
        <v>0</v>
      </c>
      <c r="DC139" s="636">
        <v>0</v>
      </c>
      <c r="DD139" s="636">
        <v>0</v>
      </c>
      <c r="DE139" s="636">
        <v>0</v>
      </c>
      <c r="DF139" s="390">
        <f t="shared" si="7"/>
        <v>0</v>
      </c>
      <c r="DG139" s="639">
        <v>0</v>
      </c>
      <c r="DH139" s="639">
        <v>0</v>
      </c>
      <c r="DI139" s="639">
        <v>0.20255214978207231</v>
      </c>
      <c r="DJ139" s="639">
        <v>0.32062116253878081</v>
      </c>
      <c r="DK139" s="639">
        <v>0.33672750583910482</v>
      </c>
      <c r="DL139" s="639">
        <v>0.53966419478068761</v>
      </c>
      <c r="DM139" s="639">
        <v>0.45016203835529445</v>
      </c>
      <c r="DN139" s="639">
        <v>0.48159798938804244</v>
      </c>
      <c r="DO139" s="639">
        <v>0</v>
      </c>
      <c r="DP139" s="639">
        <v>0</v>
      </c>
      <c r="DQ139" s="639">
        <v>0</v>
      </c>
      <c r="DR139" s="639">
        <v>0</v>
      </c>
      <c r="DS139" s="641"/>
      <c r="DT139" s="651">
        <v>0</v>
      </c>
      <c r="DU139" s="651">
        <v>0</v>
      </c>
      <c r="DV139" s="651">
        <v>0</v>
      </c>
      <c r="DW139" s="651">
        <v>0</v>
      </c>
      <c r="DX139" s="651">
        <v>0</v>
      </c>
      <c r="DY139" s="651">
        <v>-2.1622098900917448E-2</v>
      </c>
      <c r="DZ139" s="651">
        <v>-2.6039808483044484E-2</v>
      </c>
      <c r="EA139" s="651">
        <v>0</v>
      </c>
      <c r="EB139" s="651">
        <v>0</v>
      </c>
      <c r="EC139" s="651">
        <v>0</v>
      </c>
      <c r="ED139" s="651">
        <v>0</v>
      </c>
      <c r="EE139" s="651">
        <v>0</v>
      </c>
      <c r="EG139" s="651"/>
      <c r="EH139" s="651"/>
      <c r="EI139" s="651"/>
      <c r="EJ139" s="651"/>
      <c r="EK139" s="651"/>
      <c r="EL139" s="651"/>
      <c r="EM139" s="651"/>
      <c r="EN139" s="651"/>
      <c r="EO139" s="651"/>
      <c r="EP139" s="651"/>
      <c r="EQ139" s="651"/>
      <c r="ER139" s="651"/>
      <c r="ET139" s="651"/>
      <c r="EU139" s="651"/>
      <c r="EV139" s="651"/>
      <c r="EW139" s="651"/>
      <c r="EX139" s="651"/>
      <c r="EY139" s="651"/>
      <c r="EZ139" s="651"/>
      <c r="FA139" s="651"/>
      <c r="FB139" s="651"/>
      <c r="FC139" s="651"/>
      <c r="FD139" s="651"/>
      <c r="FE139" s="651"/>
      <c r="FG139" s="651"/>
      <c r="FH139" s="651"/>
      <c r="FI139" s="651"/>
      <c r="FJ139" s="651"/>
      <c r="FK139" s="651"/>
      <c r="FL139" s="651"/>
      <c r="FM139" s="651"/>
      <c r="FN139" s="651"/>
      <c r="FO139" s="651"/>
      <c r="FP139" s="651"/>
      <c r="FQ139" s="651"/>
      <c r="FR139" s="651"/>
      <c r="FT139" s="651">
        <v>223.35900000000001</v>
      </c>
      <c r="FU139" s="651">
        <v>125</v>
      </c>
      <c r="FV139" s="651">
        <v>208.483</v>
      </c>
      <c r="FW139" s="651">
        <v>98.358999999999995</v>
      </c>
      <c r="FY139" s="651">
        <v>2.5027197569999999</v>
      </c>
      <c r="FZ139" s="651">
        <v>1.5714776750403481</v>
      </c>
      <c r="GA139" s="651">
        <v>2.3313250406839825</v>
      </c>
      <c r="GB139" s="651"/>
      <c r="GC139" s="651">
        <v>0.97890398934361389</v>
      </c>
      <c r="GD139" s="651">
        <v>-4.7661907383961935E-2</v>
      </c>
      <c r="GE139" s="651">
        <v>-0.33673220914943502</v>
      </c>
      <c r="GF139" s="651"/>
      <c r="GG139" s="651">
        <v>0</v>
      </c>
      <c r="GH139" s="651">
        <v>0</v>
      </c>
      <c r="GI139" s="651">
        <v>0</v>
      </c>
      <c r="GJ139" s="651">
        <v>0</v>
      </c>
      <c r="GK139" s="651">
        <v>0</v>
      </c>
      <c r="GL139" s="651">
        <v>0</v>
      </c>
      <c r="GM139" s="651">
        <v>0</v>
      </c>
      <c r="GN139" s="651">
        <v>0</v>
      </c>
      <c r="GO139" s="651">
        <v>0</v>
      </c>
      <c r="GP139" s="651">
        <v>0</v>
      </c>
      <c r="GQ139" s="651">
        <v>0</v>
      </c>
      <c r="GR139" s="651">
        <v>0</v>
      </c>
      <c r="GS139" s="651">
        <v>0</v>
      </c>
      <c r="GT139" s="651">
        <v>0</v>
      </c>
      <c r="GU139" s="651">
        <v>0</v>
      </c>
      <c r="GX139" s="294"/>
    </row>
    <row r="140" spans="1:211" ht="12.75" customHeight="1">
      <c r="A140" s="213"/>
      <c r="C140" s="652"/>
      <c r="D140" s="649" t="s">
        <v>338</v>
      </c>
      <c r="G140" s="208">
        <v>64.75</v>
      </c>
      <c r="H140" s="636">
        <v>60.070000000000007</v>
      </c>
      <c r="I140" s="636">
        <v>52.14</v>
      </c>
      <c r="J140" s="636">
        <v>65.19</v>
      </c>
      <c r="K140" s="636">
        <v>56.92</v>
      </c>
      <c r="L140" s="636">
        <v>33.480000000000004</v>
      </c>
      <c r="M140" s="636">
        <v>38.900000000000006</v>
      </c>
      <c r="N140" s="636">
        <v>20.13</v>
      </c>
      <c r="O140" s="636">
        <v>36.519999999999996</v>
      </c>
      <c r="P140" s="636">
        <v>37.896000000000008</v>
      </c>
      <c r="Q140" s="636">
        <v>57.989999999999995</v>
      </c>
      <c r="R140" s="636">
        <v>19.16</v>
      </c>
      <c r="S140" s="639"/>
      <c r="T140" s="636">
        <v>70</v>
      </c>
      <c r="U140" s="636">
        <v>110</v>
      </c>
      <c r="V140" s="636">
        <v>115</v>
      </c>
      <c r="W140" s="636">
        <v>110</v>
      </c>
      <c r="X140" s="636">
        <v>115</v>
      </c>
      <c r="Y140" s="636">
        <v>135</v>
      </c>
      <c r="Z140" s="636">
        <v>135</v>
      </c>
      <c r="AA140" s="636">
        <v>115</v>
      </c>
      <c r="AB140" s="636">
        <v>135</v>
      </c>
      <c r="AC140" s="636">
        <v>135</v>
      </c>
      <c r="AD140" s="636">
        <v>90</v>
      </c>
      <c r="AE140" s="636">
        <v>135</v>
      </c>
      <c r="AF140" s="636">
        <v>0</v>
      </c>
      <c r="AG140" s="636">
        <v>0</v>
      </c>
      <c r="AH140" s="636">
        <v>0</v>
      </c>
      <c r="AI140" s="636">
        <v>0</v>
      </c>
      <c r="AJ140" s="636">
        <v>0</v>
      </c>
      <c r="AK140" s="636">
        <v>0</v>
      </c>
      <c r="AL140" s="636">
        <v>0</v>
      </c>
      <c r="AM140" s="636">
        <v>0</v>
      </c>
      <c r="AN140" s="636">
        <v>0</v>
      </c>
      <c r="AO140" s="636">
        <v>0</v>
      </c>
      <c r="AP140" s="636">
        <v>0</v>
      </c>
      <c r="AQ140" s="636">
        <v>0</v>
      </c>
      <c r="AR140" s="636">
        <v>0</v>
      </c>
      <c r="AS140" s="636">
        <v>0</v>
      </c>
      <c r="AT140" s="636"/>
      <c r="AU140" s="636"/>
      <c r="AV140" s="636">
        <v>0</v>
      </c>
      <c r="AW140" s="636">
        <v>0</v>
      </c>
      <c r="AX140" s="636">
        <v>0</v>
      </c>
      <c r="AY140" s="636">
        <v>0</v>
      </c>
      <c r="AZ140" s="636">
        <v>0</v>
      </c>
      <c r="BA140" s="636">
        <v>0</v>
      </c>
      <c r="BB140" s="636">
        <v>0</v>
      </c>
      <c r="BC140" s="636">
        <v>0</v>
      </c>
      <c r="BD140" s="636">
        <v>0</v>
      </c>
      <c r="BE140" s="636">
        <v>0</v>
      </c>
      <c r="BF140" s="636"/>
      <c r="BG140" s="636"/>
      <c r="BH140" s="636"/>
      <c r="BI140" s="636"/>
      <c r="BJ140" s="636"/>
      <c r="BK140" s="636"/>
      <c r="BL140" s="636"/>
      <c r="BM140" s="636"/>
      <c r="BN140" s="636"/>
      <c r="BO140" s="636"/>
      <c r="BP140" s="636"/>
      <c r="BQ140" s="636"/>
      <c r="BR140" s="636"/>
      <c r="BS140" s="636"/>
      <c r="BT140" s="636"/>
      <c r="BU140" s="636"/>
      <c r="BV140" s="636"/>
      <c r="BW140" s="636"/>
      <c r="BX140" s="636"/>
      <c r="BY140" s="636"/>
      <c r="BZ140" s="636"/>
      <c r="CA140" s="636"/>
      <c r="CB140" s="636"/>
      <c r="CC140" s="636"/>
      <c r="CD140" s="636"/>
      <c r="CE140" s="636"/>
      <c r="CF140" s="636"/>
      <c r="CG140" s="636">
        <v>0.15041241799999999</v>
      </c>
      <c r="CH140" s="636">
        <v>0.15406867299999999</v>
      </c>
      <c r="CI140" s="636">
        <v>0.125341432</v>
      </c>
      <c r="CJ140" s="636">
        <v>0.17543999500000002</v>
      </c>
      <c r="CK140" s="636">
        <v>0.108089671</v>
      </c>
      <c r="CL140" s="636">
        <v>5.7724139999999993E-2</v>
      </c>
      <c r="CM140" s="636">
        <v>6.6064536000000007E-2</v>
      </c>
      <c r="CN140" s="636">
        <v>3.4943795999999999E-2</v>
      </c>
      <c r="CO140" s="636">
        <v>5.7568485000000003E-2</v>
      </c>
      <c r="CP140" s="636">
        <v>5.2286596000000005E-2</v>
      </c>
      <c r="CQ140" s="636">
        <v>6.9987957000000003E-2</v>
      </c>
      <c r="CR140" s="636">
        <v>2.2652217000000002E-2</v>
      </c>
      <c r="CS140" s="636"/>
      <c r="CT140" s="636">
        <v>0.19600000000000001</v>
      </c>
      <c r="CU140" s="636">
        <v>0.47800000000000004</v>
      </c>
      <c r="CV140" s="636">
        <v>0.308</v>
      </c>
      <c r="CW140" s="636">
        <v>0.49300000000000005</v>
      </c>
      <c r="CX140" s="636">
        <v>0.32800000000000001</v>
      </c>
      <c r="CY140" s="636">
        <v>0.54800000000000004</v>
      </c>
      <c r="CZ140" s="636">
        <v>0.54800000000000004</v>
      </c>
      <c r="DA140" s="636">
        <v>0.32800000000000001</v>
      </c>
      <c r="DB140" s="636">
        <v>0.54800000000000004</v>
      </c>
      <c r="DC140" s="636">
        <v>0.54800000000000004</v>
      </c>
      <c r="DD140" s="636">
        <v>0.42300000000000004</v>
      </c>
      <c r="DE140" s="636">
        <v>0.54800000000000004</v>
      </c>
      <c r="DF140" s="390">
        <f t="shared" si="7"/>
        <v>1.5190000000000001</v>
      </c>
      <c r="DG140" s="636">
        <v>0</v>
      </c>
      <c r="DH140" s="636">
        <v>0</v>
      </c>
      <c r="DI140" s="636">
        <v>0</v>
      </c>
      <c r="DJ140" s="636">
        <v>0</v>
      </c>
      <c r="DK140" s="636">
        <v>0</v>
      </c>
      <c r="DL140" s="636">
        <v>0</v>
      </c>
      <c r="DM140" s="636">
        <v>0</v>
      </c>
      <c r="DN140" s="636">
        <v>0</v>
      </c>
      <c r="DO140" s="636">
        <v>0</v>
      </c>
      <c r="DP140" s="636">
        <v>0</v>
      </c>
      <c r="DQ140" s="636">
        <v>0</v>
      </c>
      <c r="DR140" s="636">
        <v>0</v>
      </c>
      <c r="DS140" s="636">
        <v>0</v>
      </c>
      <c r="DT140" s="636">
        <v>-3.0887582E-2</v>
      </c>
      <c r="DU140" s="636">
        <v>-1.412732700000004E-2</v>
      </c>
      <c r="DV140" s="636">
        <v>-2.0650568000000008E-2</v>
      </c>
      <c r="DW140" s="636">
        <v>-1.3611004999999987E-2</v>
      </c>
      <c r="DX140" s="636">
        <v>-5.6978329000000015E-2</v>
      </c>
      <c r="DY140" s="636">
        <v>-3.9367860000000032E-2</v>
      </c>
      <c r="DZ140" s="636">
        <v>-4.6745464000000021E-2</v>
      </c>
      <c r="EA140" s="636">
        <v>-2.4441204000000001E-2</v>
      </c>
      <c r="EB140" s="636">
        <v>-4.8339514999999993E-2</v>
      </c>
      <c r="EC140" s="636">
        <v>-5.8125404000000033E-2</v>
      </c>
      <c r="ED140" s="636">
        <v>-9.8183042999999998E-2</v>
      </c>
      <c r="EE140" s="636">
        <v>-3.2911783E-2</v>
      </c>
      <c r="EF140" s="636">
        <v>0</v>
      </c>
      <c r="EG140" s="636"/>
      <c r="EH140" s="636"/>
      <c r="EI140" s="636"/>
      <c r="EJ140" s="636"/>
      <c r="EK140" s="636"/>
      <c r="EL140" s="636"/>
      <c r="EM140" s="636"/>
      <c r="EN140" s="636"/>
      <c r="EO140" s="636"/>
      <c r="EP140" s="636"/>
      <c r="EQ140" s="636"/>
      <c r="ER140" s="636"/>
      <c r="ES140" s="636"/>
      <c r="ET140" s="636"/>
      <c r="EU140" s="636"/>
      <c r="EV140" s="636"/>
      <c r="EW140" s="636"/>
      <c r="EX140" s="636"/>
      <c r="EY140" s="636"/>
      <c r="EZ140" s="636"/>
      <c r="FA140" s="636"/>
      <c r="FB140" s="636"/>
      <c r="FC140" s="636"/>
      <c r="FD140" s="636"/>
      <c r="FE140" s="636"/>
      <c r="FF140" s="636"/>
      <c r="FG140" s="636"/>
      <c r="FH140" s="636"/>
      <c r="FI140" s="636"/>
      <c r="FJ140" s="636"/>
      <c r="FK140" s="636"/>
      <c r="FL140" s="636"/>
      <c r="FM140" s="636"/>
      <c r="FN140" s="636"/>
      <c r="FO140" s="636"/>
      <c r="FP140" s="636"/>
      <c r="FQ140" s="636"/>
      <c r="FR140" s="636"/>
      <c r="FT140" s="636">
        <v>543.14599999999996</v>
      </c>
      <c r="FU140" s="636">
        <v>1400</v>
      </c>
      <c r="FV140" s="636">
        <v>0</v>
      </c>
      <c r="FW140" s="636">
        <v>-856.85400000000004</v>
      </c>
      <c r="FY140" s="636">
        <v>1.0745799160000002</v>
      </c>
      <c r="FZ140" s="636">
        <v>5.2939999999999996</v>
      </c>
      <c r="GA140" s="636">
        <v>0</v>
      </c>
      <c r="GB140" s="636"/>
      <c r="GC140" s="636">
        <v>-3.7350510000000003</v>
      </c>
      <c r="GD140" s="636">
        <v>-0.48436908400000001</v>
      </c>
      <c r="GE140" s="636">
        <v>0</v>
      </c>
      <c r="GF140" s="636"/>
      <c r="GG140" s="636">
        <v>0</v>
      </c>
      <c r="GH140" s="636">
        <v>19.16</v>
      </c>
      <c r="GI140" s="636">
        <v>135</v>
      </c>
      <c r="GJ140" s="636">
        <v>0</v>
      </c>
      <c r="GK140" s="636">
        <v>-115.84</v>
      </c>
      <c r="GL140" s="636">
        <v>-0.8580740740740741</v>
      </c>
      <c r="GM140" s="636">
        <v>2.2652217000000002E-2</v>
      </c>
      <c r="GN140" s="636">
        <v>0.54800000000000004</v>
      </c>
      <c r="GO140" s="636">
        <v>0</v>
      </c>
      <c r="GP140" s="636">
        <v>-0.52534778300000007</v>
      </c>
      <c r="GQ140" s="636">
        <v>-0.49243599999999998</v>
      </c>
      <c r="GR140" s="636">
        <v>-3.2911783E-2</v>
      </c>
      <c r="GS140" s="636">
        <v>0</v>
      </c>
      <c r="GT140" s="636">
        <v>2.2652217000000006E-2</v>
      </c>
      <c r="GU140" s="636">
        <v>0</v>
      </c>
      <c r="GX140" s="294"/>
    </row>
    <row r="141" spans="1:211" ht="12.75" customHeight="1">
      <c r="A141" s="213"/>
      <c r="C141" s="652"/>
      <c r="D141" s="649" t="s">
        <v>68</v>
      </c>
      <c r="G141" s="208">
        <v>29.102460000000001</v>
      </c>
      <c r="H141" s="636">
        <v>41.104219999999998</v>
      </c>
      <c r="I141" s="636">
        <v>55.796400000000006</v>
      </c>
      <c r="J141" s="636">
        <v>41.644380000000005</v>
      </c>
      <c r="K141" s="636">
        <v>23.02824</v>
      </c>
      <c r="L141" s="636">
        <v>46.735299999999995</v>
      </c>
      <c r="M141" s="636">
        <v>54.647900000000007</v>
      </c>
      <c r="N141" s="636">
        <v>56.083660000000002</v>
      </c>
      <c r="O141" s="636">
        <v>86.908600000000007</v>
      </c>
      <c r="P141" s="636">
        <v>65.324160000000006</v>
      </c>
      <c r="Q141" s="636">
        <v>63.204859999999996</v>
      </c>
      <c r="R141" s="636">
        <v>53.646140000000003</v>
      </c>
      <c r="S141" s="639"/>
      <c r="T141" s="636">
        <v>30.317899999999998</v>
      </c>
      <c r="U141" s="636">
        <v>30.192499999999999</v>
      </c>
      <c r="V141" s="636">
        <v>29.892499999999998</v>
      </c>
      <c r="W141" s="636">
        <v>30.052499999999998</v>
      </c>
      <c r="X141" s="636">
        <v>29.892499999999998</v>
      </c>
      <c r="Y141" s="636">
        <v>30.252499999999998</v>
      </c>
      <c r="Z141" s="636">
        <v>34.575833333333335</v>
      </c>
      <c r="AA141" s="636">
        <v>34.545833333333334</v>
      </c>
      <c r="AB141" s="636">
        <v>34.545833333333334</v>
      </c>
      <c r="AC141" s="636">
        <v>34.545833333333334</v>
      </c>
      <c r="AD141" s="636">
        <v>34.545833333333334</v>
      </c>
      <c r="AE141" s="636">
        <v>34.545833333333334</v>
      </c>
      <c r="AF141" s="636">
        <v>0</v>
      </c>
      <c r="AG141" s="636">
        <v>0</v>
      </c>
      <c r="AH141" s="636">
        <v>57.192169999999997</v>
      </c>
      <c r="AI141" s="636">
        <v>56.930639999999997</v>
      </c>
      <c r="AJ141" s="636">
        <v>45.510559999999998</v>
      </c>
      <c r="AK141" s="636">
        <v>20.4816</v>
      </c>
      <c r="AL141" s="636">
        <v>40.779519999999998</v>
      </c>
      <c r="AM141" s="636">
        <v>72.518879999999996</v>
      </c>
      <c r="AN141" s="636">
        <v>69.055520000000001</v>
      </c>
      <c r="AO141" s="636">
        <v>69.116990000000001</v>
      </c>
      <c r="AP141" s="636">
        <v>77.587680000000006</v>
      </c>
      <c r="AQ141" s="636">
        <v>76.604420000000005</v>
      </c>
      <c r="AR141" s="636">
        <v>47.217200000000005</v>
      </c>
      <c r="AS141" s="653"/>
      <c r="AT141" s="636"/>
      <c r="AU141" s="636"/>
      <c r="AV141" s="636">
        <v>5.5155838871325029</v>
      </c>
      <c r="AW141" s="636">
        <v>6.1114990954361659</v>
      </c>
      <c r="AX141" s="636">
        <v>9.5857355056226634</v>
      </c>
      <c r="AY141" s="636">
        <v>7.0052527019191055</v>
      </c>
      <c r="AZ141" s="636">
        <v>7.5735149529991075</v>
      </c>
      <c r="BA141" s="636">
        <v>5.5749665981143162</v>
      </c>
      <c r="BB141" s="636">
        <v>5.2770620099736947</v>
      </c>
      <c r="BC141" s="636">
        <v>7.0159162000705368</v>
      </c>
      <c r="BD141" s="636">
        <v>5.8400453161354999</v>
      </c>
      <c r="BE141" s="636">
        <v>6.92622887313048</v>
      </c>
      <c r="BF141" s="636"/>
      <c r="BG141" s="636"/>
      <c r="BH141" s="636"/>
      <c r="BI141" s="636"/>
      <c r="BJ141" s="636"/>
      <c r="BK141" s="636"/>
      <c r="BL141" s="636"/>
      <c r="BM141" s="636"/>
      <c r="BN141" s="636"/>
      <c r="BO141" s="636"/>
      <c r="BP141" s="636"/>
      <c r="BQ141" s="636"/>
      <c r="BR141" s="636"/>
      <c r="BS141" s="636"/>
      <c r="BT141" s="636"/>
      <c r="BU141" s="636"/>
      <c r="BV141" s="636"/>
      <c r="BW141" s="636"/>
      <c r="BX141" s="636"/>
      <c r="BY141" s="636"/>
      <c r="BZ141" s="636"/>
      <c r="CA141" s="636"/>
      <c r="CB141" s="636"/>
      <c r="CC141" s="636"/>
      <c r="CD141" s="636"/>
      <c r="CE141" s="636"/>
      <c r="CF141" s="636"/>
      <c r="CG141" s="636">
        <v>1.7644339499999999</v>
      </c>
      <c r="CH141" s="636">
        <v>2.5425282380000001</v>
      </c>
      <c r="CI141" s="636">
        <v>3.0774972480000002</v>
      </c>
      <c r="CJ141" s="636">
        <v>2.5450959069999999</v>
      </c>
      <c r="CK141" s="636">
        <v>2.2074261780000004</v>
      </c>
      <c r="CL141" s="636">
        <v>3.2739258659999995</v>
      </c>
      <c r="CM141" s="636">
        <v>4.1387668780000002</v>
      </c>
      <c r="CN141" s="636">
        <v>3.126645312</v>
      </c>
      <c r="CO141" s="636">
        <v>4.5862207139999995</v>
      </c>
      <c r="CP141" s="636">
        <v>4.5830883239999984</v>
      </c>
      <c r="CQ141" s="636">
        <v>3.6911924660000004</v>
      </c>
      <c r="CR141" s="636">
        <v>3.7156544379999996</v>
      </c>
      <c r="CS141" s="636"/>
      <c r="CT141" s="636">
        <v>3.5773349064423203</v>
      </c>
      <c r="CU141" s="636">
        <v>2.1053816480724525</v>
      </c>
      <c r="CV141" s="636">
        <v>1.9722591541783299</v>
      </c>
      <c r="CW141" s="636">
        <v>2.0696526246392497</v>
      </c>
      <c r="CX141" s="636">
        <v>1.9722591541783299</v>
      </c>
      <c r="CY141" s="636">
        <v>2.1479572498305388</v>
      </c>
      <c r="CZ141" s="636">
        <v>3.0852195396459692</v>
      </c>
      <c r="DA141" s="636">
        <v>3.071907290256557</v>
      </c>
      <c r="DB141" s="636">
        <v>3.071907290256557</v>
      </c>
      <c r="DC141" s="636">
        <v>3.071907290256557</v>
      </c>
      <c r="DD141" s="636">
        <v>3.071907290256557</v>
      </c>
      <c r="DE141" s="636">
        <v>3.071907290256557</v>
      </c>
      <c r="DF141" s="390">
        <f t="shared" si="7"/>
        <v>9.21572187076967</v>
      </c>
      <c r="DG141" s="636">
        <v>0</v>
      </c>
      <c r="DH141" s="636">
        <v>3.3788487639850446</v>
      </c>
      <c r="DI141" s="636">
        <v>3.310284071758625</v>
      </c>
      <c r="DJ141" s="636">
        <v>2.4712659159993748</v>
      </c>
      <c r="DK141" s="636">
        <v>2.2770429790899906</v>
      </c>
      <c r="DL141" s="636">
        <v>3.4066172244357982</v>
      </c>
      <c r="DM141" s="636">
        <v>4.6114907968890222</v>
      </c>
      <c r="DN141" s="636">
        <v>3.6244528853718645</v>
      </c>
      <c r="DO141" s="636">
        <v>4.9183373186295665</v>
      </c>
      <c r="DP141" s="636">
        <v>5.8151071543029147</v>
      </c>
      <c r="DQ141" s="636">
        <v>5.1343767076850675</v>
      </c>
      <c r="DR141" s="636">
        <v>2.8531403921449376</v>
      </c>
      <c r="DS141" s="636">
        <v>0</v>
      </c>
      <c r="DT141" s="636">
        <v>-0.26312223714611399</v>
      </c>
      <c r="DU141" s="636">
        <v>-2.1919533745399622E-2</v>
      </c>
      <c r="DV141" s="636">
        <v>-0.63278281167893202</v>
      </c>
      <c r="DW141" s="636">
        <v>-0.38190844847959454</v>
      </c>
      <c r="DX141" s="636">
        <v>-0.71603970580372356</v>
      </c>
      <c r="DY141" s="636">
        <v>-0.51704309804214843</v>
      </c>
      <c r="DZ141" s="636">
        <v>-0.61664192955862707</v>
      </c>
      <c r="EA141" s="636">
        <v>-0.94712309265693062</v>
      </c>
      <c r="EB141" s="636">
        <v>-0.54356268349456582</v>
      </c>
      <c r="EC141" s="636">
        <v>-0.51152474300086559</v>
      </c>
      <c r="ED141" s="636">
        <v>-1.1618666180422612</v>
      </c>
      <c r="EE141" s="636">
        <v>-0.28869671132126984</v>
      </c>
      <c r="EF141" s="636">
        <v>0</v>
      </c>
      <c r="EG141" s="636"/>
      <c r="EH141" s="636"/>
      <c r="EI141" s="636"/>
      <c r="EJ141" s="636"/>
      <c r="EK141" s="636"/>
      <c r="EL141" s="636"/>
      <c r="EM141" s="636"/>
      <c r="EN141" s="636"/>
      <c r="EO141" s="636"/>
      <c r="EP141" s="636"/>
      <c r="EQ141" s="636"/>
      <c r="ER141" s="636"/>
      <c r="ES141" s="636"/>
      <c r="ET141" s="636"/>
      <c r="EU141" s="636"/>
      <c r="EV141" s="636"/>
      <c r="EW141" s="636"/>
      <c r="EX141" s="636"/>
      <c r="EY141" s="636"/>
      <c r="EZ141" s="636"/>
      <c r="FA141" s="636"/>
      <c r="FB141" s="636"/>
      <c r="FC141" s="636"/>
      <c r="FD141" s="636"/>
      <c r="FE141" s="636"/>
      <c r="FF141" s="636"/>
      <c r="FG141" s="636"/>
      <c r="FH141" s="636"/>
      <c r="FI141" s="636"/>
      <c r="FJ141" s="636"/>
      <c r="FK141" s="636"/>
      <c r="FL141" s="636"/>
      <c r="FM141" s="636"/>
      <c r="FN141" s="636"/>
      <c r="FO141" s="636"/>
      <c r="FP141" s="636"/>
      <c r="FQ141" s="636"/>
      <c r="FR141" s="636"/>
      <c r="FT141" s="636">
        <v>617.2263200000001</v>
      </c>
      <c r="FU141" s="636">
        <v>387.90539999999993</v>
      </c>
      <c r="FV141" s="636">
        <v>632.99518</v>
      </c>
      <c r="FW141" s="636">
        <v>229.32092000000014</v>
      </c>
      <c r="FY141" s="636">
        <v>39.252475519000001</v>
      </c>
      <c r="FZ141" s="636">
        <v>32.289600728269981</v>
      </c>
      <c r="GA141" s="636">
        <v>41.800964210292207</v>
      </c>
      <c r="GB141" s="636"/>
      <c r="GC141" s="636">
        <v>13.565106403700451</v>
      </c>
      <c r="GD141" s="636">
        <v>-6.6022316129704297</v>
      </c>
      <c r="GE141" s="636">
        <v>-3.2500274844984842</v>
      </c>
      <c r="GF141" s="636"/>
      <c r="GG141" s="636">
        <v>0</v>
      </c>
      <c r="GH141" s="636">
        <v>53.646140000000003</v>
      </c>
      <c r="GI141" s="636">
        <v>34.545833333333334</v>
      </c>
      <c r="GJ141" s="636">
        <v>47.217200000000005</v>
      </c>
      <c r="GK141" s="636">
        <v>19.100306666666672</v>
      </c>
      <c r="GL141" s="636">
        <v>0.66961325835189078</v>
      </c>
      <c r="GM141" s="636">
        <v>3.7156544379999996</v>
      </c>
      <c r="GN141" s="636">
        <v>3.071907290256557</v>
      </c>
      <c r="GO141" s="636">
        <v>2.8531403921449376</v>
      </c>
      <c r="GP141" s="636">
        <v>0.64374714774344266</v>
      </c>
      <c r="GQ141" s="636">
        <v>0.93244385906471283</v>
      </c>
      <c r="GR141" s="636">
        <v>-0.28869671132126984</v>
      </c>
      <c r="GS141" s="636">
        <v>0.38108680012730783</v>
      </c>
      <c r="GT141" s="636">
        <v>0.48142724572775436</v>
      </c>
      <c r="GU141" s="636">
        <v>3.667116311411428E-6</v>
      </c>
      <c r="GX141" s="294"/>
    </row>
    <row r="142" spans="1:211" ht="12.75" customHeight="1">
      <c r="A142" s="213"/>
      <c r="D142" s="649" t="s">
        <v>230</v>
      </c>
      <c r="G142" s="636">
        <v>0</v>
      </c>
      <c r="H142" s="636">
        <v>0</v>
      </c>
      <c r="I142" s="636">
        <v>0</v>
      </c>
      <c r="J142" s="636">
        <v>0</v>
      </c>
      <c r="K142" s="636">
        <v>0</v>
      </c>
      <c r="L142" s="636">
        <v>0</v>
      </c>
      <c r="M142" s="636">
        <v>0</v>
      </c>
      <c r="N142" s="636">
        <v>0</v>
      </c>
      <c r="O142" s="636">
        <v>0</v>
      </c>
      <c r="P142" s="636">
        <v>0</v>
      </c>
      <c r="Q142" s="636">
        <v>0</v>
      </c>
      <c r="R142" s="636">
        <v>0</v>
      </c>
      <c r="S142" s="453"/>
      <c r="T142" s="639">
        <v>0</v>
      </c>
      <c r="U142" s="639">
        <v>0</v>
      </c>
      <c r="V142" s="639">
        <v>0</v>
      </c>
      <c r="W142" s="639">
        <v>0</v>
      </c>
      <c r="X142" s="639">
        <v>0</v>
      </c>
      <c r="Y142" s="639">
        <v>0</v>
      </c>
      <c r="Z142" s="639">
        <v>0</v>
      </c>
      <c r="AA142" s="639">
        <v>0</v>
      </c>
      <c r="AB142" s="639">
        <v>0</v>
      </c>
      <c r="AC142" s="639">
        <v>0</v>
      </c>
      <c r="AD142" s="639">
        <v>0</v>
      </c>
      <c r="AE142" s="639">
        <v>0</v>
      </c>
      <c r="AF142" s="639">
        <v>0</v>
      </c>
      <c r="AG142" s="639">
        <v>0</v>
      </c>
      <c r="AH142" s="639">
        <v>0</v>
      </c>
      <c r="AI142" s="639">
        <v>0</v>
      </c>
      <c r="AJ142" s="639">
        <v>0</v>
      </c>
      <c r="AK142" s="639">
        <v>0</v>
      </c>
      <c r="AL142" s="639">
        <v>0</v>
      </c>
      <c r="AM142" s="639">
        <v>0</v>
      </c>
      <c r="AN142" s="639">
        <v>0</v>
      </c>
      <c r="AO142" s="639">
        <v>0</v>
      </c>
      <c r="AP142" s="639">
        <v>0</v>
      </c>
      <c r="AQ142" s="639">
        <v>0</v>
      </c>
      <c r="AR142" s="639">
        <v>0</v>
      </c>
      <c r="AS142" s="639">
        <v>0</v>
      </c>
      <c r="AT142" s="639"/>
      <c r="AU142" s="639"/>
      <c r="AV142" s="639">
        <v>0</v>
      </c>
      <c r="AW142" s="639">
        <v>0</v>
      </c>
      <c r="AX142" s="639">
        <v>0</v>
      </c>
      <c r="AY142" s="639">
        <v>0</v>
      </c>
      <c r="AZ142" s="639">
        <v>0</v>
      </c>
      <c r="BA142" s="639">
        <v>0</v>
      </c>
      <c r="BB142" s="639">
        <v>0</v>
      </c>
      <c r="BC142" s="639">
        <v>0</v>
      </c>
      <c r="BD142" s="639">
        <v>0</v>
      </c>
      <c r="BE142" s="639">
        <v>0</v>
      </c>
      <c r="BF142" s="639">
        <v>0</v>
      </c>
      <c r="BG142" s="639">
        <v>0</v>
      </c>
      <c r="BH142" s="639">
        <v>0</v>
      </c>
      <c r="BI142" s="639">
        <v>0</v>
      </c>
      <c r="BJ142" s="639">
        <v>0</v>
      </c>
      <c r="BK142" s="639">
        <v>0</v>
      </c>
      <c r="BL142" s="639">
        <v>0</v>
      </c>
      <c r="BM142" s="639">
        <v>0</v>
      </c>
      <c r="BN142" s="639">
        <v>0</v>
      </c>
      <c r="BO142" s="639">
        <v>0</v>
      </c>
      <c r="BP142" s="639">
        <v>0</v>
      </c>
      <c r="BQ142" s="639">
        <v>0</v>
      </c>
      <c r="BR142" s="639">
        <v>0</v>
      </c>
      <c r="BS142" s="639">
        <v>0</v>
      </c>
      <c r="BT142" s="639">
        <v>0</v>
      </c>
      <c r="BU142" s="639">
        <v>0</v>
      </c>
      <c r="BV142" s="639">
        <v>0</v>
      </c>
      <c r="BW142" s="639">
        <v>0</v>
      </c>
      <c r="BX142" s="639">
        <v>0</v>
      </c>
      <c r="BY142" s="639">
        <v>0</v>
      </c>
      <c r="BZ142" s="639">
        <v>0</v>
      </c>
      <c r="CA142" s="639">
        <v>0</v>
      </c>
      <c r="CB142" s="639">
        <v>0</v>
      </c>
      <c r="CC142" s="639">
        <v>0</v>
      </c>
      <c r="CD142" s="639">
        <v>0</v>
      </c>
      <c r="CE142" s="639">
        <v>0</v>
      </c>
      <c r="CF142" s="639">
        <v>0</v>
      </c>
      <c r="CG142" s="639">
        <v>0</v>
      </c>
      <c r="CH142" s="639">
        <v>0</v>
      </c>
      <c r="CI142" s="639">
        <v>0</v>
      </c>
      <c r="CJ142" s="639">
        <v>0</v>
      </c>
      <c r="CK142" s="639">
        <v>0</v>
      </c>
      <c r="CL142" s="639">
        <v>0</v>
      </c>
      <c r="CM142" s="639">
        <v>0</v>
      </c>
      <c r="CN142" s="639">
        <v>0</v>
      </c>
      <c r="CO142" s="639">
        <v>0</v>
      </c>
      <c r="CP142" s="639">
        <v>0</v>
      </c>
      <c r="CQ142" s="639">
        <v>0</v>
      </c>
      <c r="CR142" s="639">
        <v>0</v>
      </c>
      <c r="CS142" s="639"/>
      <c r="CT142" s="639">
        <v>0</v>
      </c>
      <c r="CU142" s="639">
        <v>0</v>
      </c>
      <c r="CV142" s="639">
        <v>0</v>
      </c>
      <c r="CW142" s="639">
        <v>0</v>
      </c>
      <c r="CX142" s="639">
        <v>0</v>
      </c>
      <c r="CY142" s="639">
        <v>0</v>
      </c>
      <c r="CZ142" s="639">
        <v>0</v>
      </c>
      <c r="DA142" s="639">
        <v>0</v>
      </c>
      <c r="DB142" s="639">
        <v>0</v>
      </c>
      <c r="DC142" s="639">
        <v>0</v>
      </c>
      <c r="DD142" s="639">
        <v>0</v>
      </c>
      <c r="DE142" s="639">
        <v>0</v>
      </c>
      <c r="DF142" s="390">
        <f t="shared" si="7"/>
        <v>0</v>
      </c>
      <c r="DG142" s="639">
        <v>0</v>
      </c>
      <c r="DH142" s="639">
        <v>0</v>
      </c>
      <c r="DI142" s="639">
        <v>0</v>
      </c>
      <c r="DJ142" s="639">
        <v>0</v>
      </c>
      <c r="DK142" s="639">
        <v>0</v>
      </c>
      <c r="DL142" s="639">
        <v>0</v>
      </c>
      <c r="DM142" s="639">
        <v>0</v>
      </c>
      <c r="DN142" s="639">
        <v>0</v>
      </c>
      <c r="DO142" s="639">
        <v>0</v>
      </c>
      <c r="DP142" s="639">
        <v>0</v>
      </c>
      <c r="DQ142" s="639">
        <v>0</v>
      </c>
      <c r="DR142" s="639">
        <v>0</v>
      </c>
      <c r="DS142" s="639">
        <v>0</v>
      </c>
      <c r="DT142" s="639">
        <v>0</v>
      </c>
      <c r="DU142" s="639">
        <v>0</v>
      </c>
      <c r="DV142" s="639">
        <v>0</v>
      </c>
      <c r="DW142" s="639">
        <v>0</v>
      </c>
      <c r="DX142" s="639">
        <v>0</v>
      </c>
      <c r="DY142" s="639">
        <v>0</v>
      </c>
      <c r="DZ142" s="639">
        <v>0</v>
      </c>
      <c r="EA142" s="639">
        <v>0</v>
      </c>
      <c r="EB142" s="639">
        <v>0</v>
      </c>
      <c r="EC142" s="639">
        <v>0</v>
      </c>
      <c r="ED142" s="639">
        <v>0</v>
      </c>
      <c r="EE142" s="639">
        <v>0</v>
      </c>
      <c r="EF142" s="639">
        <v>0</v>
      </c>
      <c r="EG142" s="639">
        <v>0</v>
      </c>
      <c r="EH142" s="639">
        <v>0</v>
      </c>
      <c r="EI142" s="639">
        <v>0</v>
      </c>
      <c r="EJ142" s="639">
        <v>0</v>
      </c>
      <c r="EK142" s="639">
        <v>0</v>
      </c>
      <c r="EL142" s="639">
        <v>0</v>
      </c>
      <c r="EM142" s="639">
        <v>0</v>
      </c>
      <c r="EN142" s="639">
        <v>0</v>
      </c>
      <c r="EO142" s="639">
        <v>0</v>
      </c>
      <c r="EP142" s="639">
        <v>0</v>
      </c>
      <c r="EQ142" s="639">
        <v>0</v>
      </c>
      <c r="ER142" s="639">
        <v>0</v>
      </c>
      <c r="ES142" s="639">
        <v>0</v>
      </c>
      <c r="ET142" s="639">
        <v>0</v>
      </c>
      <c r="EU142" s="639">
        <v>0</v>
      </c>
      <c r="EV142" s="639">
        <v>0</v>
      </c>
      <c r="EW142" s="639">
        <v>0</v>
      </c>
      <c r="EX142" s="639">
        <v>0</v>
      </c>
      <c r="EY142" s="639">
        <v>0</v>
      </c>
      <c r="EZ142" s="639">
        <v>0</v>
      </c>
      <c r="FA142" s="639">
        <v>0</v>
      </c>
      <c r="FB142" s="639">
        <v>0</v>
      </c>
      <c r="FC142" s="639">
        <v>0</v>
      </c>
      <c r="FD142" s="639">
        <v>0</v>
      </c>
      <c r="FE142" s="639">
        <v>0</v>
      </c>
      <c r="FF142" s="639">
        <v>0</v>
      </c>
      <c r="FG142" s="639">
        <v>0</v>
      </c>
      <c r="FH142" s="639">
        <v>0</v>
      </c>
      <c r="FI142" s="639">
        <v>0</v>
      </c>
      <c r="FJ142" s="639">
        <v>0</v>
      </c>
      <c r="FK142" s="639">
        <v>0</v>
      </c>
      <c r="FL142" s="639">
        <v>0</v>
      </c>
      <c r="FM142" s="639">
        <v>0</v>
      </c>
      <c r="FN142" s="639">
        <v>0</v>
      </c>
      <c r="FO142" s="639">
        <v>0</v>
      </c>
      <c r="FP142" s="639">
        <v>0</v>
      </c>
      <c r="FQ142" s="639">
        <v>0</v>
      </c>
      <c r="FR142" s="639">
        <v>0</v>
      </c>
      <c r="FS142" s="639">
        <v>0</v>
      </c>
      <c r="FT142" s="639">
        <v>0</v>
      </c>
      <c r="FU142" s="639">
        <v>0</v>
      </c>
      <c r="FV142" s="639">
        <v>0</v>
      </c>
      <c r="FW142" s="639">
        <v>0</v>
      </c>
      <c r="FX142" s="639"/>
      <c r="FY142" s="639">
        <v>0</v>
      </c>
      <c r="FZ142" s="639">
        <v>0</v>
      </c>
      <c r="GA142" s="639">
        <v>0</v>
      </c>
      <c r="GB142" s="639"/>
      <c r="GC142" s="639">
        <v>0</v>
      </c>
      <c r="GD142" s="639">
        <v>0</v>
      </c>
      <c r="GE142" s="639">
        <v>0</v>
      </c>
      <c r="GF142" s="639"/>
      <c r="GG142" s="639">
        <v>0</v>
      </c>
      <c r="GH142" s="639">
        <v>0</v>
      </c>
      <c r="GI142" s="639">
        <v>0</v>
      </c>
      <c r="GJ142" s="639">
        <v>0</v>
      </c>
      <c r="GK142" s="639">
        <v>0</v>
      </c>
      <c r="GL142" s="639">
        <v>0</v>
      </c>
      <c r="GM142" s="639">
        <v>0</v>
      </c>
      <c r="GN142" s="639">
        <v>0</v>
      </c>
      <c r="GO142" s="639">
        <v>0</v>
      </c>
      <c r="GP142" s="639">
        <v>0</v>
      </c>
      <c r="GQ142" s="639">
        <v>0</v>
      </c>
      <c r="GR142" s="639">
        <v>0</v>
      </c>
      <c r="GS142" s="639">
        <v>0</v>
      </c>
      <c r="GT142" s="639">
        <v>0</v>
      </c>
      <c r="GU142" s="651">
        <v>0</v>
      </c>
      <c r="GX142" s="294"/>
    </row>
    <row r="143" spans="1:211" ht="12.75" customHeight="1">
      <c r="A143" s="213"/>
      <c r="D143" s="649" t="s">
        <v>347</v>
      </c>
      <c r="G143" s="636">
        <v>0</v>
      </c>
      <c r="H143" s="636">
        <v>0</v>
      </c>
      <c r="I143" s="636">
        <v>0</v>
      </c>
      <c r="J143" s="636">
        <v>0</v>
      </c>
      <c r="K143" s="636">
        <v>0</v>
      </c>
      <c r="L143" s="636">
        <v>0</v>
      </c>
      <c r="M143" s="636">
        <v>0</v>
      </c>
      <c r="N143" s="636">
        <v>0</v>
      </c>
      <c r="O143" s="636">
        <v>0</v>
      </c>
      <c r="P143" s="636">
        <v>0</v>
      </c>
      <c r="Q143" s="636">
        <v>0</v>
      </c>
      <c r="R143" s="636">
        <v>0</v>
      </c>
      <c r="S143" s="453">
        <v>0</v>
      </c>
      <c r="T143" s="639">
        <v>0</v>
      </c>
      <c r="U143" s="639">
        <v>0</v>
      </c>
      <c r="V143" s="639">
        <v>0</v>
      </c>
      <c r="W143" s="639">
        <v>0</v>
      </c>
      <c r="X143" s="639">
        <v>0</v>
      </c>
      <c r="Y143" s="639">
        <v>0</v>
      </c>
      <c r="Z143" s="639">
        <v>0</v>
      </c>
      <c r="AA143" s="639">
        <v>0</v>
      </c>
      <c r="AB143" s="639">
        <v>0</v>
      </c>
      <c r="AC143" s="639">
        <v>0</v>
      </c>
      <c r="AD143" s="639">
        <v>0</v>
      </c>
      <c r="AE143" s="639">
        <v>0</v>
      </c>
      <c r="AF143" s="639">
        <v>0</v>
      </c>
      <c r="AG143" s="639">
        <v>0</v>
      </c>
      <c r="AH143" s="639">
        <v>0</v>
      </c>
      <c r="AI143" s="639">
        <v>0</v>
      </c>
      <c r="AJ143" s="639">
        <v>0</v>
      </c>
      <c r="AK143" s="639">
        <v>0</v>
      </c>
      <c r="AL143" s="639">
        <v>0</v>
      </c>
      <c r="AM143" s="639">
        <v>0</v>
      </c>
      <c r="AN143" s="639">
        <v>0</v>
      </c>
      <c r="AO143" s="639">
        <v>0</v>
      </c>
      <c r="AP143" s="639">
        <v>0</v>
      </c>
      <c r="AQ143" s="639">
        <v>0</v>
      </c>
      <c r="AR143" s="639">
        <v>0</v>
      </c>
      <c r="AS143" s="639"/>
      <c r="AT143" s="639"/>
      <c r="AU143" s="639"/>
      <c r="AV143" s="639"/>
      <c r="AW143" s="639"/>
      <c r="AX143" s="639"/>
      <c r="AY143" s="639"/>
      <c r="AZ143" s="639"/>
      <c r="BA143" s="639"/>
      <c r="BB143" s="639"/>
      <c r="BC143" s="639"/>
      <c r="BD143" s="639"/>
      <c r="BE143" s="639"/>
      <c r="BF143" s="639"/>
      <c r="BG143" s="639"/>
      <c r="BH143" s="639"/>
      <c r="BI143" s="639"/>
      <c r="BJ143" s="639"/>
      <c r="BK143" s="639"/>
      <c r="BL143" s="639"/>
      <c r="BM143" s="639"/>
      <c r="BN143" s="639"/>
      <c r="BO143" s="639"/>
      <c r="BP143" s="639"/>
      <c r="BQ143" s="639"/>
      <c r="BR143" s="639"/>
      <c r="BS143" s="639"/>
      <c r="BT143" s="639"/>
      <c r="BU143" s="639"/>
      <c r="BV143" s="639"/>
      <c r="BW143" s="639"/>
      <c r="BX143" s="639"/>
      <c r="BY143" s="639"/>
      <c r="BZ143" s="639"/>
      <c r="CA143" s="639"/>
      <c r="CB143" s="639"/>
      <c r="CC143" s="639"/>
      <c r="CD143" s="639"/>
      <c r="CE143" s="639"/>
      <c r="CF143" s="639"/>
      <c r="CG143" s="639">
        <v>-3.7145574999999986E-2</v>
      </c>
      <c r="CH143" s="639">
        <v>-0.139716638</v>
      </c>
      <c r="CI143" s="639">
        <v>-5.7338873000000012E-2</v>
      </c>
      <c r="CJ143" s="639">
        <v>-2.4753300000000006E-2</v>
      </c>
      <c r="CK143" s="639">
        <v>-2.7406972000000002E-2</v>
      </c>
      <c r="CL143" s="639">
        <v>3.383543700000001E-2</v>
      </c>
      <c r="CM143" s="639">
        <v>1.370270798</v>
      </c>
      <c r="CN143" s="639">
        <v>-6.0995280999999998E-2</v>
      </c>
      <c r="CO143" s="639">
        <v>2.8056942000000001E-2</v>
      </c>
      <c r="CP143" s="639">
        <v>1.1340840779999999</v>
      </c>
      <c r="CQ143" s="639">
        <v>0.17509167599999997</v>
      </c>
      <c r="CR143" s="639">
        <v>-0.69058006199999988</v>
      </c>
      <c r="CS143" s="639"/>
      <c r="CT143" s="639">
        <v>5.3079032722641174E-2</v>
      </c>
      <c r="CU143" s="639">
        <v>5.3079032722641174E-2</v>
      </c>
      <c r="CV143" s="639">
        <v>5.3079032722641174E-2</v>
      </c>
      <c r="CW143" s="639">
        <v>5.3079032722641174E-2</v>
      </c>
      <c r="CX143" s="639">
        <v>5.3079032722641174E-2</v>
      </c>
      <c r="CY143" s="639">
        <v>5.3079032722641174E-2</v>
      </c>
      <c r="CZ143" s="639">
        <v>5.3079032722641174E-2</v>
      </c>
      <c r="DA143" s="639">
        <v>5.3079032722641174E-2</v>
      </c>
      <c r="DB143" s="639">
        <v>5.3079032722641174E-2</v>
      </c>
      <c r="DC143" s="639">
        <v>5.3079032722641174E-2</v>
      </c>
      <c r="DD143" s="639">
        <v>5.3079032722641174E-2</v>
      </c>
      <c r="DE143" s="639">
        <v>5.3079032722641174E-2</v>
      </c>
      <c r="DF143" s="390">
        <f t="shared" si="7"/>
        <v>0.15923709816792353</v>
      </c>
      <c r="DG143" s="639">
        <v>0</v>
      </c>
      <c r="DH143" s="639">
        <v>3.5304889296077724E-2</v>
      </c>
      <c r="DI143" s="639">
        <v>-2.1283547741852024E-2</v>
      </c>
      <c r="DJ143" s="639">
        <v>-9.3176240751850353E-3</v>
      </c>
      <c r="DK143" s="639">
        <v>-2.5281616666666697E-2</v>
      </c>
      <c r="DL143" s="639">
        <v>-3.9088983333333299E-2</v>
      </c>
      <c r="DM143" s="639">
        <v>-4.7824133333333303E-2</v>
      </c>
      <c r="DN143" s="639">
        <v>-0.10439058347499999</v>
      </c>
      <c r="DO143" s="639">
        <v>-0.27568797499999997</v>
      </c>
      <c r="DP143" s="639">
        <v>-9.5570000000000002E-2</v>
      </c>
      <c r="DQ143" s="639">
        <v>0</v>
      </c>
      <c r="DR143" s="639">
        <v>0</v>
      </c>
      <c r="DS143" s="639">
        <v>0</v>
      </c>
      <c r="DT143" s="639"/>
      <c r="DU143" s="639"/>
      <c r="DV143" s="639"/>
      <c r="DW143" s="639"/>
      <c r="DX143" s="639"/>
      <c r="DY143" s="639"/>
      <c r="DZ143" s="639"/>
      <c r="EA143" s="639"/>
      <c r="EB143" s="639"/>
      <c r="EC143" s="639"/>
      <c r="ED143" s="639"/>
      <c r="EE143" s="639"/>
      <c r="EF143" s="639"/>
      <c r="EG143" s="639"/>
      <c r="EH143" s="639"/>
      <c r="EI143" s="639"/>
      <c r="EJ143" s="639"/>
      <c r="EK143" s="639"/>
      <c r="EL143" s="639"/>
      <c r="EM143" s="639"/>
      <c r="EN143" s="639"/>
      <c r="EO143" s="639"/>
      <c r="EP143" s="639"/>
      <c r="EQ143" s="639"/>
      <c r="ER143" s="639"/>
      <c r="ES143" s="639"/>
      <c r="ET143" s="639"/>
      <c r="EU143" s="639"/>
      <c r="EV143" s="639"/>
      <c r="EW143" s="639"/>
      <c r="EX143" s="639"/>
      <c r="EY143" s="639"/>
      <c r="EZ143" s="639"/>
      <c r="FA143" s="639"/>
      <c r="FB143" s="639"/>
      <c r="FC143" s="639"/>
      <c r="FD143" s="639"/>
      <c r="FE143" s="639"/>
      <c r="FF143" s="639"/>
      <c r="FG143" s="639"/>
      <c r="FH143" s="639"/>
      <c r="FI143" s="639"/>
      <c r="FJ143" s="639"/>
      <c r="FK143" s="639"/>
      <c r="FL143" s="639"/>
      <c r="FM143" s="639"/>
      <c r="FN143" s="639"/>
      <c r="FO143" s="639"/>
      <c r="FP143" s="639"/>
      <c r="FQ143" s="639"/>
      <c r="FR143" s="639"/>
      <c r="FS143" s="639"/>
      <c r="FT143" s="639">
        <v>0</v>
      </c>
      <c r="FU143" s="639">
        <v>0</v>
      </c>
      <c r="FV143" s="639">
        <v>0</v>
      </c>
      <c r="FW143" s="639">
        <v>0</v>
      </c>
      <c r="FX143" s="639"/>
      <c r="FY143" s="639">
        <v>1.7034022299999996</v>
      </c>
      <c r="FZ143" s="639">
        <v>0.63694839267169412</v>
      </c>
      <c r="GA143" s="639">
        <v>-0.58313957432929264</v>
      </c>
      <c r="GB143" s="639"/>
      <c r="GC143" s="639">
        <v>0</v>
      </c>
      <c r="GD143" s="639">
        <v>0</v>
      </c>
      <c r="GE143" s="639">
        <v>0</v>
      </c>
      <c r="GF143" s="639"/>
      <c r="GG143" s="639">
        <v>0</v>
      </c>
      <c r="GH143" s="639">
        <v>0</v>
      </c>
      <c r="GI143" s="639">
        <v>0</v>
      </c>
      <c r="GJ143" s="639">
        <v>0</v>
      </c>
      <c r="GK143" s="639">
        <v>0</v>
      </c>
      <c r="GL143" s="639">
        <v>0</v>
      </c>
      <c r="GM143" s="639">
        <v>-0.69058006199999988</v>
      </c>
      <c r="GN143" s="639">
        <v>5.3079032722641174E-2</v>
      </c>
      <c r="GO143" s="639">
        <v>0</v>
      </c>
      <c r="GP143" s="639">
        <v>-0.74365909472264113</v>
      </c>
      <c r="GQ143" s="639">
        <v>0</v>
      </c>
      <c r="GR143" s="639"/>
      <c r="GS143" s="639"/>
      <c r="GT143" s="639"/>
      <c r="GU143" s="651"/>
      <c r="GX143" s="294"/>
    </row>
    <row r="144" spans="1:211" ht="12.75" customHeight="1">
      <c r="A144" s="213"/>
      <c r="D144" s="649" t="s">
        <v>348</v>
      </c>
      <c r="G144" s="639">
        <v>3648.2724600000006</v>
      </c>
      <c r="H144" s="639">
        <v>3892.9412200000002</v>
      </c>
      <c r="I144" s="639">
        <v>3870.2993999999999</v>
      </c>
      <c r="J144" s="639">
        <v>3737.0333799999999</v>
      </c>
      <c r="K144" s="639">
        <v>2837.3192399999998</v>
      </c>
      <c r="L144" s="639">
        <v>1257.6682999999998</v>
      </c>
      <c r="M144" s="639">
        <v>1630.4129</v>
      </c>
      <c r="N144" s="639">
        <v>1597.8906600000003</v>
      </c>
      <c r="O144" s="639">
        <v>2948.472600000001</v>
      </c>
      <c r="P144" s="639">
        <v>2745.3017599999998</v>
      </c>
      <c r="Q144" s="639">
        <v>3273.6688599999998</v>
      </c>
      <c r="R144" s="639">
        <v>4059.6271400000014</v>
      </c>
      <c r="S144" s="639">
        <v>1880.5626587962529</v>
      </c>
      <c r="T144" s="639">
        <v>3283.932389642725</v>
      </c>
      <c r="U144" s="639">
        <v>4233.3874212634664</v>
      </c>
      <c r="V144" s="639">
        <v>3603.0400464720597</v>
      </c>
      <c r="W144" s="639">
        <v>3526.7256860425896</v>
      </c>
      <c r="X144" s="639">
        <v>3690.3653922420235</v>
      </c>
      <c r="Y144" s="639">
        <v>3729.6139387137237</v>
      </c>
      <c r="Z144" s="639">
        <v>3427.3081278687141</v>
      </c>
      <c r="AA144" s="639">
        <v>3303.1398338435811</v>
      </c>
      <c r="AB144" s="639">
        <v>3327.5066613279919</v>
      </c>
      <c r="AC144" s="639">
        <v>3973.20864577165</v>
      </c>
      <c r="AD144" s="639">
        <v>3486.8869939198771</v>
      </c>
      <c r="AE144" s="639">
        <v>3530.164548605886</v>
      </c>
      <c r="AF144" s="639">
        <v>0</v>
      </c>
      <c r="AG144" s="639">
        <v>0</v>
      </c>
      <c r="AH144" s="639">
        <v>3911.2919699999998</v>
      </c>
      <c r="AI144" s="639">
        <v>4270.0669999999991</v>
      </c>
      <c r="AJ144" s="639">
        <v>3787.3825600000005</v>
      </c>
      <c r="AK144" s="639">
        <v>2726.6150000000002</v>
      </c>
      <c r="AL144" s="639">
        <v>1473.9587199999996</v>
      </c>
      <c r="AM144" s="639">
        <v>1626.6915800000002</v>
      </c>
      <c r="AN144" s="639">
        <v>1513.577397</v>
      </c>
      <c r="AO144" s="639">
        <v>2872.3839899999998</v>
      </c>
      <c r="AP144" s="639">
        <v>2616.5783799999999</v>
      </c>
      <c r="AQ144" s="639">
        <v>3425.5323200000003</v>
      </c>
      <c r="AR144" s="639">
        <v>3964.3819000000003</v>
      </c>
      <c r="CG144" s="636">
        <v>34.818498506999994</v>
      </c>
      <c r="CH144" s="636">
        <v>40.151701881999998</v>
      </c>
      <c r="CI144" s="636">
        <v>39.625102595000001</v>
      </c>
      <c r="CJ144" s="636">
        <v>38.950457884999999</v>
      </c>
      <c r="CK144" s="636">
        <v>30.276833351999997</v>
      </c>
      <c r="CL144" s="636">
        <v>19.392590700000003</v>
      </c>
      <c r="CM144" s="636">
        <v>24.697700056000002</v>
      </c>
      <c r="CN144" s="636">
        <v>19.767383192</v>
      </c>
      <c r="CO144" s="636">
        <v>29.980878108999999</v>
      </c>
      <c r="CP144" s="636">
        <v>29.248688479999998</v>
      </c>
      <c r="CQ144" s="636">
        <v>25.930335182999997</v>
      </c>
      <c r="CR144" s="636">
        <v>34.929680404999992</v>
      </c>
      <c r="CS144" s="642"/>
      <c r="CT144" s="636">
        <v>34.272805319720362</v>
      </c>
      <c r="CU144" s="636">
        <v>42.808113859867788</v>
      </c>
      <c r="CV144" s="636">
        <v>35.712987777980835</v>
      </c>
      <c r="CW144" s="636">
        <v>37.564560604006175</v>
      </c>
      <c r="CX144" s="636">
        <v>37.159261164280394</v>
      </c>
      <c r="CY144" s="636">
        <v>38.821030872001636</v>
      </c>
      <c r="CZ144" s="636">
        <v>36.160309545590373</v>
      </c>
      <c r="DA144" s="636">
        <v>36.987845964146551</v>
      </c>
      <c r="DB144" s="636">
        <v>35.257472539528116</v>
      </c>
      <c r="DC144" s="636">
        <v>41.753351483990635</v>
      </c>
      <c r="DD144" s="636">
        <v>38.080566647551045</v>
      </c>
      <c r="DE144" s="636">
        <v>37.079814339112296</v>
      </c>
      <c r="DF144" s="390">
        <f t="shared" si="7"/>
        <v>116.91373247065397</v>
      </c>
      <c r="DG144" s="636">
        <v>0</v>
      </c>
      <c r="DH144" s="636">
        <v>43.439824024905398</v>
      </c>
      <c r="DI144" s="636">
        <v>45.312508110769691</v>
      </c>
      <c r="DJ144" s="636">
        <v>40.876031169898006</v>
      </c>
      <c r="DK144" s="636">
        <v>29.817158061114796</v>
      </c>
      <c r="DL144" s="636">
        <v>22.934915570406851</v>
      </c>
      <c r="DM144" s="636">
        <v>24.95380831994353</v>
      </c>
      <c r="DN144" s="636">
        <v>19.586959034906169</v>
      </c>
      <c r="DO144" s="636">
        <v>29.844842261210292</v>
      </c>
      <c r="DP144" s="636">
        <v>29.267517472238932</v>
      </c>
      <c r="DQ144" s="636">
        <v>29.153936526423944</v>
      </c>
      <c r="DR144" s="636">
        <v>34.816093067145324</v>
      </c>
      <c r="DS144" s="209">
        <v>0</v>
      </c>
      <c r="DT144" s="654">
        <v>0.48397381790218058</v>
      </c>
      <c r="DU144" s="654">
        <v>1.2176758510456769</v>
      </c>
      <c r="DV144" s="654">
        <v>0.12231558472823101</v>
      </c>
      <c r="DW144" s="654">
        <v>-2.6794482226686178E-2</v>
      </c>
      <c r="DX144" s="654">
        <v>-0.19831396943589918</v>
      </c>
      <c r="DY144" s="654">
        <v>0.75125999639158736</v>
      </c>
      <c r="DZ144" s="654">
        <v>0.87055592538881621</v>
      </c>
      <c r="EA144" s="654">
        <v>0.7512672997207982</v>
      </c>
      <c r="EB144" s="654">
        <v>-0.91597636362283552</v>
      </c>
      <c r="EC144" s="654">
        <v>-0.57069200032608514</v>
      </c>
      <c r="ED144" s="654">
        <v>-1.2256554572467573</v>
      </c>
      <c r="EE144" s="654">
        <v>-2.3224113873217247</v>
      </c>
      <c r="EG144" s="654"/>
      <c r="EH144" s="654"/>
      <c r="EI144" s="654"/>
      <c r="EJ144" s="654"/>
      <c r="EK144" s="654"/>
      <c r="EL144" s="654"/>
      <c r="EM144" s="654"/>
      <c r="EN144" s="654"/>
      <c r="EO144" s="654"/>
      <c r="EP144" s="654"/>
      <c r="EQ144" s="654"/>
      <c r="ER144" s="654"/>
      <c r="ET144" s="654"/>
      <c r="EU144" s="654"/>
      <c r="EV144" s="654"/>
      <c r="EW144" s="654"/>
      <c r="EX144" s="654"/>
      <c r="EY144" s="654"/>
      <c r="EZ144" s="654"/>
      <c r="FA144" s="654"/>
      <c r="FB144" s="654"/>
      <c r="FC144" s="654"/>
      <c r="FD144" s="654"/>
      <c r="FE144" s="654"/>
      <c r="FG144" s="654"/>
      <c r="FH144" s="654"/>
      <c r="FI144" s="654"/>
      <c r="FJ144" s="654"/>
      <c r="FK144" s="654"/>
      <c r="FL144" s="654"/>
      <c r="FM144" s="654"/>
      <c r="FN144" s="654"/>
      <c r="FO144" s="654"/>
      <c r="FP144" s="654"/>
      <c r="FQ144" s="654"/>
      <c r="FR144" s="654"/>
      <c r="FT144" s="654">
        <v>35498.907920000005</v>
      </c>
      <c r="FU144" s="654">
        <v>43115.279685714289</v>
      </c>
      <c r="FV144" s="654">
        <v>32188.460816999999</v>
      </c>
      <c r="FW144" s="654">
        <v>-7616.3717657142834</v>
      </c>
      <c r="FY144" s="654">
        <v>367.76985034600006</v>
      </c>
      <c r="FZ144" s="654">
        <v>451.83993138357062</v>
      </c>
      <c r="GA144" s="654">
        <v>350.00359361896284</v>
      </c>
      <c r="GB144" s="654"/>
      <c r="GC144" s="654">
        <v>-79.487434001779491</v>
      </c>
      <c r="GD144" s="654">
        <v>-5.6492540611193638</v>
      </c>
      <c r="GE144" s="654">
        <v>-29.562102230184049</v>
      </c>
      <c r="GF144" s="654"/>
      <c r="GG144" s="654">
        <v>5.1864010180795714E-2</v>
      </c>
      <c r="GH144" s="654">
        <v>3768.6851400000014</v>
      </c>
      <c r="GI144" s="654">
        <v>3530.164548605886</v>
      </c>
      <c r="GJ144" s="654">
        <v>3964.3819000000003</v>
      </c>
      <c r="GK144" s="654">
        <v>529.46259139411507</v>
      </c>
      <c r="GL144" s="654">
        <v>15.390340924413547</v>
      </c>
      <c r="GM144" s="654">
        <v>34.929680404999992</v>
      </c>
      <c r="GN144" s="654">
        <v>37.079814339112296</v>
      </c>
      <c r="GO144" s="654">
        <v>34.816093067145324</v>
      </c>
      <c r="GP144" s="654">
        <v>-2.1501339341122927</v>
      </c>
      <c r="GQ144" s="654">
        <v>1.2046332592533444</v>
      </c>
      <c r="GR144" s="654">
        <v>-2.611108098642994</v>
      </c>
      <c r="GS144" s="654"/>
      <c r="GT144" s="654"/>
      <c r="GU144" s="654">
        <v>1.3532828836048845</v>
      </c>
      <c r="GX144" s="294"/>
    </row>
    <row r="145" spans="1:206" s="214" customFormat="1" ht="12.75" customHeight="1">
      <c r="B145" s="645"/>
      <c r="C145" s="646"/>
      <c r="D145" s="647" t="s">
        <v>349</v>
      </c>
      <c r="E145" s="648"/>
      <c r="F145" s="636"/>
      <c r="G145" s="636">
        <v>0</v>
      </c>
      <c r="H145" s="636">
        <v>0</v>
      </c>
      <c r="I145" s="636">
        <v>0</v>
      </c>
      <c r="J145" s="636">
        <v>0</v>
      </c>
      <c r="K145" s="636">
        <v>0</v>
      </c>
      <c r="L145" s="636">
        <v>0</v>
      </c>
      <c r="M145" s="636">
        <v>0</v>
      </c>
      <c r="N145" s="636">
        <v>0</v>
      </c>
      <c r="O145" s="636">
        <v>0</v>
      </c>
      <c r="P145" s="636">
        <v>0</v>
      </c>
      <c r="Q145" s="636">
        <v>0</v>
      </c>
      <c r="R145" s="636">
        <v>0</v>
      </c>
      <c r="S145" s="636"/>
      <c r="T145" s="636">
        <v>0</v>
      </c>
      <c r="U145" s="636">
        <v>0</v>
      </c>
      <c r="V145" s="636">
        <v>0</v>
      </c>
      <c r="W145" s="636">
        <v>0</v>
      </c>
      <c r="X145" s="636">
        <v>0</v>
      </c>
      <c r="Y145" s="636">
        <v>0</v>
      </c>
      <c r="Z145" s="636">
        <v>0</v>
      </c>
      <c r="AA145" s="636">
        <v>0</v>
      </c>
      <c r="AB145" s="636">
        <v>0</v>
      </c>
      <c r="AC145" s="636">
        <v>0</v>
      </c>
      <c r="AD145" s="636">
        <v>0</v>
      </c>
      <c r="AE145" s="636">
        <v>0</v>
      </c>
      <c r="AF145" s="636"/>
      <c r="AG145" s="636">
        <v>0</v>
      </c>
      <c r="AH145" s="636">
        <v>0</v>
      </c>
      <c r="AI145" s="636">
        <v>0</v>
      </c>
      <c r="AJ145" s="636">
        <v>0</v>
      </c>
      <c r="AK145" s="636">
        <v>0</v>
      </c>
      <c r="AL145" s="636">
        <v>0</v>
      </c>
      <c r="AM145" s="636">
        <v>0</v>
      </c>
      <c r="AN145" s="636">
        <v>0</v>
      </c>
      <c r="AO145" s="636">
        <v>0</v>
      </c>
      <c r="AP145" s="636">
        <v>0</v>
      </c>
      <c r="AQ145" s="636">
        <v>0</v>
      </c>
      <c r="AR145" s="636">
        <v>0</v>
      </c>
      <c r="AS145" s="345"/>
      <c r="AT145" s="636"/>
      <c r="AU145" s="636"/>
      <c r="AV145" s="636"/>
      <c r="AW145" s="636"/>
      <c r="AX145" s="636"/>
      <c r="AY145" s="636"/>
      <c r="AZ145" s="636"/>
      <c r="BA145" s="636"/>
      <c r="BB145" s="636"/>
      <c r="BC145" s="636"/>
      <c r="BD145" s="636"/>
      <c r="BE145" s="636"/>
      <c r="BF145" s="453"/>
      <c r="BG145" s="636"/>
      <c r="BH145" s="636"/>
      <c r="BI145" s="636"/>
      <c r="BJ145" s="636"/>
      <c r="BK145" s="636"/>
      <c r="BL145" s="636"/>
      <c r="BM145" s="636"/>
      <c r="BN145" s="636"/>
      <c r="BO145" s="636"/>
      <c r="BP145" s="636"/>
      <c r="BQ145" s="636"/>
      <c r="BR145" s="636"/>
      <c r="BS145" s="453"/>
      <c r="BT145" s="636"/>
      <c r="BU145" s="636"/>
      <c r="BV145" s="636"/>
      <c r="BW145" s="636"/>
      <c r="BX145" s="636"/>
      <c r="BY145" s="636"/>
      <c r="BZ145" s="636"/>
      <c r="CA145" s="636"/>
      <c r="CB145" s="636"/>
      <c r="CC145" s="636"/>
      <c r="CD145" s="636"/>
      <c r="CE145" s="636"/>
      <c r="CF145" s="453"/>
      <c r="CG145" s="636">
        <v>0</v>
      </c>
      <c r="CH145" s="636">
        <v>0</v>
      </c>
      <c r="CI145" s="636">
        <v>0</v>
      </c>
      <c r="CJ145" s="636">
        <v>0</v>
      </c>
      <c r="CK145" s="636">
        <v>0</v>
      </c>
      <c r="CL145" s="636">
        <v>0</v>
      </c>
      <c r="CM145" s="636">
        <v>0</v>
      </c>
      <c r="CN145" s="636">
        <v>0</v>
      </c>
      <c r="CO145" s="636">
        <v>0</v>
      </c>
      <c r="CP145" s="636">
        <v>0</v>
      </c>
      <c r="CQ145" s="636">
        <v>0</v>
      </c>
      <c r="CR145" s="636">
        <v>0</v>
      </c>
      <c r="CS145" s="636"/>
      <c r="CT145" s="651">
        <v>0</v>
      </c>
      <c r="CU145" s="651">
        <v>0</v>
      </c>
      <c r="CV145" s="636">
        <v>0</v>
      </c>
      <c r="CW145" s="636">
        <v>0</v>
      </c>
      <c r="CX145" s="636">
        <v>0.18181126579442974</v>
      </c>
      <c r="CY145" s="636">
        <v>0</v>
      </c>
      <c r="CZ145" s="636">
        <v>0</v>
      </c>
      <c r="DA145" s="636">
        <v>0</v>
      </c>
      <c r="DB145" s="636">
        <v>0</v>
      </c>
      <c r="DC145" s="636">
        <v>0</v>
      </c>
      <c r="DD145" s="636">
        <v>0</v>
      </c>
      <c r="DE145" s="636">
        <v>0</v>
      </c>
      <c r="DF145" s="390">
        <f t="shared" si="7"/>
        <v>0</v>
      </c>
      <c r="DG145" s="636">
        <v>0</v>
      </c>
      <c r="DH145" s="636">
        <v>0</v>
      </c>
      <c r="DI145" s="636">
        <v>0</v>
      </c>
      <c r="DJ145" s="636">
        <v>0</v>
      </c>
      <c r="DK145" s="636">
        <v>0</v>
      </c>
      <c r="DL145" s="636">
        <v>0</v>
      </c>
      <c r="DM145" s="636">
        <v>0</v>
      </c>
      <c r="DN145" s="636">
        <v>0</v>
      </c>
      <c r="DO145" s="636">
        <v>0</v>
      </c>
      <c r="DP145" s="636">
        <v>0</v>
      </c>
      <c r="DQ145" s="636">
        <v>0</v>
      </c>
      <c r="DR145" s="453">
        <v>0</v>
      </c>
      <c r="DS145" s="453"/>
      <c r="DT145" s="651">
        <v>0.26362042560619919</v>
      </c>
      <c r="DU145" s="651">
        <v>0.48665169648791307</v>
      </c>
      <c r="DV145" s="651">
        <v>1.9461777868045371E-2</v>
      </c>
      <c r="DW145" s="651">
        <v>-0.56710060124067341</v>
      </c>
      <c r="DX145" s="651">
        <v>-5.0380171220922088E-2</v>
      </c>
      <c r="DY145" s="651">
        <v>0.51704309804214843</v>
      </c>
      <c r="DZ145" s="651">
        <v>0.6166419295586274</v>
      </c>
      <c r="EA145" s="651">
        <v>0.94712309265693073</v>
      </c>
      <c r="EB145" s="651">
        <v>0.54013916621682734</v>
      </c>
      <c r="EC145" s="651">
        <v>0.31027444654131564</v>
      </c>
      <c r="ED145" s="651">
        <v>1.161866618042261</v>
      </c>
      <c r="EE145" s="651">
        <v>0.28755762728942758</v>
      </c>
      <c r="EF145" s="453"/>
      <c r="EG145" s="651"/>
      <c r="EH145" s="651"/>
      <c r="EI145" s="651"/>
      <c r="EJ145" s="651"/>
      <c r="EK145" s="651"/>
      <c r="EL145" s="651"/>
      <c r="EM145" s="651"/>
      <c r="EN145" s="651"/>
      <c r="EO145" s="651"/>
      <c r="EP145" s="651"/>
      <c r="EQ145" s="651"/>
      <c r="ER145" s="651"/>
      <c r="ES145" s="345"/>
      <c r="ET145" s="651"/>
      <c r="EU145" s="651"/>
      <c r="EV145" s="651"/>
      <c r="EW145" s="651"/>
      <c r="EX145" s="651"/>
      <c r="EY145" s="651"/>
      <c r="EZ145" s="651"/>
      <c r="FA145" s="651"/>
      <c r="FB145" s="651"/>
      <c r="FC145" s="651"/>
      <c r="FD145" s="651"/>
      <c r="FE145" s="651"/>
      <c r="FF145" s="453"/>
      <c r="FG145" s="651"/>
      <c r="FH145" s="651"/>
      <c r="FI145" s="651"/>
      <c r="FJ145" s="651"/>
      <c r="FK145" s="651"/>
      <c r="FL145" s="651"/>
      <c r="FM145" s="651"/>
      <c r="FN145" s="651"/>
      <c r="FO145" s="651"/>
      <c r="FP145" s="651"/>
      <c r="FQ145" s="651"/>
      <c r="FR145" s="651"/>
      <c r="FS145" s="345"/>
      <c r="FT145" s="651">
        <v>0</v>
      </c>
      <c r="FU145" s="651">
        <v>0</v>
      </c>
      <c r="FV145" s="651">
        <v>0</v>
      </c>
      <c r="FW145" s="651">
        <v>-8.1854523159563541E-12</v>
      </c>
      <c r="FY145" s="651">
        <v>0</v>
      </c>
      <c r="FZ145" s="651">
        <v>0</v>
      </c>
      <c r="GA145" s="651">
        <v>0</v>
      </c>
      <c r="GB145" s="651"/>
      <c r="GC145" s="651">
        <v>0</v>
      </c>
      <c r="GD145" s="651">
        <v>0</v>
      </c>
      <c r="GE145" s="651">
        <v>0</v>
      </c>
      <c r="GF145" s="651"/>
      <c r="GG145" s="651">
        <v>5.1864010180795714E-2</v>
      </c>
      <c r="GH145" s="651">
        <v>290.94199999999955</v>
      </c>
      <c r="GI145" s="651">
        <v>0</v>
      </c>
      <c r="GJ145" s="651">
        <v>0</v>
      </c>
      <c r="GK145" s="651">
        <v>0</v>
      </c>
      <c r="GL145" s="651">
        <v>-15.240358513082832</v>
      </c>
      <c r="GM145" s="651">
        <v>0</v>
      </c>
      <c r="GN145" s="651">
        <v>0</v>
      </c>
      <c r="GO145" s="651">
        <v>0</v>
      </c>
      <c r="GP145" s="651">
        <v>0</v>
      </c>
      <c r="GQ145" s="651">
        <v>0</v>
      </c>
      <c r="GR145" s="651">
        <v>-1.1390840318417084E-3</v>
      </c>
      <c r="GS145" s="651"/>
      <c r="GT145" s="651"/>
      <c r="GU145" s="651">
        <v>1.353279216488573</v>
      </c>
    </row>
    <row r="146" spans="1:206" ht="12.75" customHeight="1">
      <c r="A146" s="213"/>
      <c r="P146" s="639"/>
      <c r="AR146" s="207"/>
      <c r="CJ146" s="636"/>
      <c r="CK146" s="636"/>
      <c r="CN146" s="636"/>
      <c r="CP146" s="642"/>
      <c r="CQ146" s="642"/>
      <c r="CR146" s="642"/>
      <c r="DF146" s="390">
        <f t="shared" si="7"/>
        <v>0</v>
      </c>
      <c r="FU146" s="642"/>
      <c r="FV146" s="642"/>
      <c r="GC146" s="636"/>
      <c r="GD146" s="636"/>
      <c r="GE146" s="636"/>
      <c r="GF146" s="636"/>
      <c r="GS146" s="636"/>
      <c r="GT146" s="636"/>
      <c r="GU146" s="636"/>
      <c r="GX146" s="294"/>
    </row>
    <row r="147" spans="1:206" s="655" customFormat="1" ht="12.75" customHeight="1">
      <c r="B147" s="656"/>
      <c r="C147" s="657"/>
      <c r="D147" s="658" t="s">
        <v>350</v>
      </c>
      <c r="E147" s="658"/>
      <c r="G147" s="659">
        <v>3522.4524600000009</v>
      </c>
      <c r="H147" s="659">
        <v>3698.8172200000004</v>
      </c>
      <c r="I147" s="659">
        <v>3786.2993999999994</v>
      </c>
      <c r="J147" s="659">
        <v>3552.8253799999998</v>
      </c>
      <c r="K147" s="659">
        <v>2747.3492399999996</v>
      </c>
      <c r="L147" s="659">
        <v>1257.6683000000003</v>
      </c>
      <c r="M147" s="659">
        <v>1614.0549000000001</v>
      </c>
      <c r="N147" s="659">
        <v>1597.8906600000003</v>
      </c>
      <c r="O147" s="659">
        <v>2915.7566000000011</v>
      </c>
      <c r="P147" s="659">
        <v>2679.86976</v>
      </c>
      <c r="Q147" s="659">
        <v>3271.6598599999998</v>
      </c>
      <c r="R147" s="659">
        <v>4059.627140000001</v>
      </c>
      <c r="S147" s="659">
        <v>4019.5631763779893</v>
      </c>
      <c r="T147" s="659">
        <v>3162.3643896427247</v>
      </c>
      <c r="U147" s="659">
        <v>4112.8194212634653</v>
      </c>
      <c r="V147" s="659">
        <v>3414.1965036149168</v>
      </c>
      <c r="W147" s="659">
        <v>3406.0676860425892</v>
      </c>
      <c r="X147" s="659">
        <v>3519.7073922420232</v>
      </c>
      <c r="Y147" s="659">
        <v>3390.7066815708663</v>
      </c>
      <c r="Z147" s="659">
        <v>3205.6764135829999</v>
      </c>
      <c r="AA147" s="659">
        <v>2914.2325767007237</v>
      </c>
      <c r="AB147" s="659">
        <v>3066.1149470422774</v>
      </c>
      <c r="AC147" s="659">
        <v>3745.5151029145072</v>
      </c>
      <c r="AD147" s="659">
        <v>3126.468993919877</v>
      </c>
      <c r="AE147" s="659">
        <v>3301.4972914630289</v>
      </c>
      <c r="AF147" s="659">
        <v>0</v>
      </c>
      <c r="AG147" s="659">
        <v>0</v>
      </c>
      <c r="AH147" s="659">
        <v>3607.5344700000001</v>
      </c>
      <c r="AI147" s="659">
        <v>4007.0669999999996</v>
      </c>
      <c r="AJ147" s="659">
        <v>3494.6184600000006</v>
      </c>
      <c r="AK147" s="659">
        <v>2634.6150000000002</v>
      </c>
      <c r="AL147" s="659">
        <v>1457.6087199999999</v>
      </c>
      <c r="AM147" s="659">
        <v>1610.6915800000002</v>
      </c>
      <c r="AN147" s="659">
        <v>1513.577397</v>
      </c>
      <c r="AO147" s="659">
        <v>2774.3839899999998</v>
      </c>
      <c r="AP147" s="659">
        <v>2551.5783799999999</v>
      </c>
      <c r="AQ147" s="659">
        <v>3375.5323200000003</v>
      </c>
      <c r="AR147" s="659">
        <v>3925.2579000000001</v>
      </c>
      <c r="AS147" s="600"/>
      <c r="AT147" s="660"/>
      <c r="BF147" s="661"/>
      <c r="BG147" s="660"/>
      <c r="BS147" s="661"/>
      <c r="CF147" s="661"/>
      <c r="CG147" s="662">
        <v>32.938877878999996</v>
      </c>
      <c r="CH147" s="662">
        <v>37.354203892999998</v>
      </c>
      <c r="CI147" s="662">
        <v>38.428415496000007</v>
      </c>
      <c r="CJ147" s="662">
        <v>36.420633523999996</v>
      </c>
      <c r="CK147" s="662">
        <v>29.445740907999991</v>
      </c>
      <c r="CL147" s="662">
        <v>19.392590700000003</v>
      </c>
      <c r="CM147" s="662">
        <v>24.540784443</v>
      </c>
      <c r="CN147" s="662">
        <v>19.767383192</v>
      </c>
      <c r="CO147" s="662">
        <v>29.644086593000001</v>
      </c>
      <c r="CP147" s="662">
        <v>28.573150091999999</v>
      </c>
      <c r="CQ147" s="662">
        <v>25.910363601999997</v>
      </c>
      <c r="CR147" s="662">
        <v>34.929680404999992</v>
      </c>
      <c r="CS147" s="662"/>
      <c r="CT147" s="662">
        <v>32.636866365151263</v>
      </c>
      <c r="CU147" s="662">
        <v>41.184415191707096</v>
      </c>
      <c r="CV147" s="662">
        <v>33.351961530806349</v>
      </c>
      <c r="CW147" s="662">
        <v>35.939760310068721</v>
      </c>
      <c r="CX147" s="662">
        <v>35.026520286424571</v>
      </c>
      <c r="CY147" s="662">
        <v>33.870903899447669</v>
      </c>
      <c r="CZ147" s="662">
        <v>33.145518015928978</v>
      </c>
      <c r="DA147" s="662">
        <v>31.347967141879778</v>
      </c>
      <c r="DB147" s="662">
        <v>31.826635357505797</v>
      </c>
      <c r="DC147" s="662">
        <v>38.987418245086893</v>
      </c>
      <c r="DD147" s="662">
        <v>32.760217001827066</v>
      </c>
      <c r="DE147" s="662">
        <v>34.303393563910213</v>
      </c>
      <c r="DF147" s="390">
        <f t="shared" si="7"/>
        <v>106.05102881082416</v>
      </c>
      <c r="DG147" s="662">
        <v>0</v>
      </c>
      <c r="DH147" s="662">
        <v>39.546209720361531</v>
      </c>
      <c r="DI147" s="662">
        <v>41.999382822235738</v>
      </c>
      <c r="DJ147" s="662">
        <v>37.142285875424129</v>
      </c>
      <c r="DK147" s="662">
        <v>28.966158061114797</v>
      </c>
      <c r="DL147" s="662">
        <v>22.78367807040685</v>
      </c>
      <c r="DM147" s="662">
        <v>24.80580831994353</v>
      </c>
      <c r="DN147" s="662">
        <v>19.586959034906169</v>
      </c>
      <c r="DO147" s="662">
        <v>28.938342261210288</v>
      </c>
      <c r="DP147" s="662">
        <v>28.666267472238935</v>
      </c>
      <c r="DQ147" s="662">
        <v>29.153936526423948</v>
      </c>
      <c r="DR147" s="662">
        <v>34.816093067145317</v>
      </c>
      <c r="DS147" s="661"/>
      <c r="DT147" s="662"/>
      <c r="EF147" s="661"/>
      <c r="ES147" s="662"/>
      <c r="ET147" s="662"/>
      <c r="FF147" s="661"/>
      <c r="FS147" s="662"/>
      <c r="FT147" s="662">
        <v>34704.270920000003</v>
      </c>
      <c r="FU147" s="662">
        <v>40365.367400000003</v>
      </c>
      <c r="FV147" s="662">
        <v>31041.589217000001</v>
      </c>
      <c r="FW147" s="662">
        <v>-5661.0964799999965</v>
      </c>
      <c r="FX147" s="662"/>
      <c r="FY147" s="662">
        <v>357.34591072700005</v>
      </c>
      <c r="FZ147" s="662">
        <v>414.38157690974441</v>
      </c>
      <c r="GA147" s="662">
        <v>336.40512123141116</v>
      </c>
      <c r="GC147" s="662"/>
      <c r="GD147" s="662">
        <v>-6.1047977555558735</v>
      </c>
      <c r="GE147" s="662">
        <v>-22.263884471565369</v>
      </c>
      <c r="GF147" s="662"/>
      <c r="GG147" s="662"/>
      <c r="GH147" s="662">
        <v>4059.627140000001</v>
      </c>
      <c r="GI147" s="660">
        <v>3301.4972914630289</v>
      </c>
      <c r="GJ147" s="660">
        <v>3964.3818999999999</v>
      </c>
      <c r="GK147" s="660">
        <v>758.1298485369723</v>
      </c>
      <c r="GL147" s="662"/>
      <c r="GM147" s="662">
        <v>34.929680404999992</v>
      </c>
      <c r="GN147" s="662">
        <v>34.303393563910213</v>
      </c>
      <c r="GO147" s="662">
        <v>34.816093067145317</v>
      </c>
      <c r="GP147" s="662">
        <v>0.62628684108978538</v>
      </c>
      <c r="GQ147" s="662">
        <v>3.9810540344554224</v>
      </c>
      <c r="GR147" s="662">
        <v>-2.7473300188029941</v>
      </c>
      <c r="GS147" s="662">
        <v>-2.6430922351797501</v>
      </c>
      <c r="GT147" s="662">
        <v>3.2088438045863121</v>
      </c>
      <c r="GU147" s="662">
        <v>2.6129488185576095</v>
      </c>
      <c r="GV147" s="662"/>
      <c r="GX147" s="294"/>
    </row>
    <row r="148" spans="1:206" ht="12.75" customHeight="1">
      <c r="A148" s="213"/>
      <c r="D148" s="206" t="s">
        <v>351</v>
      </c>
      <c r="G148" s="636">
        <v>1133.646</v>
      </c>
      <c r="H148" s="636">
        <v>1630.175</v>
      </c>
      <c r="I148" s="636">
        <v>1778.895</v>
      </c>
      <c r="J148" s="636">
        <v>1664.915</v>
      </c>
      <c r="K148" s="636">
        <v>1600.9469999999992</v>
      </c>
      <c r="L148" s="636">
        <v>1001.7610000000002</v>
      </c>
      <c r="M148" s="636">
        <v>1049.3109999999999</v>
      </c>
      <c r="N148" s="636">
        <v>818.86099999999988</v>
      </c>
      <c r="O148" s="636">
        <v>1008.405</v>
      </c>
      <c r="P148" s="636">
        <v>1156.6586</v>
      </c>
      <c r="Q148" s="636">
        <v>1204.8699999999999</v>
      </c>
      <c r="R148" s="636">
        <v>1405.5239999999999</v>
      </c>
      <c r="S148" s="636">
        <v>1464.2513402514473</v>
      </c>
      <c r="T148" s="636">
        <v>1267.9084561277721</v>
      </c>
      <c r="U148" s="636">
        <v>1904.7839854254319</v>
      </c>
      <c r="V148" s="636">
        <v>1519.1325531616123</v>
      </c>
      <c r="W148" s="636">
        <v>1880.5039204358966</v>
      </c>
      <c r="X148" s="636">
        <v>1583.6225963872589</v>
      </c>
      <c r="Y148" s="636">
        <v>1531.0136807119984</v>
      </c>
      <c r="Z148" s="636">
        <v>1358.5926997228107</v>
      </c>
      <c r="AA148" s="636">
        <v>1435.5506343734244</v>
      </c>
      <c r="AB148" s="636">
        <v>1319.4321976476365</v>
      </c>
      <c r="AC148" s="636">
        <v>1542.910465087793</v>
      </c>
      <c r="AD148" s="636">
        <v>1110.5973930377454</v>
      </c>
      <c r="AE148" s="636">
        <v>1198.0094178806212</v>
      </c>
      <c r="AF148" s="636">
        <v>0</v>
      </c>
      <c r="AG148" s="636">
        <v>0</v>
      </c>
      <c r="AH148" s="636">
        <v>1784.2882999999999</v>
      </c>
      <c r="AI148" s="636">
        <v>1931.76956</v>
      </c>
      <c r="AJ148" s="636">
        <v>1692.5379</v>
      </c>
      <c r="AK148" s="636">
        <v>1567.6933999999999</v>
      </c>
      <c r="AL148" s="636">
        <v>1254.1291999999999</v>
      </c>
      <c r="AM148" s="636">
        <v>1192.2927</v>
      </c>
      <c r="AN148" s="636">
        <v>864.31887700000004</v>
      </c>
      <c r="AO148" s="636">
        <v>955.26700000000005</v>
      </c>
      <c r="AP148" s="636">
        <v>1071.7006999999999</v>
      </c>
      <c r="AQ148" s="636">
        <v>854.08789999999999</v>
      </c>
      <c r="AR148" s="636">
        <v>1429.8977</v>
      </c>
      <c r="AS148" s="636"/>
      <c r="CG148" s="636">
        <v>15.009465543999999</v>
      </c>
      <c r="CH148" s="636">
        <v>20.558460019000002</v>
      </c>
      <c r="CI148" s="636">
        <v>23.161537707000001</v>
      </c>
      <c r="CJ148" s="636">
        <v>22.464271410999999</v>
      </c>
      <c r="CK148" s="636">
        <v>20.508136174999997</v>
      </c>
      <c r="CL148" s="636">
        <v>14.517872283000003</v>
      </c>
      <c r="CM148" s="636">
        <v>15.340462423000002</v>
      </c>
      <c r="CN148" s="636">
        <v>11.610660688999999</v>
      </c>
      <c r="CO148" s="636">
        <v>15.23287547</v>
      </c>
      <c r="CP148" s="636">
        <v>14.165324932000001</v>
      </c>
      <c r="CQ148" s="636">
        <v>10.594885077999999</v>
      </c>
      <c r="CR148" s="636">
        <v>17.167504477999998</v>
      </c>
      <c r="CS148" s="636"/>
      <c r="CT148" s="636">
        <v>15.877208947861323</v>
      </c>
      <c r="CU148" s="636">
        <v>23.474278418688272</v>
      </c>
      <c r="CV148" s="636">
        <v>19.224481823893971</v>
      </c>
      <c r="CW148" s="636">
        <v>23.101957977208485</v>
      </c>
      <c r="CX148" s="636">
        <v>20.218134740167486</v>
      </c>
      <c r="CY148" s="636">
        <v>19.142023022529994</v>
      </c>
      <c r="CZ148" s="636">
        <v>17.772160518634593</v>
      </c>
      <c r="DA148" s="636">
        <v>18.238774107002612</v>
      </c>
      <c r="DB148" s="636">
        <v>17.305614339218685</v>
      </c>
      <c r="DC148" s="636">
        <v>19.737924059650659</v>
      </c>
      <c r="DD148" s="636">
        <v>14.675683879089197</v>
      </c>
      <c r="DE148" s="636">
        <v>15.918240374976746</v>
      </c>
      <c r="DF148" s="390">
        <f t="shared" si="7"/>
        <v>50.331848313716606</v>
      </c>
      <c r="DG148" s="636">
        <v>0</v>
      </c>
      <c r="DH148" s="636">
        <v>22.823070474926066</v>
      </c>
      <c r="DI148" s="636">
        <v>25.085609849707005</v>
      </c>
      <c r="DJ148" s="636">
        <v>23.680040363227942</v>
      </c>
      <c r="DK148" s="636">
        <v>20.250232350955773</v>
      </c>
      <c r="DL148" s="636">
        <v>17.92348328690403</v>
      </c>
      <c r="DM148" s="636">
        <v>17.333370317355737</v>
      </c>
      <c r="DN148" s="636">
        <v>12.43291052871799</v>
      </c>
      <c r="DO148" s="636">
        <v>14.925978739817008</v>
      </c>
      <c r="DP148" s="636">
        <v>14.033958851306913</v>
      </c>
      <c r="DQ148" s="636">
        <v>10.701692574891926</v>
      </c>
      <c r="DR148" s="636">
        <v>18.783854308642837</v>
      </c>
      <c r="DT148" s="639"/>
      <c r="ES148" s="636"/>
      <c r="ET148" s="639"/>
      <c r="FS148" s="636"/>
      <c r="FT148" s="636">
        <v>15453.9686</v>
      </c>
      <c r="FU148" s="636">
        <v>17652.058000000001</v>
      </c>
      <c r="FV148" s="636">
        <v>14597.983237</v>
      </c>
      <c r="FW148" s="636">
        <v>-2198.0894000000012</v>
      </c>
      <c r="FX148" s="636"/>
      <c r="FY148" s="636">
        <v>200.33145620900001</v>
      </c>
      <c r="FZ148" s="636">
        <v>224.68648220892206</v>
      </c>
      <c r="GA148" s="636">
        <v>197.9742016464532</v>
      </c>
      <c r="GC148" s="636"/>
      <c r="GD148" s="636">
        <v>13.42677217509765</v>
      </c>
      <c r="GE148" s="636">
        <v>-15.291921495295588</v>
      </c>
      <c r="GF148" s="636"/>
      <c r="GH148" s="636">
        <v>1405.5239999999999</v>
      </c>
      <c r="GI148" s="636">
        <v>1198.0094178806212</v>
      </c>
      <c r="GJ148" s="636">
        <v>1429.8977</v>
      </c>
      <c r="GK148" s="636">
        <v>207.51458211937884</v>
      </c>
      <c r="GL148" s="636"/>
      <c r="GM148" s="636">
        <v>17.167504477999998</v>
      </c>
      <c r="GN148" s="636">
        <v>15.918240374976746</v>
      </c>
      <c r="GO148" s="636">
        <v>18.783854308642837</v>
      </c>
      <c r="GP148" s="636">
        <v>1.2492641030232559</v>
      </c>
      <c r="GQ148" s="636">
        <v>4.6170712356458088E-3</v>
      </c>
      <c r="GR148" s="636">
        <v>1.2446470317876108</v>
      </c>
      <c r="GS148" s="636">
        <v>-2.24594551582123</v>
      </c>
      <c r="GT148" s="636">
        <v>0.62959568517839137</v>
      </c>
      <c r="GU148" s="636">
        <v>2.3630120929220255</v>
      </c>
      <c r="GX148" s="294"/>
    </row>
    <row r="149" spans="1:206" ht="12.75" customHeight="1">
      <c r="A149" s="213"/>
      <c r="D149" s="206" t="s">
        <v>312</v>
      </c>
      <c r="G149" s="639">
        <v>1818.5800000000008</v>
      </c>
      <c r="H149" s="639">
        <v>1513.79</v>
      </c>
      <c r="I149" s="639">
        <v>1308.4599999999998</v>
      </c>
      <c r="J149" s="639">
        <v>1507.61</v>
      </c>
      <c r="K149" s="639">
        <v>1000.3000000000001</v>
      </c>
      <c r="L149" s="639">
        <v>0</v>
      </c>
      <c r="M149" s="639">
        <v>88.71</v>
      </c>
      <c r="N149" s="639">
        <v>355.35000000000008</v>
      </c>
      <c r="O149" s="639">
        <v>1531.8100000000006</v>
      </c>
      <c r="P149" s="639">
        <v>1170.4149999999997</v>
      </c>
      <c r="Q149" s="639">
        <v>1554.598</v>
      </c>
      <c r="R149" s="639">
        <v>2025.9500000000012</v>
      </c>
      <c r="S149" s="639">
        <v>2048.0504867606223</v>
      </c>
      <c r="T149" s="639">
        <v>1400</v>
      </c>
      <c r="U149" s="639">
        <v>1500</v>
      </c>
      <c r="V149" s="639">
        <v>1400</v>
      </c>
      <c r="W149" s="639">
        <v>800</v>
      </c>
      <c r="X149" s="639">
        <v>1300</v>
      </c>
      <c r="Y149" s="639">
        <v>1200</v>
      </c>
      <c r="Z149" s="639">
        <v>1300</v>
      </c>
      <c r="AA149" s="639">
        <v>800</v>
      </c>
      <c r="AB149" s="639">
        <v>1300</v>
      </c>
      <c r="AC149" s="639">
        <v>1300</v>
      </c>
      <c r="AD149" s="639">
        <v>1500</v>
      </c>
      <c r="AE149" s="639">
        <v>1300</v>
      </c>
      <c r="AF149" s="639">
        <v>0</v>
      </c>
      <c r="AG149" s="639">
        <v>0</v>
      </c>
      <c r="AH149" s="639">
        <v>1200</v>
      </c>
      <c r="AI149" s="639">
        <v>1400</v>
      </c>
      <c r="AJ149" s="639">
        <v>1500</v>
      </c>
      <c r="AK149" s="639">
        <v>990</v>
      </c>
      <c r="AL149" s="639">
        <v>0</v>
      </c>
      <c r="AM149" s="639">
        <v>0</v>
      </c>
      <c r="AN149" s="639">
        <v>350</v>
      </c>
      <c r="AO149" s="639">
        <v>1500</v>
      </c>
      <c r="AP149" s="639">
        <v>1031</v>
      </c>
      <c r="AQ149" s="639">
        <v>2000</v>
      </c>
      <c r="AR149" s="639">
        <v>2000</v>
      </c>
      <c r="CG149" s="636">
        <v>11.127279593999994</v>
      </c>
      <c r="CH149" s="636">
        <v>9.4547226499999972</v>
      </c>
      <c r="CI149" s="636">
        <v>7.4942635000000015</v>
      </c>
      <c r="CJ149" s="636">
        <v>8.6734651000000014</v>
      </c>
      <c r="CK149" s="636">
        <v>5.8786057999999999</v>
      </c>
      <c r="CL149" s="636">
        <v>0</v>
      </c>
      <c r="CM149" s="636">
        <v>0.42580800000000002</v>
      </c>
      <c r="CN149" s="636">
        <v>1.7056800000000001</v>
      </c>
      <c r="CO149" s="636">
        <v>7.3614853</v>
      </c>
      <c r="CP149" s="636">
        <v>5.961018546</v>
      </c>
      <c r="CQ149" s="636">
        <v>8.000386160999998</v>
      </c>
      <c r="CR149" s="636">
        <v>10.643767009999996</v>
      </c>
      <c r="CS149" s="636"/>
      <c r="CT149" s="636">
        <v>8.5314999999999994</v>
      </c>
      <c r="CU149" s="636">
        <v>9.4014999999999986</v>
      </c>
      <c r="CV149" s="636">
        <v>8.5314999999999994</v>
      </c>
      <c r="CW149" s="639">
        <v>5.0476812518837226</v>
      </c>
      <c r="CX149" s="636">
        <v>8.2120174243547002</v>
      </c>
      <c r="CY149" s="639">
        <v>7.5842357312171194</v>
      </c>
      <c r="CZ149" s="639">
        <v>8.2120174243547002</v>
      </c>
      <c r="DA149" s="639">
        <v>5.0476812518837226</v>
      </c>
      <c r="DB149" s="639">
        <v>8.2120174243547002</v>
      </c>
      <c r="DC149" s="636">
        <v>8.2120174243547002</v>
      </c>
      <c r="DD149" s="636">
        <v>9.4777518933430915</v>
      </c>
      <c r="DE149" s="636">
        <v>8.2120174243547002</v>
      </c>
      <c r="DF149" s="390">
        <f t="shared" si="7"/>
        <v>25.901786742052494</v>
      </c>
      <c r="DG149" s="639">
        <v>0</v>
      </c>
      <c r="DH149" s="639">
        <v>7.5610000000000008</v>
      </c>
      <c r="DI149" s="639">
        <v>8.5015000000000001</v>
      </c>
      <c r="DJ149" s="639">
        <v>8.5709999999999997</v>
      </c>
      <c r="DK149" s="639">
        <v>5.7896999999999998</v>
      </c>
      <c r="DL149" s="639">
        <v>0</v>
      </c>
      <c r="DM149" s="639">
        <v>0</v>
      </c>
      <c r="DN149" s="639">
        <v>1.68</v>
      </c>
      <c r="DO149" s="639">
        <v>7.2349999999999994</v>
      </c>
      <c r="DP149" s="639">
        <v>5.0167700000000002</v>
      </c>
      <c r="DQ149" s="639">
        <v>9.6875</v>
      </c>
      <c r="DR149" s="639">
        <v>9.6875</v>
      </c>
      <c r="DT149" s="639"/>
      <c r="ES149" s="639"/>
      <c r="ET149" s="639"/>
      <c r="FS149" s="639"/>
      <c r="FT149" s="636">
        <v>13875.573000000004</v>
      </c>
      <c r="FU149" s="636">
        <v>15100</v>
      </c>
      <c r="FV149" s="636">
        <v>11971</v>
      </c>
      <c r="FW149" s="636">
        <v>-1224.426999999996</v>
      </c>
      <c r="FX149" s="636"/>
      <c r="FY149" s="636">
        <v>76.72648166099998</v>
      </c>
      <c r="FZ149" s="636">
        <v>94.681937250101157</v>
      </c>
      <c r="GA149" s="636">
        <v>63.729970000000002</v>
      </c>
      <c r="GB149" s="293">
        <v>232.99327379251281</v>
      </c>
      <c r="GC149" s="636"/>
      <c r="GD149" s="636">
        <v>-10.430695243471757</v>
      </c>
      <c r="GE149" s="636">
        <v>-2.4297518999999941</v>
      </c>
      <c r="GF149" s="636"/>
      <c r="GH149" s="636">
        <v>2025.9500000000012</v>
      </c>
      <c r="GI149" s="636">
        <v>1300</v>
      </c>
      <c r="GJ149" s="636">
        <v>2000</v>
      </c>
      <c r="GK149" s="636">
        <v>725.95000000000118</v>
      </c>
      <c r="GL149" s="636"/>
      <c r="GM149" s="636">
        <v>10.643767009999996</v>
      </c>
      <c r="GN149" s="636">
        <v>8.2120174243547002</v>
      </c>
      <c r="GO149" s="636">
        <v>9.6875</v>
      </c>
      <c r="GP149" s="636">
        <v>2.4317495856452958</v>
      </c>
      <c r="GQ149" s="636">
        <v>4.8586897808156433</v>
      </c>
      <c r="GR149" s="639">
        <v>-2.4269401951703475</v>
      </c>
      <c r="GS149" s="636">
        <v>-1.1851989999999937</v>
      </c>
      <c r="GT149" s="636">
        <v>2.14146600999999</v>
      </c>
      <c r="GU149" s="636">
        <v>-0.11610969268128085</v>
      </c>
      <c r="GX149" s="294"/>
    </row>
    <row r="150" spans="1:206" ht="12.75" customHeight="1">
      <c r="A150" s="213"/>
      <c r="D150" s="206" t="s">
        <v>159</v>
      </c>
      <c r="G150" s="639">
        <v>466.00099999999998</v>
      </c>
      <c r="H150" s="639">
        <v>453.678</v>
      </c>
      <c r="I150" s="639">
        <v>572.28800000000001</v>
      </c>
      <c r="J150" s="639">
        <v>273.46600000000001</v>
      </c>
      <c r="K150" s="639">
        <v>28.713999999999999</v>
      </c>
      <c r="L150" s="639">
        <v>145.88999999999999</v>
      </c>
      <c r="M150" s="639">
        <v>336.19</v>
      </c>
      <c r="N150" s="639">
        <v>293.89800000000008</v>
      </c>
      <c r="O150" s="639">
        <v>229.06300000000005</v>
      </c>
      <c r="P150" s="639">
        <v>245.46599999999998</v>
      </c>
      <c r="Q150" s="639">
        <v>390.99700000000007</v>
      </c>
      <c r="R150" s="639">
        <v>555.34700000000021</v>
      </c>
      <c r="S150" s="639">
        <v>458.90974464418287</v>
      </c>
      <c r="T150" s="639">
        <v>394.13803351495233</v>
      </c>
      <c r="U150" s="639">
        <v>567.84293583803412</v>
      </c>
      <c r="V150" s="639">
        <v>325.17145045330466</v>
      </c>
      <c r="W150" s="639">
        <v>560.51126560669297</v>
      </c>
      <c r="X150" s="639">
        <v>466.19229585476455</v>
      </c>
      <c r="Y150" s="639">
        <v>469.44050085886784</v>
      </c>
      <c r="Z150" s="639">
        <v>352.50788052685562</v>
      </c>
      <c r="AA150" s="639">
        <v>529.13610899396645</v>
      </c>
      <c r="AB150" s="639">
        <v>277.13691606130772</v>
      </c>
      <c r="AC150" s="639">
        <v>733.05880449338099</v>
      </c>
      <c r="AD150" s="639">
        <v>391.32576754879835</v>
      </c>
      <c r="AE150" s="639">
        <v>633.94204024907458</v>
      </c>
      <c r="AF150" s="639">
        <v>0</v>
      </c>
      <c r="AG150" s="639">
        <v>0</v>
      </c>
      <c r="AH150" s="639">
        <v>566.05399999999997</v>
      </c>
      <c r="AI150" s="639">
        <v>599.64679999999998</v>
      </c>
      <c r="AJ150" s="639">
        <v>227.13</v>
      </c>
      <c r="AK150" s="639">
        <v>27.02</v>
      </c>
      <c r="AL150" s="639">
        <v>115</v>
      </c>
      <c r="AM150" s="639">
        <v>305.88</v>
      </c>
      <c r="AN150" s="639">
        <v>187</v>
      </c>
      <c r="AO150" s="639">
        <v>250</v>
      </c>
      <c r="AP150" s="639">
        <v>371.28999999999996</v>
      </c>
      <c r="AQ150" s="639">
        <v>444.84000000000003</v>
      </c>
      <c r="AR150" s="639">
        <v>448.14300000000003</v>
      </c>
      <c r="CG150" s="636">
        <v>4.8101804939999999</v>
      </c>
      <c r="CH150" s="636">
        <v>4.7841409509999986</v>
      </c>
      <c r="CI150" s="636">
        <v>4.4245627820000006</v>
      </c>
      <c r="CJ150" s="636">
        <v>2.5871144110000004</v>
      </c>
      <c r="CK150" s="636">
        <v>0.36451785600000003</v>
      </c>
      <c r="CL150" s="636">
        <v>1.1701554709999999</v>
      </c>
      <c r="CM150" s="636">
        <v>2.6603468120000016</v>
      </c>
      <c r="CN150" s="636">
        <v>2.7644119659999999</v>
      </c>
      <c r="CO150" s="636">
        <v>2.1116632380000002</v>
      </c>
      <c r="CP150" s="636">
        <v>2.628198866</v>
      </c>
      <c r="CQ150" s="636">
        <v>3.3788202639999998</v>
      </c>
      <c r="CR150" s="636">
        <v>4.0706823239999981</v>
      </c>
      <c r="CS150" s="636"/>
      <c r="CT150" s="636">
        <v>4.4017434781249758</v>
      </c>
      <c r="CU150" s="636">
        <v>5.6721760922237294</v>
      </c>
      <c r="CV150" s="636">
        <v>2.9415535757448947</v>
      </c>
      <c r="CW150" s="636">
        <v>4.8702825024942227</v>
      </c>
      <c r="CX150" s="636">
        <v>3.9219419907348918</v>
      </c>
      <c r="CY150" s="636">
        <v>4.0915019420269738</v>
      </c>
      <c r="CZ150" s="636">
        <v>3.1539535563045571</v>
      </c>
      <c r="DA150" s="636">
        <v>4.6085254600142402</v>
      </c>
      <c r="DB150" s="636">
        <v>2.6360172709532108</v>
      </c>
      <c r="DC150" s="636">
        <v>7.3644904381023348</v>
      </c>
      <c r="DD150" s="636">
        <v>5.0587949064155771</v>
      </c>
      <c r="DE150" s="636">
        <v>6.5001494415995662</v>
      </c>
      <c r="DF150" s="390">
        <f t="shared" si="7"/>
        <v>18.923434786117475</v>
      </c>
      <c r="DG150" s="636">
        <v>0</v>
      </c>
      <c r="DH150" s="636">
        <v>5.7479855921543397</v>
      </c>
      <c r="DI150" s="636">
        <v>4.920720298729889</v>
      </c>
      <c r="DJ150" s="636">
        <v>2.1086760577332111</v>
      </c>
      <c r="DK150" s="636">
        <v>0.3377368418965952</v>
      </c>
      <c r="DL150" s="636">
        <v>0.95300234761966929</v>
      </c>
      <c r="DM150" s="636">
        <v>2.4586093006768142</v>
      </c>
      <c r="DN150" s="636">
        <v>1.4723882149032721</v>
      </c>
      <c r="DO150" s="636">
        <v>2.1347141777637142</v>
      </c>
      <c r="DP150" s="636">
        <v>3.8960014666291047</v>
      </c>
      <c r="DQ150" s="636">
        <v>3.6303672438469556</v>
      </c>
      <c r="DR150" s="636">
        <v>3.4915983663575432</v>
      </c>
      <c r="DT150" s="639"/>
      <c r="ES150" s="639"/>
      <c r="ET150" s="639"/>
      <c r="FS150" s="639"/>
      <c r="FT150" s="636">
        <v>3990.998</v>
      </c>
      <c r="FU150" s="636">
        <v>5700.4040000000005</v>
      </c>
      <c r="FV150" s="636">
        <v>3631.1277999999998</v>
      </c>
      <c r="FW150" s="636">
        <v>-1709.4059999999997</v>
      </c>
      <c r="FX150" s="636"/>
      <c r="FY150" s="636">
        <v>35.754795434999998</v>
      </c>
      <c r="FZ150" s="636">
        <v>55.221130654739163</v>
      </c>
      <c r="GA150" s="636">
        <v>31.151799908311105</v>
      </c>
      <c r="GC150" s="636"/>
      <c r="GD150" s="636">
        <v>-1.9666120828273754</v>
      </c>
      <c r="GE150" s="636">
        <v>-0.9554513826218658</v>
      </c>
      <c r="GF150" s="636"/>
      <c r="GH150" s="636">
        <v>555.34700000000021</v>
      </c>
      <c r="GI150" s="636">
        <v>633.94204024907458</v>
      </c>
      <c r="GJ150" s="636">
        <v>487.267</v>
      </c>
      <c r="GK150" s="636">
        <v>-78.595040249074373</v>
      </c>
      <c r="GL150" s="636"/>
      <c r="GM150" s="636">
        <v>4.0706823239999981</v>
      </c>
      <c r="GN150" s="636">
        <v>6.5001494415995662</v>
      </c>
      <c r="GO150" s="636">
        <v>3.4915983663575432</v>
      </c>
      <c r="GP150" s="636">
        <v>-2.4294671175995677</v>
      </c>
      <c r="GQ150" s="636">
        <v>-1.3222606766605791</v>
      </c>
      <c r="GR150" s="636">
        <v>-1.2434283610989878</v>
      </c>
      <c r="GS150" s="636">
        <v>0.40696548051416587</v>
      </c>
      <c r="GT150" s="636">
        <v>-6.629735331982356E-2</v>
      </c>
      <c r="GU150" s="636">
        <v>0.36604275120055346</v>
      </c>
      <c r="GX150" s="294"/>
    </row>
    <row r="151" spans="1:206" ht="12.75" customHeight="1">
      <c r="A151" s="213"/>
      <c r="D151" s="206" t="s">
        <v>28</v>
      </c>
      <c r="G151" s="639">
        <v>10.373000000000001</v>
      </c>
      <c r="H151" s="639">
        <v>0</v>
      </c>
      <c r="I151" s="639">
        <v>18.72</v>
      </c>
      <c r="J151" s="639">
        <v>0</v>
      </c>
      <c r="K151" s="639">
        <v>37.44</v>
      </c>
      <c r="L151" s="639">
        <v>29.802</v>
      </c>
      <c r="M151" s="639">
        <v>46.295999999999999</v>
      </c>
      <c r="N151" s="639">
        <v>53.567999999999998</v>
      </c>
      <c r="O151" s="639">
        <v>23.05</v>
      </c>
      <c r="P151" s="639">
        <v>4.1100000000000003</v>
      </c>
      <c r="Q151" s="639">
        <v>0</v>
      </c>
      <c r="R151" s="639">
        <v>0</v>
      </c>
      <c r="S151" s="639">
        <v>0</v>
      </c>
      <c r="T151" s="639">
        <v>0</v>
      </c>
      <c r="U151" s="639">
        <v>0</v>
      </c>
      <c r="V151" s="639">
        <v>25</v>
      </c>
      <c r="W151" s="639">
        <v>25</v>
      </c>
      <c r="X151" s="639">
        <v>25</v>
      </c>
      <c r="Y151" s="639">
        <v>25</v>
      </c>
      <c r="Z151" s="639">
        <v>25</v>
      </c>
      <c r="AA151" s="639">
        <v>0</v>
      </c>
      <c r="AB151" s="639">
        <v>0</v>
      </c>
      <c r="AC151" s="639">
        <v>0</v>
      </c>
      <c r="AD151" s="639">
        <v>0</v>
      </c>
      <c r="AE151" s="639">
        <v>0</v>
      </c>
      <c r="AF151" s="639">
        <v>0</v>
      </c>
      <c r="AG151" s="639">
        <v>0</v>
      </c>
      <c r="AH151" s="639">
        <v>0</v>
      </c>
      <c r="AI151" s="639">
        <v>18.72</v>
      </c>
      <c r="AJ151" s="639">
        <v>29.439999999999998</v>
      </c>
      <c r="AK151" s="639">
        <v>29.419999999999998</v>
      </c>
      <c r="AL151" s="639">
        <v>47.7</v>
      </c>
      <c r="AM151" s="639">
        <v>40</v>
      </c>
      <c r="AN151" s="639">
        <v>43.203000000000003</v>
      </c>
      <c r="AO151" s="639">
        <v>0</v>
      </c>
      <c r="AP151" s="639">
        <v>0</v>
      </c>
      <c r="AQ151" s="639">
        <v>0</v>
      </c>
      <c r="AR151" s="639">
        <v>0</v>
      </c>
      <c r="CG151" s="636">
        <v>0.114251454</v>
      </c>
      <c r="CH151" s="636">
        <v>0</v>
      </c>
      <c r="CI151" s="636">
        <v>0.2025517</v>
      </c>
      <c r="CJ151" s="636">
        <v>0</v>
      </c>
      <c r="CK151" s="636">
        <v>0.40637220000000007</v>
      </c>
      <c r="CL151" s="636">
        <v>0.339077503</v>
      </c>
      <c r="CM151" s="636">
        <v>0.53906499600000002</v>
      </c>
      <c r="CN151" s="636">
        <v>0.58603670999999991</v>
      </c>
      <c r="CO151" s="636">
        <v>0.266216444</v>
      </c>
      <c r="CP151" s="636">
        <v>4.9148749999999998E-2</v>
      </c>
      <c r="CQ151" s="636">
        <v>0</v>
      </c>
      <c r="CR151" s="636">
        <v>0</v>
      </c>
      <c r="CS151" s="636"/>
      <c r="CT151" s="636">
        <v>0</v>
      </c>
      <c r="CU151" s="636">
        <v>0</v>
      </c>
      <c r="CV151" s="636">
        <v>0.32108794426651593</v>
      </c>
      <c r="CW151" s="639">
        <v>0.30410692112040016</v>
      </c>
      <c r="CX151" s="636">
        <v>0.32108794426651593</v>
      </c>
      <c r="CY151" s="639">
        <v>0.30410692112040016</v>
      </c>
      <c r="CZ151" s="639">
        <v>0.32108794426651593</v>
      </c>
      <c r="DA151" s="639">
        <v>0</v>
      </c>
      <c r="DB151" s="639">
        <v>0</v>
      </c>
      <c r="DC151" s="636">
        <v>0</v>
      </c>
      <c r="DD151" s="636">
        <v>0</v>
      </c>
      <c r="DE151" s="636">
        <v>0</v>
      </c>
      <c r="DF151" s="390">
        <f t="shared" si="7"/>
        <v>0</v>
      </c>
      <c r="DG151" s="639">
        <v>0</v>
      </c>
      <c r="DH151" s="639">
        <v>0</v>
      </c>
      <c r="DI151" s="639">
        <v>0.20255214978207231</v>
      </c>
      <c r="DJ151" s="639">
        <v>0.32062116253878081</v>
      </c>
      <c r="DK151" s="639">
        <v>0.33672750583910482</v>
      </c>
      <c r="DL151" s="639">
        <v>0.53966419478068761</v>
      </c>
      <c r="DM151" s="639">
        <v>0.45016203835529445</v>
      </c>
      <c r="DN151" s="639">
        <v>0.48159798938804244</v>
      </c>
      <c r="DO151" s="639">
        <v>0</v>
      </c>
      <c r="DP151" s="639">
        <v>0</v>
      </c>
      <c r="DQ151" s="639">
        <v>0</v>
      </c>
      <c r="DR151" s="639">
        <v>0</v>
      </c>
      <c r="DT151" s="639"/>
      <c r="ES151" s="639"/>
      <c r="ET151" s="639"/>
      <c r="FS151" s="639"/>
      <c r="FT151" s="636">
        <v>223.35899999999998</v>
      </c>
      <c r="FU151" s="636">
        <v>125</v>
      </c>
      <c r="FV151" s="636">
        <v>208.483</v>
      </c>
      <c r="FW151" s="636">
        <v>98.358999999999995</v>
      </c>
      <c r="FX151" s="636"/>
      <c r="FY151" s="636">
        <v>2.5027197569999999</v>
      </c>
      <c r="FZ151" s="636">
        <v>1.5714776750403481</v>
      </c>
      <c r="GA151" s="636">
        <v>2.3313250406839825</v>
      </c>
      <c r="GC151" s="636"/>
      <c r="GD151" s="636">
        <v>-4.7661907383961935E-2</v>
      </c>
      <c r="GE151" s="636">
        <v>-0.33673220914943502</v>
      </c>
      <c r="GF151" s="636"/>
      <c r="GH151" s="636">
        <v>0</v>
      </c>
      <c r="GI151" s="636">
        <v>0</v>
      </c>
      <c r="GJ151" s="636">
        <v>0</v>
      </c>
      <c r="GK151" s="636">
        <v>0</v>
      </c>
      <c r="GL151" s="636"/>
      <c r="GM151" s="636">
        <v>0</v>
      </c>
      <c r="GN151" s="636">
        <v>0</v>
      </c>
      <c r="GO151" s="636">
        <v>0</v>
      </c>
      <c r="GP151" s="636">
        <v>0</v>
      </c>
      <c r="GQ151" s="636">
        <v>0</v>
      </c>
      <c r="GR151" s="639">
        <v>0</v>
      </c>
      <c r="GS151" s="636">
        <v>0</v>
      </c>
      <c r="GT151" s="636">
        <v>0</v>
      </c>
      <c r="GU151" s="636">
        <v>0</v>
      </c>
      <c r="GX151" s="294"/>
    </row>
    <row r="152" spans="1:206" ht="12.75" customHeight="1">
      <c r="D152" s="206" t="s">
        <v>59</v>
      </c>
      <c r="G152" s="639"/>
      <c r="H152" s="639"/>
      <c r="I152" s="639"/>
      <c r="J152" s="639"/>
      <c r="K152" s="639"/>
      <c r="L152" s="639"/>
      <c r="M152" s="639"/>
      <c r="N152" s="639"/>
      <c r="O152" s="639"/>
      <c r="P152" s="639"/>
      <c r="Q152" s="639"/>
      <c r="R152" s="639"/>
      <c r="S152" s="639"/>
      <c r="T152" s="639"/>
      <c r="U152" s="639"/>
      <c r="V152" s="639"/>
      <c r="W152" s="639"/>
      <c r="X152" s="639"/>
      <c r="Y152" s="639"/>
      <c r="Z152" s="639"/>
      <c r="AA152" s="639"/>
      <c r="AB152" s="639"/>
      <c r="AC152" s="639"/>
      <c r="AD152" s="639"/>
      <c r="AE152" s="639"/>
      <c r="AF152" s="639"/>
      <c r="AG152" s="639"/>
      <c r="AH152" s="639"/>
      <c r="AI152" s="639"/>
      <c r="AJ152" s="639"/>
      <c r="AK152" s="639"/>
      <c r="AL152" s="639"/>
      <c r="AM152" s="639"/>
      <c r="AN152" s="639"/>
      <c r="AO152" s="639"/>
      <c r="AP152" s="639"/>
      <c r="AQ152" s="639"/>
      <c r="AR152" s="639"/>
      <c r="CG152" s="636">
        <v>0.13293972500000001</v>
      </c>
      <c r="CH152" s="636">
        <v>8.5632862000000004E-2</v>
      </c>
      <c r="CI152" s="636">
        <v>0.13000462299999999</v>
      </c>
      <c r="CJ152" s="636">
        <v>8.9632225999999995E-2</v>
      </c>
      <c r="CK152" s="636">
        <v>9.3586403999999998E-2</v>
      </c>
      <c r="CL152" s="636">
        <v>0.12742363700000001</v>
      </c>
      <c r="CM152" s="636">
        <v>0.23579239799999999</v>
      </c>
      <c r="CN152" s="636">
        <v>5.7501319000000009E-2</v>
      </c>
      <c r="CO152" s="636">
        <v>0.13325522400000001</v>
      </c>
      <c r="CP152" s="636">
        <v>1.272474028</v>
      </c>
      <c r="CQ152" s="636">
        <v>0.30281487899999998</v>
      </c>
      <c r="CR152" s="636">
        <v>-0.47775453799999995</v>
      </c>
      <c r="CS152" s="636"/>
      <c r="CT152" s="636">
        <v>5.3079032722641174E-2</v>
      </c>
      <c r="CU152" s="636">
        <v>5.3079032722641174E-2</v>
      </c>
      <c r="CV152" s="636">
        <v>5.3079032722641174E-2</v>
      </c>
      <c r="CW152" s="636">
        <v>5.3079032722641174E-2</v>
      </c>
      <c r="CX152" s="636">
        <v>5.3079032722641174E-2</v>
      </c>
      <c r="CY152" s="636">
        <v>5.3079032722641174E-2</v>
      </c>
      <c r="CZ152" s="636">
        <v>5.3079032722641174E-2</v>
      </c>
      <c r="DA152" s="636">
        <v>5.3079032722641174E-2</v>
      </c>
      <c r="DB152" s="636">
        <v>5.3079032722641174E-2</v>
      </c>
      <c r="DC152" s="636">
        <v>5.3079032722641174E-2</v>
      </c>
      <c r="DD152" s="636">
        <v>5.3079032722641174E-2</v>
      </c>
      <c r="DE152" s="636">
        <v>5.3079032722641174E-2</v>
      </c>
      <c r="DF152" s="390">
        <f t="shared" si="7"/>
        <v>0.15923709816792353</v>
      </c>
      <c r="DG152" s="636">
        <v>0</v>
      </c>
      <c r="DH152" s="636">
        <v>0.16590488929607772</v>
      </c>
      <c r="DI152" s="636">
        <v>8.3614368924814969E-2</v>
      </c>
      <c r="DJ152" s="636">
        <v>6.296860842481497E-2</v>
      </c>
      <c r="DK152" s="636">
        <v>2.0424000000000001E-2</v>
      </c>
      <c r="DL152" s="636">
        <v>3.5999999999999999E-3</v>
      </c>
      <c r="DM152" s="636">
        <v>3.5999999999999999E-3</v>
      </c>
      <c r="DN152" s="636">
        <v>0</v>
      </c>
      <c r="DO152" s="636">
        <v>2.1840000000000002E-2</v>
      </c>
      <c r="DP152" s="636">
        <v>1.4429999999999998E-2</v>
      </c>
      <c r="DQ152" s="636">
        <v>0</v>
      </c>
      <c r="DR152" s="636">
        <v>0</v>
      </c>
      <c r="DS152" s="636">
        <v>0</v>
      </c>
      <c r="DT152" s="639"/>
      <c r="ES152" s="639"/>
      <c r="ET152" s="639"/>
      <c r="FS152" s="639"/>
      <c r="FT152" s="636">
        <v>0</v>
      </c>
      <c r="FU152" s="636">
        <v>0</v>
      </c>
      <c r="FV152" s="636">
        <v>0</v>
      </c>
      <c r="FW152" s="636">
        <v>0</v>
      </c>
      <c r="FX152" s="636"/>
      <c r="FY152" s="636">
        <v>2.1833027869999997</v>
      </c>
      <c r="FZ152" s="636">
        <v>0.63694839267169412</v>
      </c>
      <c r="GA152" s="636">
        <v>0.37638186664570766</v>
      </c>
      <c r="GC152" s="636"/>
      <c r="GD152" s="636">
        <v>0</v>
      </c>
      <c r="GE152" s="636">
        <v>0</v>
      </c>
      <c r="GF152" s="636"/>
      <c r="GH152" s="636">
        <v>0</v>
      </c>
      <c r="GI152" s="636">
        <v>0</v>
      </c>
      <c r="GJ152" s="636">
        <v>0</v>
      </c>
      <c r="GK152" s="636">
        <v>0</v>
      </c>
      <c r="GL152" s="636"/>
      <c r="GM152" s="636">
        <v>-0.47775453799999995</v>
      </c>
      <c r="GN152" s="636">
        <v>5.3079032722641174E-2</v>
      </c>
      <c r="GO152" s="636">
        <v>0</v>
      </c>
      <c r="GP152" s="636">
        <v>-0.53083357072264115</v>
      </c>
      <c r="GQ152" s="636">
        <v>0</v>
      </c>
      <c r="GR152" s="636">
        <v>0</v>
      </c>
      <c r="GS152" s="636">
        <v>0</v>
      </c>
      <c r="GT152" s="636">
        <v>0</v>
      </c>
      <c r="GU152" s="636">
        <v>0</v>
      </c>
      <c r="GX152" s="294"/>
    </row>
    <row r="153" spans="1:206" ht="12.75" customHeight="1">
      <c r="D153" s="206" t="s">
        <v>25</v>
      </c>
      <c r="G153" s="639"/>
      <c r="H153" s="639"/>
      <c r="I153" s="639"/>
      <c r="J153" s="639"/>
      <c r="K153" s="639"/>
      <c r="L153" s="639"/>
      <c r="M153" s="639"/>
      <c r="N153" s="639"/>
      <c r="O153" s="639"/>
      <c r="P153" s="639"/>
      <c r="Q153" s="639"/>
      <c r="R153" s="639"/>
      <c r="S153" s="639"/>
      <c r="T153" s="639"/>
      <c r="U153" s="639"/>
      <c r="V153" s="639"/>
      <c r="W153" s="639"/>
      <c r="X153" s="639"/>
      <c r="Y153" s="639"/>
      <c r="Z153" s="639"/>
      <c r="AA153" s="639"/>
      <c r="AB153" s="639"/>
      <c r="AC153" s="639"/>
      <c r="AD153" s="639"/>
      <c r="AE153" s="639"/>
      <c r="AF153" s="639"/>
      <c r="AG153" s="639"/>
      <c r="AH153" s="639"/>
      <c r="AI153" s="639"/>
      <c r="AJ153" s="639"/>
      <c r="AK153" s="639"/>
      <c r="AL153" s="639"/>
      <c r="AM153" s="639"/>
      <c r="AN153" s="639"/>
      <c r="AO153" s="639"/>
      <c r="AP153" s="639"/>
      <c r="AQ153" s="639"/>
      <c r="AR153" s="639"/>
      <c r="CG153" s="636">
        <v>-0.17008529999999999</v>
      </c>
      <c r="CH153" s="636">
        <v>-0.22534950000000001</v>
      </c>
      <c r="CI153" s="636">
        <v>-0.187343496</v>
      </c>
      <c r="CJ153" s="636">
        <v>-0.114385526</v>
      </c>
      <c r="CK153" s="636">
        <v>-0.120993376</v>
      </c>
      <c r="CL153" s="636">
        <v>-9.3588199999999996E-2</v>
      </c>
      <c r="CM153" s="636">
        <v>1.1344783999999999</v>
      </c>
      <c r="CN153" s="636">
        <v>-0.11849660000000001</v>
      </c>
      <c r="CO153" s="636">
        <v>-0.105198282</v>
      </c>
      <c r="CP153" s="636">
        <v>-0.13838995000000001</v>
      </c>
      <c r="CQ153" s="636">
        <v>-0.12772320300000001</v>
      </c>
      <c r="CR153" s="636">
        <v>-0.21282552399999993</v>
      </c>
      <c r="CS153" s="636"/>
      <c r="CT153" s="636">
        <v>0</v>
      </c>
      <c r="CU153" s="636">
        <v>0</v>
      </c>
      <c r="CV153" s="636">
        <v>0</v>
      </c>
      <c r="CW153" s="636">
        <v>0</v>
      </c>
      <c r="CX153" s="636">
        <v>0</v>
      </c>
      <c r="CY153" s="636">
        <v>0</v>
      </c>
      <c r="CZ153" s="636">
        <v>0</v>
      </c>
      <c r="DA153" s="636">
        <v>0</v>
      </c>
      <c r="DB153" s="636">
        <v>0</v>
      </c>
      <c r="DC153" s="636">
        <v>0</v>
      </c>
      <c r="DD153" s="636">
        <v>0</v>
      </c>
      <c r="DE153" s="636">
        <v>0</v>
      </c>
      <c r="DF153" s="390">
        <f t="shared" si="7"/>
        <v>0</v>
      </c>
      <c r="DG153" s="636">
        <v>0</v>
      </c>
      <c r="DH153" s="636">
        <v>-0.13059999999999999</v>
      </c>
      <c r="DI153" s="636">
        <v>-0.10489791666666699</v>
      </c>
      <c r="DJ153" s="636">
        <v>-7.2286232500000006E-2</v>
      </c>
      <c r="DK153" s="636">
        <v>-4.5705616666666699E-2</v>
      </c>
      <c r="DL153" s="636">
        <v>-4.2688983333333298E-2</v>
      </c>
      <c r="DM153" s="636">
        <v>-5.1424133333333302E-2</v>
      </c>
      <c r="DN153" s="636">
        <v>-0.10439058347499999</v>
      </c>
      <c r="DO153" s="636">
        <v>-0.297527975</v>
      </c>
      <c r="DP153" s="636">
        <v>-0.11</v>
      </c>
      <c r="DQ153" s="636">
        <v>0</v>
      </c>
      <c r="DR153" s="636">
        <v>0</v>
      </c>
      <c r="DS153" s="636">
        <v>0</v>
      </c>
      <c r="DT153" s="639"/>
      <c r="ES153" s="639"/>
      <c r="ET153" s="639"/>
      <c r="FS153" s="639"/>
      <c r="FT153" s="636">
        <v>0</v>
      </c>
      <c r="FU153" s="636">
        <v>0</v>
      </c>
      <c r="FV153" s="636">
        <v>0</v>
      </c>
      <c r="FW153" s="636">
        <v>0</v>
      </c>
      <c r="FX153" s="636"/>
      <c r="FY153" s="636">
        <v>-0.47990055700000006</v>
      </c>
      <c r="FZ153" s="636">
        <v>0</v>
      </c>
      <c r="GA153" s="636">
        <v>-0.95952144097500025</v>
      </c>
      <c r="GC153" s="636"/>
      <c r="GD153" s="636">
        <v>0</v>
      </c>
      <c r="GE153" s="636">
        <v>0</v>
      </c>
      <c r="GF153" s="636"/>
      <c r="GH153" s="636">
        <v>0</v>
      </c>
      <c r="GI153" s="636">
        <v>0</v>
      </c>
      <c r="GJ153" s="636">
        <v>0</v>
      </c>
      <c r="GK153" s="636">
        <v>0</v>
      </c>
      <c r="GL153" s="636"/>
      <c r="GM153" s="636">
        <v>-0.21282552399999993</v>
      </c>
      <c r="GN153" s="636">
        <v>0</v>
      </c>
      <c r="GO153" s="636">
        <v>0</v>
      </c>
      <c r="GP153" s="636">
        <v>-0.21282552399999993</v>
      </c>
      <c r="GQ153" s="636">
        <v>0</v>
      </c>
      <c r="GR153" s="636">
        <v>0</v>
      </c>
      <c r="GS153" s="636">
        <v>0</v>
      </c>
      <c r="GT153" s="636">
        <v>0</v>
      </c>
      <c r="GU153" s="636">
        <v>0</v>
      </c>
      <c r="GX153" s="294"/>
    </row>
    <row r="154" spans="1:206" ht="12.75" customHeight="1">
      <c r="A154" s="213"/>
      <c r="G154" s="639"/>
      <c r="H154" s="639"/>
      <c r="I154" s="639"/>
      <c r="J154" s="639"/>
      <c r="K154" s="639"/>
      <c r="L154" s="639"/>
      <c r="M154" s="639"/>
      <c r="N154" s="639"/>
      <c r="O154" s="639"/>
      <c r="P154" s="639"/>
      <c r="Q154" s="639"/>
      <c r="R154" s="639"/>
      <c r="S154" s="639"/>
      <c r="T154" s="639"/>
      <c r="U154" s="639"/>
      <c r="V154" s="639"/>
      <c r="W154" s="639"/>
      <c r="X154" s="639"/>
      <c r="Y154" s="639"/>
      <c r="Z154" s="639"/>
      <c r="AA154" s="639"/>
      <c r="AB154" s="639"/>
      <c r="AC154" s="639"/>
      <c r="AD154" s="639"/>
      <c r="AE154" s="639"/>
      <c r="AF154" s="639"/>
      <c r="AG154" s="639"/>
      <c r="AH154" s="639"/>
      <c r="AI154" s="639"/>
      <c r="AJ154" s="639"/>
      <c r="AK154" s="639"/>
      <c r="AL154" s="639"/>
      <c r="AM154" s="639"/>
      <c r="AN154" s="639"/>
      <c r="AO154" s="639"/>
      <c r="AP154" s="639"/>
      <c r="AQ154" s="639"/>
      <c r="AR154" s="639"/>
      <c r="CG154" s="636"/>
      <c r="CH154" s="636"/>
      <c r="CI154" s="636"/>
      <c r="CJ154" s="636"/>
      <c r="CK154" s="636"/>
      <c r="CL154" s="636"/>
      <c r="CN154" s="636"/>
      <c r="CO154" s="636"/>
      <c r="CP154" s="636"/>
      <c r="CQ154" s="636"/>
      <c r="CR154" s="636"/>
      <c r="CS154" s="636"/>
      <c r="CT154" s="636"/>
      <c r="CU154" s="636"/>
      <c r="CV154" s="636"/>
      <c r="CW154" s="639"/>
      <c r="CX154" s="636"/>
      <c r="CY154" s="639"/>
      <c r="CZ154" s="639"/>
      <c r="DA154" s="639"/>
      <c r="DB154" s="639"/>
      <c r="DC154" s="636"/>
      <c r="DD154" s="636"/>
      <c r="DE154" s="636"/>
      <c r="DF154" s="390">
        <f t="shared" si="7"/>
        <v>0</v>
      </c>
      <c r="DG154" s="639"/>
      <c r="DH154" s="639"/>
      <c r="DI154" s="639"/>
      <c r="DJ154" s="639"/>
      <c r="DK154" s="639"/>
      <c r="DL154" s="639"/>
      <c r="DM154" s="639"/>
      <c r="DN154" s="639"/>
      <c r="DO154" s="639"/>
      <c r="DP154" s="639"/>
      <c r="DQ154" s="639"/>
      <c r="DR154" s="639"/>
      <c r="DT154" s="639"/>
      <c r="ES154" s="639"/>
      <c r="ET154" s="639"/>
      <c r="FS154" s="639"/>
      <c r="FT154" s="636"/>
      <c r="FU154" s="636"/>
      <c r="FV154" s="636"/>
      <c r="FW154" s="636"/>
      <c r="FX154" s="636"/>
      <c r="FY154" s="636"/>
      <c r="FZ154" s="636"/>
      <c r="GA154" s="636"/>
      <c r="GC154" s="636"/>
      <c r="GD154" s="636"/>
      <c r="GE154" s="636"/>
      <c r="GF154" s="636"/>
      <c r="GH154" s="636"/>
      <c r="GI154" s="636"/>
      <c r="GJ154" s="636"/>
      <c r="GK154" s="636"/>
      <c r="GL154" s="636"/>
      <c r="GM154" s="636"/>
      <c r="GN154" s="639"/>
      <c r="GO154" s="639"/>
      <c r="GP154" s="636"/>
      <c r="GQ154" s="636"/>
      <c r="GR154" s="639"/>
      <c r="GS154" s="636"/>
      <c r="GT154" s="636"/>
      <c r="GU154" s="636"/>
      <c r="GX154" s="294"/>
    </row>
    <row r="155" spans="1:206" ht="12.75" customHeight="1">
      <c r="A155" s="213"/>
      <c r="D155" s="206" t="s">
        <v>352</v>
      </c>
      <c r="G155" s="639">
        <v>64.75</v>
      </c>
      <c r="H155" s="639">
        <v>60.070000000000007</v>
      </c>
      <c r="I155" s="639">
        <v>52.14</v>
      </c>
      <c r="J155" s="639">
        <v>65.19</v>
      </c>
      <c r="K155" s="639">
        <v>56.92</v>
      </c>
      <c r="L155" s="639">
        <v>33.480000000000004</v>
      </c>
      <c r="M155" s="639">
        <v>38.900000000000006</v>
      </c>
      <c r="N155" s="639">
        <v>20.13</v>
      </c>
      <c r="O155" s="639">
        <v>36.519999999999996</v>
      </c>
      <c r="P155" s="639">
        <v>37.896000000000008</v>
      </c>
      <c r="Q155" s="639">
        <v>57.989999999999995</v>
      </c>
      <c r="R155" s="639">
        <v>19.16</v>
      </c>
      <c r="S155" s="639">
        <v>0</v>
      </c>
      <c r="T155" s="639">
        <v>70</v>
      </c>
      <c r="U155" s="639">
        <v>110</v>
      </c>
      <c r="V155" s="639">
        <v>115</v>
      </c>
      <c r="W155" s="639">
        <v>110</v>
      </c>
      <c r="X155" s="639">
        <v>115</v>
      </c>
      <c r="Y155" s="639">
        <v>135</v>
      </c>
      <c r="Z155" s="639">
        <v>135</v>
      </c>
      <c r="AA155" s="639">
        <v>115</v>
      </c>
      <c r="AB155" s="639">
        <v>135</v>
      </c>
      <c r="AC155" s="639">
        <v>135</v>
      </c>
      <c r="AD155" s="639">
        <v>90</v>
      </c>
      <c r="AE155" s="639">
        <v>135</v>
      </c>
      <c r="AF155" s="639">
        <v>0</v>
      </c>
      <c r="AG155" s="639">
        <v>0</v>
      </c>
      <c r="AH155" s="639">
        <v>0</v>
      </c>
      <c r="AI155" s="639">
        <v>0</v>
      </c>
      <c r="AJ155" s="639">
        <v>0</v>
      </c>
      <c r="AK155" s="639">
        <v>0</v>
      </c>
      <c r="AL155" s="639">
        <v>0</v>
      </c>
      <c r="AM155" s="639">
        <v>0</v>
      </c>
      <c r="AN155" s="639">
        <v>0</v>
      </c>
      <c r="AO155" s="639">
        <v>0</v>
      </c>
      <c r="AP155" s="639">
        <v>0</v>
      </c>
      <c r="AQ155" s="639">
        <v>0</v>
      </c>
      <c r="AR155" s="639">
        <v>0</v>
      </c>
      <c r="AS155" s="639">
        <v>0</v>
      </c>
      <c r="AT155" s="639">
        <v>0</v>
      </c>
      <c r="AU155" s="639">
        <v>0</v>
      </c>
      <c r="AV155" s="639">
        <v>0</v>
      </c>
      <c r="AW155" s="639">
        <v>0</v>
      </c>
      <c r="AX155" s="639">
        <v>0</v>
      </c>
      <c r="AY155" s="639">
        <v>0</v>
      </c>
      <c r="AZ155" s="639">
        <v>0</v>
      </c>
      <c r="BA155" s="639">
        <v>0</v>
      </c>
      <c r="BB155" s="639">
        <v>0</v>
      </c>
      <c r="BC155" s="639">
        <v>0</v>
      </c>
      <c r="BD155" s="639">
        <v>0</v>
      </c>
      <c r="BE155" s="639">
        <v>0</v>
      </c>
      <c r="BF155" s="639">
        <v>0</v>
      </c>
      <c r="BG155" s="639">
        <v>28000</v>
      </c>
      <c r="BH155" s="639">
        <v>43454.545454545456</v>
      </c>
      <c r="BI155" s="639">
        <v>26782.608695652172</v>
      </c>
      <c r="BJ155" s="639">
        <v>44818.181818181823</v>
      </c>
      <c r="BK155" s="639">
        <v>28521.739130434784</v>
      </c>
      <c r="BL155" s="639">
        <v>40592.592592592599</v>
      </c>
      <c r="BM155" s="639">
        <v>40592.592592592599</v>
      </c>
      <c r="BN155" s="639">
        <v>28521.739130434784</v>
      </c>
      <c r="BO155" s="639">
        <v>40592.592592592599</v>
      </c>
      <c r="BP155" s="639">
        <v>40592.592592592599</v>
      </c>
      <c r="BQ155" s="639">
        <v>47000</v>
      </c>
      <c r="BR155" s="639">
        <v>40592.592592592599</v>
      </c>
      <c r="BS155" s="639">
        <v>0</v>
      </c>
      <c r="BT155" s="639">
        <v>0</v>
      </c>
      <c r="BU155" s="639">
        <v>0</v>
      </c>
      <c r="BV155" s="639">
        <v>0</v>
      </c>
      <c r="BW155" s="639">
        <v>0</v>
      </c>
      <c r="BX155" s="639">
        <v>0</v>
      </c>
      <c r="BY155" s="639">
        <v>0</v>
      </c>
      <c r="BZ155" s="639">
        <v>0</v>
      </c>
      <c r="CA155" s="639">
        <v>0</v>
      </c>
      <c r="CB155" s="639">
        <v>0</v>
      </c>
      <c r="CC155" s="639">
        <v>0</v>
      </c>
      <c r="CD155" s="639">
        <v>0</v>
      </c>
      <c r="CE155" s="639">
        <v>0</v>
      </c>
      <c r="CF155" s="639">
        <v>0</v>
      </c>
      <c r="CG155" s="639">
        <v>0.15041241799999999</v>
      </c>
      <c r="CH155" s="639">
        <v>0.15406867299999999</v>
      </c>
      <c r="CI155" s="639">
        <v>0.125341432</v>
      </c>
      <c r="CJ155" s="636">
        <v>0.17543999500000002</v>
      </c>
      <c r="CK155" s="636">
        <v>0.108089671</v>
      </c>
      <c r="CL155" s="639">
        <v>5.7724139999999993E-2</v>
      </c>
      <c r="CM155" s="639">
        <v>6.6064536000000007E-2</v>
      </c>
      <c r="CN155" s="639">
        <v>3.4943795999999999E-2</v>
      </c>
      <c r="CO155" s="639">
        <v>5.7568485000000003E-2</v>
      </c>
      <c r="CP155" s="639">
        <v>5.2286596000000005E-2</v>
      </c>
      <c r="CQ155" s="639">
        <v>6.9987957000000003E-2</v>
      </c>
      <c r="CR155" s="639">
        <v>2.2652217000000002E-2</v>
      </c>
      <c r="CS155" s="639"/>
      <c r="CT155" s="639">
        <v>0.19600000000000001</v>
      </c>
      <c r="CU155" s="639">
        <v>0.47800000000000004</v>
      </c>
      <c r="CV155" s="639">
        <v>0.308</v>
      </c>
      <c r="CW155" s="639">
        <v>0.49300000000000005</v>
      </c>
      <c r="CX155" s="636">
        <v>0.32800000000000001</v>
      </c>
      <c r="CY155" s="639">
        <v>0.54800000000000004</v>
      </c>
      <c r="CZ155" s="639">
        <v>0.54800000000000004</v>
      </c>
      <c r="DA155" s="639">
        <v>0.32800000000000001</v>
      </c>
      <c r="DB155" s="639">
        <v>0.54800000000000004</v>
      </c>
      <c r="DC155" s="636">
        <v>0.54800000000000004</v>
      </c>
      <c r="DD155" s="636">
        <v>0.42300000000000004</v>
      </c>
      <c r="DE155" s="636">
        <v>0.54800000000000004</v>
      </c>
      <c r="DF155" s="390">
        <f t="shared" si="7"/>
        <v>1.5190000000000001</v>
      </c>
      <c r="DG155" s="639">
        <v>0</v>
      </c>
      <c r="DH155" s="639">
        <v>0</v>
      </c>
      <c r="DI155" s="639">
        <v>0</v>
      </c>
      <c r="DJ155" s="639">
        <v>0</v>
      </c>
      <c r="DK155" s="639">
        <v>0</v>
      </c>
      <c r="DL155" s="639">
        <v>0</v>
      </c>
      <c r="DM155" s="639">
        <v>0</v>
      </c>
      <c r="DN155" s="639">
        <v>0</v>
      </c>
      <c r="DO155" s="639">
        <v>0</v>
      </c>
      <c r="DP155" s="639">
        <v>0</v>
      </c>
      <c r="DQ155" s="639">
        <v>0</v>
      </c>
      <c r="DR155" s="639">
        <v>0</v>
      </c>
      <c r="DS155" s="639">
        <v>0</v>
      </c>
      <c r="DT155" s="639">
        <v>-3.0887582E-2</v>
      </c>
      <c r="DU155" s="639">
        <v>-1.412732700000004E-2</v>
      </c>
      <c r="DV155" s="639">
        <v>-2.0650568000000008E-2</v>
      </c>
      <c r="DW155" s="639">
        <v>-1.3611004999999987E-2</v>
      </c>
      <c r="DX155" s="639">
        <v>-5.6978329000000015E-2</v>
      </c>
      <c r="DY155" s="639">
        <v>-3.9367860000000032E-2</v>
      </c>
      <c r="DZ155" s="639">
        <v>-4.6745464000000021E-2</v>
      </c>
      <c r="EA155" s="639">
        <v>-2.4441204000000001E-2</v>
      </c>
      <c r="EB155" s="639">
        <v>-4.8339514999999993E-2</v>
      </c>
      <c r="EC155" s="639">
        <v>-5.8125404000000033E-2</v>
      </c>
      <c r="ED155" s="639">
        <v>-9.8183042999999998E-2</v>
      </c>
      <c r="EE155" s="639">
        <v>-3.2911783E-2</v>
      </c>
      <c r="EF155" s="639">
        <v>0</v>
      </c>
      <c r="EG155" s="639"/>
      <c r="EH155" s="639"/>
      <c r="EI155" s="639"/>
      <c r="EJ155" s="639"/>
      <c r="EK155" s="639"/>
      <c r="EL155" s="639"/>
      <c r="EM155" s="639"/>
      <c r="EN155" s="639"/>
      <c r="EO155" s="639"/>
      <c r="EP155" s="639"/>
      <c r="EQ155" s="639"/>
      <c r="ER155" s="639"/>
      <c r="ES155" s="639"/>
      <c r="ET155" s="639"/>
      <c r="EU155" s="639"/>
      <c r="EV155" s="639"/>
      <c r="EW155" s="639"/>
      <c r="EX155" s="639"/>
      <c r="EY155" s="639"/>
      <c r="EZ155" s="639"/>
      <c r="FA155" s="639"/>
      <c r="FB155" s="639"/>
      <c r="FC155" s="639"/>
      <c r="FD155" s="639"/>
      <c r="FE155" s="639"/>
      <c r="FF155" s="639"/>
      <c r="FG155" s="639"/>
      <c r="FH155" s="639"/>
      <c r="FI155" s="639"/>
      <c r="FJ155" s="639"/>
      <c r="FK155" s="639"/>
      <c r="FL155" s="639"/>
      <c r="FM155" s="639"/>
      <c r="FN155" s="639"/>
      <c r="FO155" s="639"/>
      <c r="FP155" s="639"/>
      <c r="FQ155" s="639"/>
      <c r="FR155" s="639"/>
      <c r="FS155" s="639"/>
      <c r="FT155" s="639">
        <v>543.14599999999996</v>
      </c>
      <c r="FU155" s="639">
        <v>1400</v>
      </c>
      <c r="FV155" s="639">
        <v>0</v>
      </c>
      <c r="FW155" s="639">
        <v>-856.85400000000004</v>
      </c>
      <c r="FX155" s="639"/>
      <c r="FY155" s="636">
        <v>1.0745799160000002</v>
      </c>
      <c r="FZ155" s="639">
        <v>5.2939999999999996</v>
      </c>
      <c r="GA155" s="639">
        <v>0</v>
      </c>
      <c r="GB155" s="639"/>
      <c r="GC155" s="636"/>
      <c r="GD155" s="639">
        <v>-0.48436908400000001</v>
      </c>
      <c r="GE155" s="639">
        <v>0</v>
      </c>
      <c r="GF155" s="639"/>
      <c r="GG155" s="639">
        <v>0</v>
      </c>
      <c r="GH155" s="639">
        <v>19.16</v>
      </c>
      <c r="GI155" s="639">
        <v>135</v>
      </c>
      <c r="GJ155" s="639">
        <v>0</v>
      </c>
      <c r="GK155" s="639">
        <v>-115.84</v>
      </c>
      <c r="GL155" s="639"/>
      <c r="GM155" s="639">
        <v>2.2652217000000002E-2</v>
      </c>
      <c r="GN155" s="639">
        <v>0.54800000000000004</v>
      </c>
      <c r="GO155" s="639">
        <v>0</v>
      </c>
      <c r="GP155" s="636">
        <v>-0.52534778300000007</v>
      </c>
      <c r="GQ155" s="636">
        <v>-0.49243599999999998</v>
      </c>
      <c r="GR155" s="639">
        <v>-3.2911783E-2</v>
      </c>
      <c r="GS155" s="639">
        <v>0</v>
      </c>
      <c r="GT155" s="639">
        <v>2.2652217000000006E-2</v>
      </c>
      <c r="GU155" s="639">
        <v>0</v>
      </c>
      <c r="GX155" s="294"/>
    </row>
    <row r="156" spans="1:206" ht="12.75" customHeight="1">
      <c r="A156" s="213"/>
      <c r="D156" s="206" t="s">
        <v>353</v>
      </c>
      <c r="G156" s="639">
        <v>29.102460000000001</v>
      </c>
      <c r="H156" s="639">
        <v>41.104219999999998</v>
      </c>
      <c r="I156" s="639">
        <v>55.796400000000006</v>
      </c>
      <c r="J156" s="639">
        <v>41.644380000000005</v>
      </c>
      <c r="K156" s="639">
        <v>23.02824</v>
      </c>
      <c r="L156" s="639">
        <v>46.735299999999995</v>
      </c>
      <c r="M156" s="639">
        <v>54.647900000000007</v>
      </c>
      <c r="N156" s="639">
        <v>56.083660000000002</v>
      </c>
      <c r="O156" s="639">
        <v>86.908600000000007</v>
      </c>
      <c r="P156" s="639">
        <v>65.324160000000006</v>
      </c>
      <c r="Q156" s="639">
        <v>63.204859999999996</v>
      </c>
      <c r="R156" s="639">
        <v>53.646140000000003</v>
      </c>
      <c r="S156" s="639">
        <v>48.351604721736834</v>
      </c>
      <c r="T156" s="639">
        <v>30.317899999999998</v>
      </c>
      <c r="U156" s="639">
        <v>30.192499999999999</v>
      </c>
      <c r="V156" s="639">
        <v>29.892499999999998</v>
      </c>
      <c r="W156" s="639">
        <v>30.052499999999998</v>
      </c>
      <c r="X156" s="639">
        <v>29.892499999999998</v>
      </c>
      <c r="Y156" s="639">
        <v>30.252499999999998</v>
      </c>
      <c r="Z156" s="639">
        <v>34.575833333333335</v>
      </c>
      <c r="AA156" s="639">
        <v>34.545833333333334</v>
      </c>
      <c r="AB156" s="639">
        <v>34.545833333333334</v>
      </c>
      <c r="AC156" s="639">
        <v>34.545833333333334</v>
      </c>
      <c r="AD156" s="639">
        <v>34.545833333333334</v>
      </c>
      <c r="AE156" s="639">
        <v>34.545833333333334</v>
      </c>
      <c r="AF156" s="639">
        <v>0</v>
      </c>
      <c r="AG156" s="639">
        <v>0</v>
      </c>
      <c r="AH156" s="639">
        <v>57.192169999999997</v>
      </c>
      <c r="AI156" s="639">
        <v>56.930639999999997</v>
      </c>
      <c r="AJ156" s="639">
        <v>45.510559999999998</v>
      </c>
      <c r="AK156" s="639">
        <v>20.4816</v>
      </c>
      <c r="AL156" s="639">
        <v>40.779519999999998</v>
      </c>
      <c r="AM156" s="639">
        <v>72.518879999999996</v>
      </c>
      <c r="AN156" s="639">
        <v>69.055520000000001</v>
      </c>
      <c r="AO156" s="639">
        <v>69.116990000000001</v>
      </c>
      <c r="AP156" s="639">
        <v>77.587680000000006</v>
      </c>
      <c r="AQ156" s="639">
        <v>76.604420000000005</v>
      </c>
      <c r="AR156" s="639">
        <v>47.217200000000005</v>
      </c>
      <c r="AS156" s="639">
        <v>1.1910356063324776E-2</v>
      </c>
      <c r="AT156" s="639">
        <v>6.0628343789494084</v>
      </c>
      <c r="AU156" s="639">
        <v>6.1855649809192341</v>
      </c>
      <c r="AV156" s="639">
        <v>5.5155838871325029</v>
      </c>
      <c r="AW156" s="639">
        <v>6.1114990954361659</v>
      </c>
      <c r="AX156" s="639">
        <v>9.5857355056226634</v>
      </c>
      <c r="AY156" s="639">
        <v>7.0052527019191055</v>
      </c>
      <c r="AZ156" s="639">
        <v>7.5735149529991075</v>
      </c>
      <c r="BA156" s="639">
        <v>5.5749665981143162</v>
      </c>
      <c r="BB156" s="639">
        <v>5.2770620099736947</v>
      </c>
      <c r="BC156" s="639">
        <v>7.0159162000705368</v>
      </c>
      <c r="BD156" s="639">
        <v>5.8400453161354999</v>
      </c>
      <c r="BE156" s="639">
        <v>6.92622887313048</v>
      </c>
      <c r="BF156" s="639">
        <v>0</v>
      </c>
      <c r="BG156" s="639">
        <v>11.799415218212081</v>
      </c>
      <c r="BH156" s="639">
        <v>6.9731941643535729</v>
      </c>
      <c r="BI156" s="639">
        <v>6.597839438582688</v>
      </c>
      <c r="BJ156" s="639">
        <v>6.886790199282089</v>
      </c>
      <c r="BK156" s="639">
        <v>6.597839438582688</v>
      </c>
      <c r="BL156" s="639">
        <v>7.1000983384200946</v>
      </c>
      <c r="BM156" s="639">
        <v>8.9230518608256322</v>
      </c>
      <c r="BN156" s="639">
        <v>8.8922657057239611</v>
      </c>
      <c r="BO156" s="639">
        <v>8.8922657057239611</v>
      </c>
      <c r="BP156" s="639">
        <v>8.8922657057239611</v>
      </c>
      <c r="BQ156" s="639">
        <v>8.8922657057239611</v>
      </c>
      <c r="BR156" s="639">
        <v>8.8922657057239611</v>
      </c>
      <c r="BS156" s="639">
        <v>0</v>
      </c>
      <c r="BT156" s="639">
        <v>0</v>
      </c>
      <c r="BU156" s="639">
        <v>5.9078869782088095</v>
      </c>
      <c r="BV156" s="639">
        <v>5.8145913549516131</v>
      </c>
      <c r="BW156" s="639">
        <v>5.4300934024968601</v>
      </c>
      <c r="BX156" s="639">
        <v>11.117505366231107</v>
      </c>
      <c r="BY156" s="639">
        <v>8.3537452732052717</v>
      </c>
      <c r="BZ156" s="639">
        <v>6.3590209844512531</v>
      </c>
      <c r="CA156" s="639">
        <v>5.2486070416555615</v>
      </c>
      <c r="CB156" s="639">
        <v>7.1159599378236322</v>
      </c>
      <c r="CC156" s="639">
        <v>7.4948846960018844</v>
      </c>
      <c r="CD156" s="639">
        <v>6.7024549075432818</v>
      </c>
      <c r="CE156" s="639">
        <v>6.0425870067368193</v>
      </c>
      <c r="CF156" s="639">
        <v>0</v>
      </c>
      <c r="CG156" s="639">
        <v>1.7644339499999999</v>
      </c>
      <c r="CH156" s="639">
        <v>2.5425282380000001</v>
      </c>
      <c r="CI156" s="639">
        <v>3.0774972480000002</v>
      </c>
      <c r="CJ156" s="636">
        <v>2.5450959069999999</v>
      </c>
      <c r="CK156" s="636">
        <v>2.2074261780000004</v>
      </c>
      <c r="CL156" s="639">
        <v>3.2739258659999995</v>
      </c>
      <c r="CM156" s="639">
        <v>4.1387668780000002</v>
      </c>
      <c r="CN156" s="639">
        <v>3.126645312</v>
      </c>
      <c r="CO156" s="639">
        <v>4.5862207139999995</v>
      </c>
      <c r="CP156" s="639">
        <v>4.5830883239999984</v>
      </c>
      <c r="CQ156" s="639">
        <v>3.6911924660000004</v>
      </c>
      <c r="CR156" s="639">
        <v>3.7156544379999996</v>
      </c>
      <c r="CS156" s="639"/>
      <c r="CT156" s="639">
        <v>3.5773349064423203</v>
      </c>
      <c r="CU156" s="639">
        <v>2.1053816480724525</v>
      </c>
      <c r="CV156" s="639">
        <v>1.9722591541783299</v>
      </c>
      <c r="CW156" s="639">
        <v>2.0696526246392497</v>
      </c>
      <c r="CX156" s="636">
        <v>1.9722591541783299</v>
      </c>
      <c r="CY156" s="639">
        <v>2.1479572498305388</v>
      </c>
      <c r="CZ156" s="639">
        <v>3.0852195396459692</v>
      </c>
      <c r="DA156" s="639">
        <v>3.071907290256557</v>
      </c>
      <c r="DB156" s="639">
        <v>3.071907290256557</v>
      </c>
      <c r="DC156" s="636">
        <v>3.071907290256557</v>
      </c>
      <c r="DD156" s="636">
        <v>3.071907290256557</v>
      </c>
      <c r="DE156" s="636">
        <v>3.071907290256557</v>
      </c>
      <c r="DF156" s="390">
        <f t="shared" si="7"/>
        <v>9.21572187076967</v>
      </c>
      <c r="DG156" s="639">
        <v>0</v>
      </c>
      <c r="DH156" s="639">
        <v>3.3788487639850446</v>
      </c>
      <c r="DI156" s="639">
        <v>3.310284071758625</v>
      </c>
      <c r="DJ156" s="639">
        <v>2.4712659159993748</v>
      </c>
      <c r="DK156" s="639">
        <v>2.2770429790899906</v>
      </c>
      <c r="DL156" s="639">
        <v>3.4066172244357982</v>
      </c>
      <c r="DM156" s="639">
        <v>4.6114907968890222</v>
      </c>
      <c r="DN156" s="639">
        <v>3.6244528853718645</v>
      </c>
      <c r="DO156" s="639">
        <v>4.9183373186295665</v>
      </c>
      <c r="DP156" s="639">
        <v>5.8151071543029147</v>
      </c>
      <c r="DQ156" s="639">
        <v>5.1343767076850675</v>
      </c>
      <c r="DR156" s="639">
        <v>2.8531403921449376</v>
      </c>
      <c r="DS156" s="639">
        <v>0</v>
      </c>
      <c r="DT156" s="639">
        <v>-0.26312223714611399</v>
      </c>
      <c r="DU156" s="639">
        <v>-2.1919533745399622E-2</v>
      </c>
      <c r="DV156" s="639">
        <v>-0.63278281167893202</v>
      </c>
      <c r="DW156" s="639">
        <v>-0.38190844847959454</v>
      </c>
      <c r="DX156" s="639">
        <v>-0.71603970580372356</v>
      </c>
      <c r="DY156" s="639">
        <v>-0.51704309804214843</v>
      </c>
      <c r="DZ156" s="639">
        <v>-0.61664192955862707</v>
      </c>
      <c r="EA156" s="639">
        <v>-0.94712309265693062</v>
      </c>
      <c r="EB156" s="639">
        <v>-0.54356268349456582</v>
      </c>
      <c r="EC156" s="639">
        <v>-0.51152474300086559</v>
      </c>
      <c r="ED156" s="639">
        <v>-1.1618666180422612</v>
      </c>
      <c r="EE156" s="639">
        <v>-0.28869671132126984</v>
      </c>
      <c r="EF156" s="639">
        <v>0</v>
      </c>
      <c r="EG156" s="639"/>
      <c r="EH156" s="639"/>
      <c r="EI156" s="639"/>
      <c r="EJ156" s="639"/>
      <c r="EK156" s="639"/>
      <c r="EL156" s="639"/>
      <c r="EM156" s="639"/>
      <c r="EN156" s="639"/>
      <c r="EO156" s="639"/>
      <c r="EP156" s="639"/>
      <c r="EQ156" s="639"/>
      <c r="ER156" s="639"/>
      <c r="ES156" s="639"/>
      <c r="ET156" s="639"/>
      <c r="EU156" s="639"/>
      <c r="EV156" s="639"/>
      <c r="EW156" s="639"/>
      <c r="EX156" s="639"/>
      <c r="EY156" s="639"/>
      <c r="EZ156" s="639"/>
      <c r="FA156" s="639"/>
      <c r="FB156" s="639"/>
      <c r="FC156" s="639"/>
      <c r="FD156" s="639"/>
      <c r="FE156" s="639"/>
      <c r="FF156" s="639"/>
      <c r="FG156" s="639"/>
      <c r="FH156" s="639"/>
      <c r="FI156" s="639"/>
      <c r="FJ156" s="639"/>
      <c r="FK156" s="639"/>
      <c r="FL156" s="639"/>
      <c r="FM156" s="639"/>
      <c r="FN156" s="639"/>
      <c r="FO156" s="639"/>
      <c r="FP156" s="639"/>
      <c r="FQ156" s="639"/>
      <c r="FR156" s="639"/>
      <c r="FS156" s="639"/>
      <c r="FT156" s="639">
        <v>617.2263200000001</v>
      </c>
      <c r="FU156" s="639">
        <v>387.90539999999993</v>
      </c>
      <c r="FV156" s="639">
        <v>632.99518</v>
      </c>
      <c r="FW156" s="639">
        <v>229.32092000000014</v>
      </c>
      <c r="FX156" s="639"/>
      <c r="FY156" s="636">
        <v>39.252475519000001</v>
      </c>
      <c r="FZ156" s="639">
        <v>32.289600728269981</v>
      </c>
      <c r="GA156" s="639">
        <v>41.800964210292207</v>
      </c>
      <c r="GB156" s="639"/>
      <c r="GC156" s="636"/>
      <c r="GD156" s="639">
        <v>-6.6022316129704297</v>
      </c>
      <c r="GE156" s="639">
        <v>-3.2500274844984842</v>
      </c>
      <c r="GF156" s="639"/>
      <c r="GG156" s="639">
        <v>0</v>
      </c>
      <c r="GH156" s="639">
        <v>53.646140000000003</v>
      </c>
      <c r="GI156" s="639">
        <v>34.545833333333334</v>
      </c>
      <c r="GJ156" s="639">
        <v>47.217200000000005</v>
      </c>
      <c r="GK156" s="639">
        <v>19.100306666666672</v>
      </c>
      <c r="GL156" s="639"/>
      <c r="GM156" s="639">
        <v>3.7156544379999996</v>
      </c>
      <c r="GN156" s="639">
        <v>3.071907290256557</v>
      </c>
      <c r="GO156" s="639">
        <v>2.8531403921449376</v>
      </c>
      <c r="GP156" s="636">
        <v>0.64374714774344266</v>
      </c>
      <c r="GQ156" s="636">
        <v>0.93244385906471283</v>
      </c>
      <c r="GR156" s="639">
        <v>-0.28869671132126984</v>
      </c>
      <c r="GS156" s="639">
        <v>0.38108680012730783</v>
      </c>
      <c r="GT156" s="639">
        <v>0.48142724572775436</v>
      </c>
      <c r="GU156" s="639">
        <v>3.667116311411428E-6</v>
      </c>
      <c r="GX156" s="294"/>
    </row>
    <row r="157" spans="1:206" s="655" customFormat="1" ht="12.75" customHeight="1">
      <c r="B157" s="656"/>
      <c r="C157" s="657"/>
      <c r="D157" s="658" t="s">
        <v>354</v>
      </c>
      <c r="E157" s="658"/>
      <c r="G157" s="659">
        <v>125.82</v>
      </c>
      <c r="H157" s="659">
        <v>194.12399999999982</v>
      </c>
      <c r="I157" s="659">
        <v>84.000000000000114</v>
      </c>
      <c r="J157" s="659">
        <v>184.20799999999986</v>
      </c>
      <c r="K157" s="659">
        <v>89.97</v>
      </c>
      <c r="L157" s="659">
        <v>0</v>
      </c>
      <c r="M157" s="659">
        <v>16.358000000000001</v>
      </c>
      <c r="N157" s="659">
        <v>0</v>
      </c>
      <c r="O157" s="659">
        <v>32.716000000000001</v>
      </c>
      <c r="P157" s="659">
        <v>65.432000000000002</v>
      </c>
      <c r="Q157" s="659">
        <v>0</v>
      </c>
      <c r="R157" s="659">
        <v>0</v>
      </c>
      <c r="S157" s="659">
        <v>0</v>
      </c>
      <c r="T157" s="659">
        <v>121.568</v>
      </c>
      <c r="U157" s="659">
        <v>120.568</v>
      </c>
      <c r="V157" s="659">
        <v>188.84354285714286</v>
      </c>
      <c r="W157" s="659">
        <v>120.658</v>
      </c>
      <c r="X157" s="659">
        <v>170.65800000000002</v>
      </c>
      <c r="Y157" s="659">
        <v>338.90725714285713</v>
      </c>
      <c r="Z157" s="659">
        <v>221.63171428571428</v>
      </c>
      <c r="AA157" s="659">
        <v>388.90725714285713</v>
      </c>
      <c r="AB157" s="659">
        <v>261.39171428571427</v>
      </c>
      <c r="AC157" s="659">
        <v>227.69354285714286</v>
      </c>
      <c r="AD157" s="659">
        <v>360.41800000000001</v>
      </c>
      <c r="AE157" s="659">
        <v>228.66725714285715</v>
      </c>
      <c r="AF157" s="659">
        <v>0</v>
      </c>
      <c r="AG157" s="659">
        <v>0</v>
      </c>
      <c r="AH157" s="659">
        <v>303.75749999999999</v>
      </c>
      <c r="AI157" s="659">
        <v>263</v>
      </c>
      <c r="AJ157" s="659">
        <v>292.76409999999998</v>
      </c>
      <c r="AK157" s="659">
        <v>92</v>
      </c>
      <c r="AL157" s="659">
        <v>16.350000000000001</v>
      </c>
      <c r="AM157" s="659">
        <v>16</v>
      </c>
      <c r="AN157" s="659">
        <v>0</v>
      </c>
      <c r="AO157" s="659">
        <v>98</v>
      </c>
      <c r="AP157" s="659">
        <v>65</v>
      </c>
      <c r="AQ157" s="659">
        <v>0</v>
      </c>
      <c r="AR157" s="659">
        <v>0</v>
      </c>
      <c r="AS157" s="600"/>
      <c r="AT157" s="659">
        <v>0</v>
      </c>
      <c r="AU157" s="659">
        <v>0</v>
      </c>
      <c r="AV157" s="659">
        <v>0</v>
      </c>
      <c r="AW157" s="659">
        <v>0</v>
      </c>
      <c r="AX157" s="659">
        <v>0</v>
      </c>
      <c r="AY157" s="659">
        <v>0</v>
      </c>
      <c r="AZ157" s="659">
        <v>0</v>
      </c>
      <c r="BA157" s="659">
        <v>0</v>
      </c>
      <c r="BB157" s="659">
        <v>0</v>
      </c>
      <c r="BC157" s="659">
        <v>0</v>
      </c>
      <c r="BD157" s="659">
        <v>0</v>
      </c>
      <c r="BE157" s="659">
        <v>0</v>
      </c>
      <c r="BF157" s="659">
        <v>0</v>
      </c>
      <c r="BG157" s="659">
        <v>0</v>
      </c>
      <c r="BH157" s="659">
        <v>0</v>
      </c>
      <c r="BI157" s="659">
        <v>0</v>
      </c>
      <c r="BJ157" s="659">
        <v>0</v>
      </c>
      <c r="BK157" s="659">
        <v>0</v>
      </c>
      <c r="BL157" s="659">
        <v>0</v>
      </c>
      <c r="BM157" s="659">
        <v>0</v>
      </c>
      <c r="BN157" s="659">
        <v>0</v>
      </c>
      <c r="BO157" s="659">
        <v>0</v>
      </c>
      <c r="BP157" s="659">
        <v>0</v>
      </c>
      <c r="BQ157" s="659">
        <v>0</v>
      </c>
      <c r="BR157" s="659">
        <v>0</v>
      </c>
      <c r="BS157" s="659">
        <v>0</v>
      </c>
      <c r="BT157" s="659"/>
      <c r="BU157" s="659"/>
      <c r="BV157" s="659"/>
      <c r="BW157" s="659"/>
      <c r="BX157" s="659"/>
      <c r="BY157" s="659"/>
      <c r="BZ157" s="659"/>
      <c r="CA157" s="659"/>
      <c r="CB157" s="659"/>
      <c r="CC157" s="659"/>
      <c r="CD157" s="659"/>
      <c r="CE157" s="659"/>
      <c r="CF157" s="659">
        <v>0</v>
      </c>
      <c r="CG157" s="662">
        <v>1.8796206280000001</v>
      </c>
      <c r="CH157" s="662">
        <v>2.7974979890000027</v>
      </c>
      <c r="CI157" s="662">
        <v>1.1966870990000009</v>
      </c>
      <c r="CJ157" s="662">
        <v>2.5298243610000024</v>
      </c>
      <c r="CK157" s="662">
        <v>0.83109244399999993</v>
      </c>
      <c r="CL157" s="662">
        <v>0</v>
      </c>
      <c r="CM157" s="662">
        <v>0.15691561299999998</v>
      </c>
      <c r="CN157" s="662">
        <v>0</v>
      </c>
      <c r="CO157" s="662">
        <v>0.33679151600000001</v>
      </c>
      <c r="CP157" s="662">
        <v>0.6755383880000001</v>
      </c>
      <c r="CQ157" s="662">
        <v>0</v>
      </c>
      <c r="CR157" s="662">
        <v>0</v>
      </c>
      <c r="CS157" s="662"/>
      <c r="CT157" s="662">
        <v>1.6359389545690963</v>
      </c>
      <c r="CU157" s="662">
        <v>1.6236986681606909</v>
      </c>
      <c r="CV157" s="662">
        <v>2.3610262471744758</v>
      </c>
      <c r="CW157" s="662">
        <v>1.6248002939374475</v>
      </c>
      <c r="CX157" s="662">
        <v>2.3145521436502556</v>
      </c>
      <c r="CY157" s="662">
        <v>4.9501269725539663</v>
      </c>
      <c r="CZ157" s="662">
        <v>3.014791529661395</v>
      </c>
      <c r="DA157" s="662">
        <v>5.6398788222667742</v>
      </c>
      <c r="DB157" s="662">
        <v>3.4308371820223145</v>
      </c>
      <c r="DC157" s="662">
        <v>2.7659332389037465</v>
      </c>
      <c r="DD157" s="662">
        <v>5.3203496457239829</v>
      </c>
      <c r="DE157" s="662">
        <v>2.7764207752020775</v>
      </c>
      <c r="DF157" s="390">
        <f t="shared" si="7"/>
        <v>10.862703659829808</v>
      </c>
      <c r="DG157" s="662">
        <v>0</v>
      </c>
      <c r="DH157" s="662">
        <v>3.8936143045438643</v>
      </c>
      <c r="DI157" s="662">
        <v>3.313125288533957</v>
      </c>
      <c r="DJ157" s="662">
        <v>3.7337452944738869</v>
      </c>
      <c r="DK157" s="662">
        <v>0.85099999999999998</v>
      </c>
      <c r="DL157" s="662">
        <v>0.15123750000000002</v>
      </c>
      <c r="DM157" s="662">
        <v>0.14799999999999999</v>
      </c>
      <c r="DN157" s="662">
        <v>0</v>
      </c>
      <c r="DO157" s="662">
        <v>0.90649999999999997</v>
      </c>
      <c r="DP157" s="662">
        <v>0.60124999999999995</v>
      </c>
      <c r="DQ157" s="662">
        <v>0</v>
      </c>
      <c r="DR157" s="662">
        <v>0</v>
      </c>
      <c r="DS157" s="662">
        <v>0</v>
      </c>
      <c r="DT157" s="659"/>
      <c r="DU157" s="659">
        <v>0</v>
      </c>
      <c r="DV157" s="659">
        <v>0</v>
      </c>
      <c r="DW157" s="659">
        <v>0</v>
      </c>
      <c r="DX157" s="659">
        <v>0</v>
      </c>
      <c r="DY157" s="659">
        <v>0</v>
      </c>
      <c r="DZ157" s="659">
        <v>0</v>
      </c>
      <c r="EA157" s="659">
        <v>0</v>
      </c>
      <c r="EB157" s="659">
        <v>0</v>
      </c>
      <c r="EC157" s="659">
        <v>0</v>
      </c>
      <c r="ED157" s="659">
        <v>0</v>
      </c>
      <c r="EE157" s="659">
        <v>0</v>
      </c>
      <c r="EF157" s="659">
        <v>0</v>
      </c>
      <c r="ES157" s="659"/>
      <c r="ET157" s="659"/>
      <c r="EU157" s="659"/>
      <c r="EV157" s="659"/>
      <c r="EW157" s="659"/>
      <c r="EX157" s="659"/>
      <c r="EY157" s="659"/>
      <c r="EZ157" s="659"/>
      <c r="FA157" s="659"/>
      <c r="FB157" s="659"/>
      <c r="FC157" s="659"/>
      <c r="FD157" s="659"/>
      <c r="FE157" s="659"/>
      <c r="FF157" s="659"/>
      <c r="FS157" s="659"/>
      <c r="FT157" s="662">
        <v>794.63699999999972</v>
      </c>
      <c r="FU157" s="662">
        <v>2749.9122857142856</v>
      </c>
      <c r="FV157" s="662">
        <v>1146.8715999999999</v>
      </c>
      <c r="FW157" s="662">
        <v>-1955.2752857142859</v>
      </c>
      <c r="FX157" s="662"/>
      <c r="FY157" s="662">
        <v>10.423939619000008</v>
      </c>
      <c r="FZ157" s="662">
        <v>37.458354473826219</v>
      </c>
      <c r="GA157" s="662">
        <v>13.598472387551709</v>
      </c>
      <c r="GC157" s="662"/>
      <c r="GD157" s="662">
        <v>0.45554369443650722</v>
      </c>
      <c r="GE157" s="662">
        <v>-7.2982177586186783</v>
      </c>
      <c r="GF157" s="662"/>
      <c r="GG157" s="662"/>
      <c r="GH157" s="662">
        <v>0</v>
      </c>
      <c r="GI157" s="662">
        <v>228.66725714285715</v>
      </c>
      <c r="GJ157" s="662">
        <v>0</v>
      </c>
      <c r="GK157" s="662">
        <v>-228.66725714285715</v>
      </c>
      <c r="GL157" s="662"/>
      <c r="GM157" s="662">
        <v>0</v>
      </c>
      <c r="GN157" s="662">
        <v>2.7764207752020775</v>
      </c>
      <c r="GO157" s="662">
        <v>0</v>
      </c>
      <c r="GP157" s="662">
        <v>-2.7764207752020775</v>
      </c>
      <c r="GQ157" s="662">
        <v>-2.7764207752020775</v>
      </c>
      <c r="GR157" s="662">
        <v>0</v>
      </c>
      <c r="GS157" s="662">
        <v>0</v>
      </c>
      <c r="GT157" s="662">
        <v>0</v>
      </c>
      <c r="GU157" s="662">
        <v>0</v>
      </c>
      <c r="GV157" s="662"/>
      <c r="GX157" s="294"/>
    </row>
    <row r="158" spans="1:206" ht="12.75" customHeight="1">
      <c r="D158" s="206" t="s">
        <v>351</v>
      </c>
      <c r="G158" s="639">
        <v>57.84</v>
      </c>
      <c r="H158" s="639">
        <v>26.124000000000002</v>
      </c>
      <c r="I158" s="639">
        <v>0</v>
      </c>
      <c r="J158" s="639">
        <v>16.358000000000001</v>
      </c>
      <c r="K158" s="639">
        <v>89.97</v>
      </c>
      <c r="L158" s="639">
        <v>0</v>
      </c>
      <c r="M158" s="639">
        <v>16.358000000000001</v>
      </c>
      <c r="N158" s="639">
        <v>0</v>
      </c>
      <c r="O158" s="639">
        <v>32.716000000000001</v>
      </c>
      <c r="P158" s="639">
        <v>65.432000000000002</v>
      </c>
      <c r="Q158" s="639">
        <v>0</v>
      </c>
      <c r="R158" s="639">
        <v>0</v>
      </c>
      <c r="S158" s="639">
        <v>0</v>
      </c>
      <c r="T158" s="639">
        <v>21.568000000000001</v>
      </c>
      <c r="U158" s="639">
        <v>20.568000000000001</v>
      </c>
      <c r="V158" s="639">
        <v>88.843542857142864</v>
      </c>
      <c r="W158" s="639">
        <v>20.658000000000001</v>
      </c>
      <c r="X158" s="639">
        <v>20.658000000000001</v>
      </c>
      <c r="Y158" s="639">
        <v>88.907257142857162</v>
      </c>
      <c r="Z158" s="639">
        <v>21.631714285714288</v>
      </c>
      <c r="AA158" s="639">
        <v>88.907257142857162</v>
      </c>
      <c r="AB158" s="639">
        <v>61.391714285714286</v>
      </c>
      <c r="AC158" s="639">
        <v>127.69354285714286</v>
      </c>
      <c r="AD158" s="639">
        <v>60.417999999999999</v>
      </c>
      <c r="AE158" s="639">
        <v>128.66725714285715</v>
      </c>
      <c r="AF158" s="639">
        <v>0</v>
      </c>
      <c r="AG158" s="639">
        <v>0</v>
      </c>
      <c r="AH158" s="639">
        <v>143.75749999999999</v>
      </c>
      <c r="AI158" s="639">
        <v>127</v>
      </c>
      <c r="AJ158" s="639">
        <v>127.7641</v>
      </c>
      <c r="AK158" s="639">
        <v>92</v>
      </c>
      <c r="AL158" s="639">
        <v>16.350000000000001</v>
      </c>
      <c r="AM158" s="639">
        <v>16</v>
      </c>
      <c r="AN158" s="639">
        <v>0</v>
      </c>
      <c r="AO158" s="639">
        <v>98</v>
      </c>
      <c r="AP158" s="639">
        <v>65</v>
      </c>
      <c r="AQ158" s="639">
        <v>0</v>
      </c>
      <c r="AR158" s="639">
        <v>0</v>
      </c>
      <c r="CG158" s="636">
        <v>0.91994108000000008</v>
      </c>
      <c r="CH158" s="636">
        <v>0.41057803000000004</v>
      </c>
      <c r="CI158" s="636">
        <v>0</v>
      </c>
      <c r="CJ158" s="636">
        <v>0.15217169899999999</v>
      </c>
      <c r="CK158" s="636">
        <v>0.83109244399999993</v>
      </c>
      <c r="CL158" s="636">
        <v>0</v>
      </c>
      <c r="CM158" s="636">
        <v>0.15691561299999998</v>
      </c>
      <c r="CN158" s="636">
        <v>0</v>
      </c>
      <c r="CO158" s="636">
        <v>0.33679151600000001</v>
      </c>
      <c r="CP158" s="636">
        <v>0.6755383880000001</v>
      </c>
      <c r="CQ158" s="636">
        <v>0</v>
      </c>
      <c r="CR158" s="636">
        <v>0</v>
      </c>
      <c r="CS158" s="636"/>
      <c r="CT158" s="636">
        <v>0.25643525514348031</v>
      </c>
      <c r="CU158" s="636">
        <v>0.24419496873507496</v>
      </c>
      <c r="CV158" s="636">
        <v>0.98152254774885983</v>
      </c>
      <c r="CW158" s="636">
        <v>0.24529659451183142</v>
      </c>
      <c r="CX158" s="636">
        <v>0.24529659451183142</v>
      </c>
      <c r="CY158" s="636">
        <v>0.98087142341554223</v>
      </c>
      <c r="CZ158" s="636">
        <v>0.25578413081016277</v>
      </c>
      <c r="DA158" s="636">
        <v>0.98087142341554223</v>
      </c>
      <c r="DB158" s="636">
        <v>0.67182978317108233</v>
      </c>
      <c r="DC158" s="636">
        <v>1.3864295394781305</v>
      </c>
      <c r="DD158" s="636">
        <v>0.66134224687275101</v>
      </c>
      <c r="DE158" s="636">
        <v>1.3969170757764617</v>
      </c>
      <c r="DF158" s="390">
        <f t="shared" si="7"/>
        <v>3.444688862127343</v>
      </c>
      <c r="DG158" s="636">
        <v>0</v>
      </c>
      <c r="DH158" s="636">
        <v>1.6487983045438643</v>
      </c>
      <c r="DI158" s="636">
        <v>1.3955252885339571</v>
      </c>
      <c r="DJ158" s="636">
        <v>1.4066925444738871</v>
      </c>
      <c r="DK158" s="636">
        <v>0.85099999999999998</v>
      </c>
      <c r="DL158" s="636">
        <v>0.15123750000000002</v>
      </c>
      <c r="DM158" s="636">
        <v>0.14799999999999999</v>
      </c>
      <c r="DN158" s="636">
        <v>0</v>
      </c>
      <c r="DO158" s="636">
        <v>0.90649999999999997</v>
      </c>
      <c r="DP158" s="636">
        <v>0.60124999999999995</v>
      </c>
      <c r="DQ158" s="636">
        <v>0</v>
      </c>
      <c r="DR158" s="636">
        <v>0</v>
      </c>
      <c r="DS158" s="636">
        <v>0</v>
      </c>
      <c r="DT158" s="639"/>
      <c r="ES158" s="639"/>
      <c r="ET158" s="639"/>
      <c r="FS158" s="639"/>
      <c r="FT158" s="636">
        <v>306.80700000000002</v>
      </c>
      <c r="FU158" s="636">
        <v>749.91228571428587</v>
      </c>
      <c r="FV158" s="636">
        <v>685.87160000000006</v>
      </c>
      <c r="FW158" s="636">
        <v>-443.10528571428574</v>
      </c>
      <c r="FX158" s="636"/>
      <c r="FY158" s="636">
        <v>3.5030003510000003</v>
      </c>
      <c r="FZ158" s="636">
        <v>8.3067915835907513</v>
      </c>
      <c r="GA158" s="636">
        <v>7.1090036375517078</v>
      </c>
      <c r="GC158" s="636"/>
      <c r="GD158" s="636">
        <v>0.26423732334448169</v>
      </c>
      <c r="GE158" s="636">
        <v>-6.7174531061186755</v>
      </c>
      <c r="GF158" s="636"/>
      <c r="GH158" s="636">
        <v>0</v>
      </c>
      <c r="GI158" s="636">
        <v>128.66725714285715</v>
      </c>
      <c r="GJ158" s="636">
        <v>0</v>
      </c>
      <c r="GK158" s="636">
        <v>-128.66725714285715</v>
      </c>
      <c r="GL158" s="636"/>
      <c r="GM158" s="636">
        <v>0</v>
      </c>
      <c r="GN158" s="636">
        <v>1.3969170757764617</v>
      </c>
      <c r="GO158" s="636">
        <v>0</v>
      </c>
      <c r="GP158" s="636">
        <v>-1.3969170757764617</v>
      </c>
      <c r="GQ158" s="636">
        <v>-1.3969170757764617</v>
      </c>
      <c r="GR158" s="636">
        <v>0</v>
      </c>
      <c r="GS158" s="636">
        <v>0</v>
      </c>
      <c r="GT158" s="636">
        <v>0</v>
      </c>
      <c r="GU158" s="636">
        <v>0</v>
      </c>
      <c r="GX158" s="294"/>
    </row>
    <row r="159" spans="1:206" ht="12.75" customHeight="1">
      <c r="D159" s="206" t="s">
        <v>312</v>
      </c>
      <c r="G159" s="639">
        <v>67.97999999999999</v>
      </c>
      <c r="H159" s="639">
        <v>167.99999999999983</v>
      </c>
      <c r="I159" s="639">
        <v>84.000000000000114</v>
      </c>
      <c r="J159" s="639">
        <v>167.84999999999985</v>
      </c>
      <c r="K159" s="639">
        <v>0</v>
      </c>
      <c r="L159" s="639">
        <v>0</v>
      </c>
      <c r="M159" s="639">
        <v>0</v>
      </c>
      <c r="N159" s="639">
        <v>0</v>
      </c>
      <c r="O159" s="639">
        <v>0</v>
      </c>
      <c r="P159" s="639">
        <v>0</v>
      </c>
      <c r="Q159" s="639">
        <v>0</v>
      </c>
      <c r="R159" s="639">
        <v>0</v>
      </c>
      <c r="S159" s="639">
        <v>0</v>
      </c>
      <c r="T159" s="639">
        <v>100</v>
      </c>
      <c r="U159" s="639">
        <v>100</v>
      </c>
      <c r="V159" s="639">
        <v>100</v>
      </c>
      <c r="W159" s="639">
        <v>100</v>
      </c>
      <c r="X159" s="639">
        <v>150</v>
      </c>
      <c r="Y159" s="639">
        <v>250</v>
      </c>
      <c r="Z159" s="639">
        <v>200</v>
      </c>
      <c r="AA159" s="639">
        <v>300</v>
      </c>
      <c r="AB159" s="639">
        <v>200</v>
      </c>
      <c r="AC159" s="639">
        <v>100</v>
      </c>
      <c r="AD159" s="639">
        <v>300</v>
      </c>
      <c r="AE159" s="639">
        <v>100</v>
      </c>
      <c r="AF159" s="639">
        <v>0</v>
      </c>
      <c r="AG159" s="639">
        <v>0</v>
      </c>
      <c r="AH159" s="639">
        <v>160</v>
      </c>
      <c r="AI159" s="639">
        <v>136</v>
      </c>
      <c r="AJ159" s="639">
        <v>165</v>
      </c>
      <c r="AK159" s="639">
        <v>0</v>
      </c>
      <c r="AL159" s="639">
        <v>0</v>
      </c>
      <c r="AM159" s="639">
        <v>0</v>
      </c>
      <c r="AN159" s="639">
        <v>0</v>
      </c>
      <c r="AO159" s="639">
        <v>0</v>
      </c>
      <c r="AP159" s="639">
        <v>0</v>
      </c>
      <c r="AQ159" s="639">
        <v>0</v>
      </c>
      <c r="AR159" s="639">
        <v>0</v>
      </c>
      <c r="CG159" s="636">
        <v>0.95967954799999999</v>
      </c>
      <c r="CH159" s="636">
        <v>2.3869199590000028</v>
      </c>
      <c r="CI159" s="636">
        <v>1.1966870990000009</v>
      </c>
      <c r="CJ159" s="636">
        <v>2.3776526620000022</v>
      </c>
      <c r="CK159" s="636">
        <v>0</v>
      </c>
      <c r="CL159" s="636">
        <v>0</v>
      </c>
      <c r="CM159" s="636">
        <v>0</v>
      </c>
      <c r="CN159" s="636">
        <v>0</v>
      </c>
      <c r="CO159" s="636">
        <v>0</v>
      </c>
      <c r="CP159" s="636">
        <v>0</v>
      </c>
      <c r="CQ159" s="636">
        <v>0</v>
      </c>
      <c r="CR159" s="636">
        <v>0</v>
      </c>
      <c r="CS159" s="636"/>
      <c r="CT159" s="636">
        <v>1.379503699425616</v>
      </c>
      <c r="CU159" s="636">
        <v>1.379503699425616</v>
      </c>
      <c r="CV159" s="636">
        <v>1.379503699425616</v>
      </c>
      <c r="CW159" s="636">
        <v>1.379503699425616</v>
      </c>
      <c r="CX159" s="636">
        <v>2.0692555491384241</v>
      </c>
      <c r="CY159" s="636">
        <v>3.969255549138424</v>
      </c>
      <c r="CZ159" s="636">
        <v>2.759007398851232</v>
      </c>
      <c r="DA159" s="636">
        <v>4.6590073988512319</v>
      </c>
      <c r="DB159" s="636">
        <v>2.759007398851232</v>
      </c>
      <c r="DC159" s="636">
        <v>1.379503699425616</v>
      </c>
      <c r="DD159" s="636">
        <v>4.6590073988512319</v>
      </c>
      <c r="DE159" s="636">
        <v>1.379503699425616</v>
      </c>
      <c r="DF159" s="390">
        <f t="shared" si="7"/>
        <v>7.4180147977024635</v>
      </c>
      <c r="DG159" s="636">
        <v>0</v>
      </c>
      <c r="DH159" s="636">
        <v>2.2448160000000001</v>
      </c>
      <c r="DI159" s="636">
        <v>1.9176</v>
      </c>
      <c r="DJ159" s="636">
        <v>2.32705275</v>
      </c>
      <c r="DK159" s="636">
        <v>0</v>
      </c>
      <c r="DL159" s="636">
        <v>0</v>
      </c>
      <c r="DM159" s="636">
        <v>0</v>
      </c>
      <c r="DN159" s="636">
        <v>0</v>
      </c>
      <c r="DO159" s="636">
        <v>0</v>
      </c>
      <c r="DP159" s="636">
        <v>0</v>
      </c>
      <c r="DQ159" s="636">
        <v>0</v>
      </c>
      <c r="DR159" s="636">
        <v>0</v>
      </c>
      <c r="DS159" s="636">
        <v>0</v>
      </c>
      <c r="DT159" s="639"/>
      <c r="ES159" s="639"/>
      <c r="ET159" s="639"/>
      <c r="FS159" s="639"/>
      <c r="FT159" s="636">
        <v>487.82999999999976</v>
      </c>
      <c r="FU159" s="636">
        <v>2000</v>
      </c>
      <c r="FV159" s="636">
        <v>461</v>
      </c>
      <c r="FW159" s="636">
        <v>-1512.1700000000003</v>
      </c>
      <c r="FX159" s="636"/>
      <c r="FY159" s="636">
        <v>6.9209392680000068</v>
      </c>
      <c r="FZ159" s="636">
        <v>29.151562890235471</v>
      </c>
      <c r="GA159" s="636">
        <v>6.4894687500000003</v>
      </c>
      <c r="GC159" s="636"/>
      <c r="GD159" s="636">
        <v>0.19130637109202553</v>
      </c>
      <c r="GE159" s="636">
        <v>-0.58076465250000286</v>
      </c>
      <c r="GF159" s="636"/>
      <c r="GH159" s="636">
        <v>0</v>
      </c>
      <c r="GI159" s="636">
        <v>100</v>
      </c>
      <c r="GJ159" s="636">
        <v>0</v>
      </c>
      <c r="GK159" s="636">
        <v>-100</v>
      </c>
      <c r="GL159" s="636"/>
      <c r="GM159" s="636">
        <v>0</v>
      </c>
      <c r="GN159" s="636">
        <v>1.379503699425616</v>
      </c>
      <c r="GO159" s="636">
        <v>0</v>
      </c>
      <c r="GP159" s="636">
        <v>-1.379503699425616</v>
      </c>
      <c r="GQ159" s="636">
        <v>-1.379503699425616</v>
      </c>
      <c r="GR159" s="636">
        <v>0</v>
      </c>
      <c r="GS159" s="636">
        <v>0</v>
      </c>
      <c r="GT159" s="636">
        <v>0</v>
      </c>
      <c r="GU159" s="636">
        <v>0</v>
      </c>
      <c r="GX159" s="294"/>
    </row>
    <row r="160" spans="1:206" ht="12.75" customHeight="1">
      <c r="D160" s="206" t="s">
        <v>322</v>
      </c>
      <c r="G160" s="639"/>
      <c r="H160" s="639"/>
      <c r="I160" s="639"/>
      <c r="J160" s="639"/>
      <c r="K160" s="639"/>
      <c r="L160" s="639"/>
      <c r="M160" s="639"/>
      <c r="N160" s="639"/>
      <c r="O160" s="639"/>
      <c r="P160" s="639"/>
      <c r="Q160" s="639"/>
      <c r="R160" s="639"/>
      <c r="S160" s="639"/>
      <c r="T160" s="639"/>
      <c r="U160" s="639"/>
      <c r="V160" s="639"/>
      <c r="W160" s="639"/>
      <c r="X160" s="639"/>
      <c r="Y160" s="639"/>
      <c r="Z160" s="639"/>
      <c r="AA160" s="639"/>
      <c r="AB160" s="639"/>
      <c r="AC160" s="639"/>
      <c r="AD160" s="639"/>
      <c r="AE160" s="639"/>
      <c r="AF160" s="639"/>
      <c r="AG160" s="639"/>
      <c r="AH160" s="639"/>
      <c r="AI160" s="639"/>
      <c r="AJ160" s="639"/>
      <c r="AK160" s="639"/>
      <c r="AL160" s="639"/>
      <c r="AM160" s="639"/>
      <c r="AN160" s="639"/>
      <c r="AO160" s="639"/>
      <c r="AP160" s="639"/>
      <c r="AQ160" s="639"/>
      <c r="AR160" s="639"/>
      <c r="CG160" s="636"/>
      <c r="CH160" s="636"/>
      <c r="CI160" s="636"/>
      <c r="CJ160" s="636"/>
      <c r="CK160" s="636"/>
      <c r="CL160" s="636"/>
      <c r="CN160" s="636"/>
      <c r="CO160" s="636"/>
      <c r="CP160" s="636"/>
      <c r="CQ160" s="636"/>
      <c r="CR160" s="636"/>
      <c r="CS160" s="636"/>
      <c r="CT160" s="636"/>
      <c r="CU160" s="636"/>
      <c r="CV160" s="636"/>
      <c r="CW160" s="636"/>
      <c r="CX160" s="636"/>
      <c r="CY160" s="636"/>
      <c r="CZ160" s="636"/>
      <c r="DA160" s="636"/>
      <c r="DB160" s="636"/>
      <c r="DC160" s="636"/>
      <c r="DD160" s="636"/>
      <c r="DE160" s="636"/>
      <c r="DF160" s="390">
        <f t="shared" si="7"/>
        <v>0</v>
      </c>
      <c r="DG160" s="636"/>
      <c r="DH160" s="636"/>
      <c r="DI160" s="636"/>
      <c r="DJ160" s="636"/>
      <c r="DK160" s="636"/>
      <c r="DL160" s="636"/>
      <c r="DM160" s="636"/>
      <c r="DN160" s="636"/>
      <c r="DO160" s="636"/>
      <c r="DP160" s="636"/>
      <c r="DQ160" s="636"/>
      <c r="DR160" s="636"/>
      <c r="DS160" s="636"/>
      <c r="DT160" s="639"/>
      <c r="ES160" s="639"/>
      <c r="ET160" s="639"/>
      <c r="FS160" s="639"/>
      <c r="FT160" s="636"/>
      <c r="FU160" s="636"/>
      <c r="FV160" s="636"/>
      <c r="FW160" s="636"/>
      <c r="FX160" s="636"/>
      <c r="FY160" s="636"/>
      <c r="FZ160" s="636"/>
      <c r="GA160" s="636"/>
      <c r="GC160" s="636"/>
      <c r="GD160" s="636"/>
      <c r="GE160" s="636"/>
      <c r="GF160" s="636"/>
      <c r="GH160" s="636"/>
      <c r="GI160" s="636"/>
      <c r="GJ160" s="636"/>
      <c r="GK160" s="636"/>
      <c r="GL160" s="636"/>
      <c r="GM160" s="636"/>
      <c r="GN160" s="636"/>
      <c r="GO160" s="636"/>
      <c r="GP160" s="636"/>
      <c r="GQ160" s="636"/>
      <c r="GR160" s="636"/>
      <c r="GS160" s="636"/>
      <c r="GT160" s="636"/>
      <c r="GU160" s="636"/>
      <c r="GX160" s="294"/>
    </row>
    <row r="161" spans="1:206" s="381" customFormat="1" ht="12.75" customHeight="1">
      <c r="A161" s="352"/>
      <c r="B161" s="663"/>
      <c r="C161" s="664"/>
      <c r="D161" s="649" t="s">
        <v>21</v>
      </c>
      <c r="E161" s="649"/>
      <c r="F161" s="352"/>
      <c r="G161" s="665">
        <v>3648.272460000001</v>
      </c>
      <c r="H161" s="665">
        <v>3892.9412200000002</v>
      </c>
      <c r="I161" s="665">
        <v>3870.2993999999994</v>
      </c>
      <c r="J161" s="665">
        <v>3737.0333799999999</v>
      </c>
      <c r="K161" s="665">
        <v>2837.3192399999994</v>
      </c>
      <c r="L161" s="665">
        <v>1257.6683000000003</v>
      </c>
      <c r="M161" s="665">
        <v>1630.4129</v>
      </c>
      <c r="N161" s="665">
        <v>1597.8906600000003</v>
      </c>
      <c r="O161" s="665">
        <v>2948.472600000001</v>
      </c>
      <c r="P161" s="665">
        <v>2745.3017599999998</v>
      </c>
      <c r="Q161" s="665">
        <v>3271.6598599999998</v>
      </c>
      <c r="R161" s="665">
        <v>4059.627140000001</v>
      </c>
      <c r="S161" s="665">
        <v>4019.5631763779893</v>
      </c>
      <c r="T161" s="665">
        <v>3283.932389642725</v>
      </c>
      <c r="U161" s="665">
        <v>4233.3874212634655</v>
      </c>
      <c r="V161" s="665">
        <v>3603.0400464720597</v>
      </c>
      <c r="W161" s="665">
        <v>3526.7256860425891</v>
      </c>
      <c r="X161" s="665">
        <v>3690.3653922420231</v>
      </c>
      <c r="Y161" s="665">
        <v>3729.6139387137237</v>
      </c>
      <c r="Z161" s="665">
        <v>3427.3081278687141</v>
      </c>
      <c r="AA161" s="665">
        <v>3303.1398338435811</v>
      </c>
      <c r="AB161" s="665">
        <v>3327.5066613279919</v>
      </c>
      <c r="AC161" s="665">
        <v>3973.20864577165</v>
      </c>
      <c r="AD161" s="665">
        <v>3486.8869939198771</v>
      </c>
      <c r="AE161" s="665">
        <v>3530.164548605886</v>
      </c>
      <c r="AF161" s="665">
        <v>0</v>
      </c>
      <c r="AG161" s="665">
        <v>0</v>
      </c>
      <c r="AH161" s="665">
        <v>3911.2919700000002</v>
      </c>
      <c r="AI161" s="665">
        <v>4270.0669999999991</v>
      </c>
      <c r="AJ161" s="665">
        <v>3787.3825600000005</v>
      </c>
      <c r="AK161" s="665">
        <v>2726.6150000000002</v>
      </c>
      <c r="AL161" s="665">
        <v>1473.9587199999999</v>
      </c>
      <c r="AM161" s="665">
        <v>1626.6915800000002</v>
      </c>
      <c r="AN161" s="665">
        <v>1513.577397</v>
      </c>
      <c r="AO161" s="665">
        <v>2872.3839899999998</v>
      </c>
      <c r="AP161" s="665">
        <v>2616.5783799999999</v>
      </c>
      <c r="AQ161" s="665">
        <v>3375.5323200000003</v>
      </c>
      <c r="AR161" s="665">
        <v>3925.2579000000001</v>
      </c>
      <c r="AS161" s="600"/>
      <c r="AT161" s="666"/>
      <c r="AU161" s="352"/>
      <c r="AV161" s="352"/>
      <c r="AW161" s="352"/>
      <c r="AX161" s="352"/>
      <c r="AY161" s="352"/>
      <c r="AZ161" s="352"/>
      <c r="BA161" s="352"/>
      <c r="BB161" s="352"/>
      <c r="BC161" s="352"/>
      <c r="BD161" s="352"/>
      <c r="BE161" s="352"/>
      <c r="BF161" s="360"/>
      <c r="BG161" s="666"/>
      <c r="BH161" s="352"/>
      <c r="BI161" s="352"/>
      <c r="BJ161" s="352"/>
      <c r="BK161" s="352"/>
      <c r="BL161" s="352"/>
      <c r="BM161" s="352"/>
      <c r="BN161" s="352"/>
      <c r="BO161" s="352"/>
      <c r="BP161" s="352"/>
      <c r="BQ161" s="352"/>
      <c r="BR161" s="352"/>
      <c r="BS161" s="360"/>
      <c r="BT161" s="352"/>
      <c r="BU161" s="352"/>
      <c r="BV161" s="352"/>
      <c r="BW161" s="352"/>
      <c r="BX161" s="352"/>
      <c r="BY161" s="352"/>
      <c r="BZ161" s="352"/>
      <c r="CA161" s="352"/>
      <c r="CB161" s="352"/>
      <c r="CC161" s="352"/>
      <c r="CD161" s="352"/>
      <c r="CE161" s="352"/>
      <c r="CF161" s="360"/>
      <c r="CG161" s="667">
        <v>34.818498506999994</v>
      </c>
      <c r="CH161" s="667">
        <v>40.151701881999998</v>
      </c>
      <c r="CI161" s="667">
        <v>39.625102595000008</v>
      </c>
      <c r="CJ161" s="667">
        <v>38.950457884999999</v>
      </c>
      <c r="CK161" s="667">
        <v>30.27683335199999</v>
      </c>
      <c r="CL161" s="667">
        <v>19.392590700000003</v>
      </c>
      <c r="CM161" s="667">
        <v>24.697700055999999</v>
      </c>
      <c r="CN161" s="667">
        <v>19.767383192</v>
      </c>
      <c r="CO161" s="667">
        <v>29.980878109000002</v>
      </c>
      <c r="CP161" s="667">
        <v>29.248688479999998</v>
      </c>
      <c r="CQ161" s="667">
        <v>25.910363601999997</v>
      </c>
      <c r="CR161" s="667">
        <v>34.929680404999992</v>
      </c>
      <c r="CS161" s="667"/>
      <c r="CT161" s="667">
        <v>34.272805319720362</v>
      </c>
      <c r="CU161" s="667">
        <v>42.808113859867788</v>
      </c>
      <c r="CV161" s="667">
        <v>35.712987777980828</v>
      </c>
      <c r="CW161" s="667">
        <v>37.564560604006168</v>
      </c>
      <c r="CX161" s="667">
        <v>37.341072430074824</v>
      </c>
      <c r="CY161" s="667">
        <v>38.821030872001636</v>
      </c>
      <c r="CZ161" s="667">
        <v>36.160309545590373</v>
      </c>
      <c r="DA161" s="667">
        <v>36.987845964146551</v>
      </c>
      <c r="DB161" s="667">
        <v>35.257472539528109</v>
      </c>
      <c r="DC161" s="667">
        <v>41.753351483990642</v>
      </c>
      <c r="DD161" s="667">
        <v>38.080566647551052</v>
      </c>
      <c r="DE161" s="667">
        <v>37.079814339112289</v>
      </c>
      <c r="DF161" s="390">
        <f t="shared" si="7"/>
        <v>116.91373247065398</v>
      </c>
      <c r="DG161" s="667">
        <v>0</v>
      </c>
      <c r="DH161" s="667">
        <v>43.439824024905398</v>
      </c>
      <c r="DI161" s="667">
        <v>45.312508110769699</v>
      </c>
      <c r="DJ161" s="667">
        <v>40.876031169898013</v>
      </c>
      <c r="DK161" s="667">
        <v>29.817158061114796</v>
      </c>
      <c r="DL161" s="667">
        <v>22.934915570406851</v>
      </c>
      <c r="DM161" s="667">
        <v>24.95380831994353</v>
      </c>
      <c r="DN161" s="667">
        <v>19.586959034906169</v>
      </c>
      <c r="DO161" s="667">
        <v>29.844842261210289</v>
      </c>
      <c r="DP161" s="667">
        <v>29.267517472238936</v>
      </c>
      <c r="DQ161" s="667">
        <v>29.153936526423948</v>
      </c>
      <c r="DR161" s="667">
        <v>34.816093067145317</v>
      </c>
      <c r="DS161" s="667">
        <v>0</v>
      </c>
      <c r="DT161" s="667"/>
      <c r="DU161" s="352"/>
      <c r="DV161" s="352"/>
      <c r="DW161" s="352"/>
      <c r="DX161" s="352"/>
      <c r="DY161" s="352"/>
      <c r="DZ161" s="352"/>
      <c r="EA161" s="352"/>
      <c r="EB161" s="352"/>
      <c r="EC161" s="352"/>
      <c r="ED161" s="352"/>
      <c r="EE161" s="352"/>
      <c r="EF161" s="360"/>
      <c r="EG161" s="352"/>
      <c r="EH161" s="352"/>
      <c r="EI161" s="352"/>
      <c r="EJ161" s="352"/>
      <c r="EK161" s="352"/>
      <c r="EL161" s="352"/>
      <c r="EM161" s="352"/>
      <c r="EN161" s="352"/>
      <c r="EO161" s="352"/>
      <c r="EP161" s="352"/>
      <c r="EQ161" s="352"/>
      <c r="ER161" s="352"/>
      <c r="ES161" s="665"/>
      <c r="ET161" s="667"/>
      <c r="EU161" s="352"/>
      <c r="EV161" s="352"/>
      <c r="EW161" s="352"/>
      <c r="EX161" s="352"/>
      <c r="EY161" s="352"/>
      <c r="EZ161" s="352"/>
      <c r="FA161" s="352"/>
      <c r="FB161" s="352"/>
      <c r="FC161" s="352"/>
      <c r="FD161" s="352"/>
      <c r="FE161" s="352"/>
      <c r="FF161" s="360"/>
      <c r="FG161" s="352"/>
      <c r="FH161" s="352"/>
      <c r="FI161" s="352"/>
      <c r="FJ161" s="352"/>
      <c r="FK161" s="352"/>
      <c r="FL161" s="352"/>
      <c r="FM161" s="352"/>
      <c r="FN161" s="352"/>
      <c r="FO161" s="352"/>
      <c r="FP161" s="352"/>
      <c r="FQ161" s="352"/>
      <c r="FR161" s="352"/>
      <c r="FS161" s="665"/>
      <c r="FT161" s="667">
        <v>35498.907920000005</v>
      </c>
      <c r="FU161" s="667">
        <v>43115.279685714289</v>
      </c>
      <c r="FV161" s="667">
        <v>32188.460816999999</v>
      </c>
      <c r="FW161" s="667">
        <v>-7616.3717657142824</v>
      </c>
      <c r="FX161" s="667"/>
      <c r="FY161" s="667">
        <v>367.76985034600006</v>
      </c>
      <c r="FZ161" s="667">
        <v>451.83993138357062</v>
      </c>
      <c r="GA161" s="667">
        <v>350.0035936189629</v>
      </c>
      <c r="GC161" s="667"/>
      <c r="GD161" s="667">
        <v>-5.6492540611193665</v>
      </c>
      <c r="GE161" s="667">
        <v>-29.562102230184045</v>
      </c>
      <c r="GF161" s="667"/>
      <c r="GG161" s="376"/>
      <c r="GH161" s="667">
        <v>4059.627140000001</v>
      </c>
      <c r="GI161" s="667">
        <v>3530.164548605886</v>
      </c>
      <c r="GJ161" s="667">
        <v>3964.3818999999999</v>
      </c>
      <c r="GK161" s="667">
        <v>529.46259139411518</v>
      </c>
      <c r="GL161" s="667"/>
      <c r="GM161" s="667">
        <v>34.929680404999992</v>
      </c>
      <c r="GN161" s="667">
        <v>37.079814339112289</v>
      </c>
      <c r="GO161" s="667">
        <v>34.816093067145317</v>
      </c>
      <c r="GP161" s="667">
        <v>-2.1501339341122923</v>
      </c>
      <c r="GQ161" s="667">
        <v>1.2046332592533449</v>
      </c>
      <c r="GR161" s="667">
        <v>-2.7473300188029941</v>
      </c>
      <c r="GS161" s="667">
        <v>-2.6430922351797501</v>
      </c>
      <c r="GT161" s="667">
        <v>3.2088438045863121</v>
      </c>
      <c r="GU161" s="667">
        <v>2.6129488185576095</v>
      </c>
      <c r="GV161" s="376"/>
      <c r="GX161" s="294"/>
    </row>
    <row r="162" spans="1:206" s="376" customFormat="1" ht="12.75" customHeight="1">
      <c r="A162" s="667"/>
      <c r="B162" s="668"/>
      <c r="C162" s="669"/>
      <c r="D162" s="647" t="s">
        <v>349</v>
      </c>
      <c r="E162" s="647"/>
      <c r="F162" s="667"/>
      <c r="G162" s="667">
        <v>0</v>
      </c>
      <c r="H162" s="667">
        <v>0</v>
      </c>
      <c r="I162" s="667">
        <v>0</v>
      </c>
      <c r="J162" s="667">
        <v>0</v>
      </c>
      <c r="K162" s="667">
        <v>0</v>
      </c>
      <c r="L162" s="667">
        <v>0</v>
      </c>
      <c r="M162" s="667">
        <v>0</v>
      </c>
      <c r="N162" s="667">
        <v>0</v>
      </c>
      <c r="O162" s="667">
        <v>0</v>
      </c>
      <c r="P162" s="667">
        <v>0</v>
      </c>
      <c r="Q162" s="667">
        <v>2.0090000000000146</v>
      </c>
      <c r="R162" s="667">
        <v>0</v>
      </c>
      <c r="S162" s="667">
        <v>40.063963622011215</v>
      </c>
      <c r="T162" s="667">
        <v>0</v>
      </c>
      <c r="U162" s="667">
        <v>0</v>
      </c>
      <c r="V162" s="667">
        <v>0</v>
      </c>
      <c r="W162" s="667">
        <v>0</v>
      </c>
      <c r="X162" s="667">
        <v>0</v>
      </c>
      <c r="Y162" s="667">
        <v>0</v>
      </c>
      <c r="Z162" s="667">
        <v>0</v>
      </c>
      <c r="AA162" s="667">
        <v>0</v>
      </c>
      <c r="AB162" s="667">
        <v>0</v>
      </c>
      <c r="AC162" s="667">
        <v>0</v>
      </c>
      <c r="AD162" s="667">
        <v>0</v>
      </c>
      <c r="AE162" s="667">
        <v>0</v>
      </c>
      <c r="AF162" s="667">
        <v>0</v>
      </c>
      <c r="AG162" s="667">
        <v>0</v>
      </c>
      <c r="AH162" s="667">
        <v>0</v>
      </c>
      <c r="AI162" s="667">
        <v>0</v>
      </c>
      <c r="AJ162" s="667">
        <v>0</v>
      </c>
      <c r="AK162" s="667">
        <v>0</v>
      </c>
      <c r="AL162" s="667">
        <v>0</v>
      </c>
      <c r="AM162" s="667">
        <v>0</v>
      </c>
      <c r="AN162" s="667">
        <v>0</v>
      </c>
      <c r="AO162" s="667">
        <v>0</v>
      </c>
      <c r="AP162" s="667">
        <v>0</v>
      </c>
      <c r="AQ162" s="667">
        <v>49.999999999999545</v>
      </c>
      <c r="AR162" s="667">
        <v>39.124000000000251</v>
      </c>
      <c r="AS162" s="603"/>
      <c r="AT162" s="667"/>
      <c r="AU162" s="667"/>
      <c r="AV162" s="667"/>
      <c r="AW162" s="667"/>
      <c r="AX162" s="667"/>
      <c r="AY162" s="667"/>
      <c r="AZ162" s="667"/>
      <c r="BA162" s="667"/>
      <c r="BB162" s="667"/>
      <c r="BC162" s="667"/>
      <c r="BD162" s="667"/>
      <c r="BE162" s="667"/>
      <c r="BF162" s="670"/>
      <c r="BG162" s="667"/>
      <c r="BH162" s="667"/>
      <c r="BI162" s="667"/>
      <c r="BJ162" s="667"/>
      <c r="BK162" s="667"/>
      <c r="BL162" s="667"/>
      <c r="BM162" s="667"/>
      <c r="BN162" s="667"/>
      <c r="BO162" s="667"/>
      <c r="BP162" s="667"/>
      <c r="BQ162" s="667"/>
      <c r="BR162" s="667"/>
      <c r="BS162" s="670"/>
      <c r="BT162" s="667"/>
      <c r="BU162" s="667"/>
      <c r="BV162" s="667"/>
      <c r="BW162" s="667"/>
      <c r="BX162" s="667"/>
      <c r="BY162" s="667"/>
      <c r="BZ162" s="667"/>
      <c r="CA162" s="667"/>
      <c r="CB162" s="667"/>
      <c r="CC162" s="667"/>
      <c r="CD162" s="667"/>
      <c r="CE162" s="667"/>
      <c r="CF162" s="670"/>
      <c r="CG162" s="667">
        <v>0</v>
      </c>
      <c r="CH162" s="667">
        <v>0</v>
      </c>
      <c r="CI162" s="667">
        <v>0</v>
      </c>
      <c r="CJ162" s="667">
        <v>0</v>
      </c>
      <c r="CK162" s="667">
        <v>0</v>
      </c>
      <c r="CL162" s="667">
        <v>0</v>
      </c>
      <c r="CM162" s="667">
        <v>0</v>
      </c>
      <c r="CN162" s="667">
        <v>0</v>
      </c>
      <c r="CO162" s="667">
        <v>0</v>
      </c>
      <c r="CP162" s="667">
        <v>0</v>
      </c>
      <c r="CQ162" s="667">
        <v>1.9971581000000072E-2</v>
      </c>
      <c r="CR162" s="667">
        <v>0</v>
      </c>
      <c r="CS162" s="667"/>
      <c r="CT162" s="667">
        <v>0</v>
      </c>
      <c r="CU162" s="667">
        <v>0</v>
      </c>
      <c r="CV162" s="667">
        <v>0</v>
      </c>
      <c r="CW162" s="667">
        <v>0</v>
      </c>
      <c r="CX162" s="667">
        <v>0</v>
      </c>
      <c r="CY162" s="667">
        <v>0</v>
      </c>
      <c r="CZ162" s="667">
        <v>0</v>
      </c>
      <c r="DA162" s="667">
        <v>0</v>
      </c>
      <c r="DB162" s="667">
        <v>0</v>
      </c>
      <c r="DC162" s="667">
        <v>0</v>
      </c>
      <c r="DD162" s="667">
        <v>0</v>
      </c>
      <c r="DE162" s="667">
        <v>0</v>
      </c>
      <c r="DF162" s="390">
        <f t="shared" si="7"/>
        <v>0</v>
      </c>
      <c r="DG162" s="667">
        <v>0</v>
      </c>
      <c r="DH162" s="667">
        <v>0</v>
      </c>
      <c r="DI162" s="667">
        <v>0</v>
      </c>
      <c r="DJ162" s="667">
        <v>0</v>
      </c>
      <c r="DK162" s="667">
        <v>0</v>
      </c>
      <c r="DL162" s="667">
        <v>0</v>
      </c>
      <c r="DM162" s="667">
        <v>0</v>
      </c>
      <c r="DN162" s="667">
        <v>0</v>
      </c>
      <c r="DO162" s="667">
        <v>0</v>
      </c>
      <c r="DP162" s="667">
        <v>0</v>
      </c>
      <c r="DQ162" s="667">
        <v>0</v>
      </c>
      <c r="DR162" s="667">
        <v>0</v>
      </c>
      <c r="DS162" s="667">
        <v>0</v>
      </c>
      <c r="DT162" s="667"/>
      <c r="DU162" s="667"/>
      <c r="DV162" s="667"/>
      <c r="DW162" s="667"/>
      <c r="DX162" s="667"/>
      <c r="DY162" s="667"/>
      <c r="DZ162" s="667"/>
      <c r="EA162" s="667"/>
      <c r="EB162" s="667"/>
      <c r="EC162" s="667"/>
      <c r="ED162" s="667"/>
      <c r="EE162" s="667"/>
      <c r="EF162" s="670"/>
      <c r="EG162" s="667"/>
      <c r="EH162" s="667"/>
      <c r="EI162" s="667"/>
      <c r="EJ162" s="667"/>
      <c r="EK162" s="667"/>
      <c r="EL162" s="667"/>
      <c r="EM162" s="667"/>
      <c r="EN162" s="667"/>
      <c r="EO162" s="667"/>
      <c r="EP162" s="667"/>
      <c r="EQ162" s="667"/>
      <c r="ER162" s="667"/>
      <c r="ES162" s="667"/>
      <c r="ET162" s="667"/>
      <c r="EU162" s="667"/>
      <c r="EV162" s="667"/>
      <c r="EW162" s="667"/>
      <c r="EX162" s="667"/>
      <c r="EY162" s="667"/>
      <c r="EZ162" s="667"/>
      <c r="FA162" s="667"/>
      <c r="FB162" s="667"/>
      <c r="FC162" s="667"/>
      <c r="FD162" s="667"/>
      <c r="FE162" s="667"/>
      <c r="FF162" s="670"/>
      <c r="FG162" s="667"/>
      <c r="FH162" s="667"/>
      <c r="FI162" s="667"/>
      <c r="FJ162" s="667"/>
      <c r="FK162" s="667"/>
      <c r="FL162" s="667"/>
      <c r="FM162" s="667"/>
      <c r="FN162" s="667"/>
      <c r="FO162" s="667"/>
      <c r="FP162" s="667"/>
      <c r="FQ162" s="667"/>
      <c r="FR162" s="667"/>
      <c r="FS162" s="667"/>
      <c r="FT162" s="667">
        <v>0</v>
      </c>
      <c r="FU162" s="667">
        <v>0</v>
      </c>
      <c r="FV162" s="667">
        <v>0</v>
      </c>
      <c r="FW162" s="667">
        <v>-9.0949470177292824E-12</v>
      </c>
      <c r="FX162" s="667"/>
      <c r="FY162" s="667">
        <v>0</v>
      </c>
      <c r="FZ162" s="667">
        <v>0</v>
      </c>
      <c r="GA162" s="667">
        <v>0</v>
      </c>
      <c r="GB162" s="667"/>
      <c r="GC162" s="667"/>
      <c r="GD162" s="667">
        <v>0</v>
      </c>
      <c r="GE162" s="667">
        <v>0</v>
      </c>
      <c r="GF162" s="667"/>
      <c r="GH162" s="667">
        <v>0</v>
      </c>
      <c r="GI162" s="667">
        <v>0</v>
      </c>
      <c r="GJ162" s="667">
        <v>0</v>
      </c>
      <c r="GK162" s="667">
        <v>0</v>
      </c>
      <c r="GL162" s="667"/>
      <c r="GM162" s="667">
        <v>0</v>
      </c>
      <c r="GN162" s="667">
        <v>0</v>
      </c>
      <c r="GO162" s="667">
        <v>0</v>
      </c>
      <c r="GP162" s="667"/>
      <c r="GQ162" s="667"/>
      <c r="GR162" s="667">
        <v>0.13736100419184183</v>
      </c>
      <c r="GS162" s="667">
        <v>0.24787346897705609</v>
      </c>
      <c r="GT162" s="667">
        <v>-9.4576385289424358E-3</v>
      </c>
      <c r="GU162" s="667">
        <v>-2.612945151441298</v>
      </c>
      <c r="GX162" s="214"/>
    </row>
    <row r="163" spans="1:206" ht="12.75" customHeight="1">
      <c r="D163" s="649" t="s">
        <v>355</v>
      </c>
      <c r="AR163" s="207"/>
      <c r="CG163" s="636"/>
      <c r="CH163" s="636"/>
      <c r="CI163" s="636"/>
      <c r="CJ163" s="636"/>
      <c r="CK163" s="636"/>
      <c r="CL163" s="636"/>
      <c r="CN163" s="636"/>
      <c r="CO163" s="636"/>
      <c r="CP163" s="636"/>
      <c r="CQ163" s="636"/>
      <c r="CR163" s="636"/>
      <c r="CT163" s="636"/>
      <c r="CU163" s="636"/>
      <c r="CV163" s="636"/>
      <c r="CW163" s="636"/>
      <c r="CX163" s="636"/>
      <c r="CY163" s="636"/>
      <c r="CZ163" s="636"/>
      <c r="DA163" s="636"/>
      <c r="DB163" s="636"/>
      <c r="DC163" s="636"/>
      <c r="DD163" s="636"/>
      <c r="DE163" s="636"/>
      <c r="DF163" s="390">
        <f t="shared" si="7"/>
        <v>0</v>
      </c>
      <c r="DG163" s="636"/>
      <c r="DH163" s="636"/>
      <c r="DI163" s="636"/>
      <c r="DJ163" s="636"/>
      <c r="DK163" s="636"/>
      <c r="DL163" s="636"/>
      <c r="DM163" s="636"/>
      <c r="DN163" s="636"/>
      <c r="DO163" s="636"/>
      <c r="DP163" s="636"/>
      <c r="DQ163" s="636"/>
      <c r="DR163" s="636"/>
      <c r="FT163" s="636"/>
      <c r="FU163" s="636"/>
      <c r="FV163" s="636"/>
      <c r="FW163" s="636"/>
      <c r="GM163" s="293"/>
    </row>
    <row r="164" spans="1:206" ht="12.75" customHeight="1">
      <c r="D164" s="649" t="s">
        <v>136</v>
      </c>
      <c r="AR164" s="207"/>
      <c r="CG164" s="636"/>
      <c r="CH164" s="636"/>
      <c r="CI164" s="636"/>
      <c r="CJ164" s="636"/>
      <c r="CK164" s="636"/>
      <c r="CL164" s="636"/>
      <c r="CN164" s="636"/>
      <c r="CO164" s="636"/>
      <c r="CP164" s="636"/>
      <c r="CQ164" s="636"/>
      <c r="CR164" s="636"/>
      <c r="CT164" s="636"/>
      <c r="CU164" s="636"/>
      <c r="CV164" s="636"/>
      <c r="CW164" s="636"/>
      <c r="CX164" s="636"/>
      <c r="CY164" s="636"/>
      <c r="CZ164" s="636"/>
      <c r="DA164" s="636"/>
      <c r="DB164" s="636"/>
      <c r="DC164" s="636"/>
      <c r="DD164" s="636"/>
      <c r="DE164" s="636"/>
      <c r="DF164" s="390">
        <f t="shared" si="7"/>
        <v>0</v>
      </c>
      <c r="DG164" s="636"/>
      <c r="DH164" s="636"/>
      <c r="DI164" s="636"/>
      <c r="DJ164" s="636"/>
      <c r="DK164" s="636"/>
      <c r="DL164" s="636"/>
      <c r="DM164" s="636"/>
      <c r="DN164" s="636"/>
      <c r="DO164" s="636"/>
      <c r="DP164" s="636"/>
      <c r="DQ164" s="636"/>
      <c r="DR164" s="636"/>
      <c r="FT164" s="636"/>
      <c r="FU164" s="636"/>
      <c r="FV164" s="636"/>
      <c r="FW164" s="636"/>
    </row>
    <row r="165" spans="1:206" ht="12.75" customHeight="1">
      <c r="D165" s="206" t="s">
        <v>350</v>
      </c>
      <c r="G165" s="642">
        <v>891.70299999999975</v>
      </c>
      <c r="H165" s="639">
        <v>1023.6009999999999</v>
      </c>
      <c r="I165" s="639">
        <v>1371.4730000000002</v>
      </c>
      <c r="J165" s="639">
        <v>1061.9070000000002</v>
      </c>
      <c r="K165" s="639">
        <v>1110.5909999999994</v>
      </c>
      <c r="L165" s="639">
        <v>693.15099999999995</v>
      </c>
      <c r="M165" s="639">
        <v>939.21600000000001</v>
      </c>
      <c r="N165" s="639">
        <v>857.64600000000007</v>
      </c>
      <c r="O165" s="639">
        <v>797.65100000000007</v>
      </c>
      <c r="P165" s="639">
        <v>713.7360000000001</v>
      </c>
      <c r="Q165" s="639">
        <v>1047.1990000000001</v>
      </c>
      <c r="R165" s="207">
        <v>1037.653</v>
      </c>
      <c r="T165" s="639">
        <v>674.26629967554322</v>
      </c>
      <c r="U165" s="639">
        <v>1674.5674557873385</v>
      </c>
      <c r="V165" s="639">
        <v>1242.0234743039277</v>
      </c>
      <c r="W165" s="639">
        <v>1408.017464243138</v>
      </c>
      <c r="X165" s="639">
        <v>1148.7327781837087</v>
      </c>
      <c r="Y165" s="639">
        <v>1205.1080228164574</v>
      </c>
      <c r="Z165" s="639">
        <v>947.67273497636813</v>
      </c>
      <c r="AA165" s="639">
        <v>1254.0477856276027</v>
      </c>
      <c r="AB165" s="639">
        <v>826.28995011965617</v>
      </c>
      <c r="AC165" s="639">
        <v>1158.2771797649864</v>
      </c>
      <c r="AD165" s="639">
        <v>789.62572970491351</v>
      </c>
      <c r="AE165" s="639">
        <v>1173.9671247963624</v>
      </c>
      <c r="AG165" s="639">
        <v>0</v>
      </c>
      <c r="AH165" s="639">
        <v>1223.1205</v>
      </c>
      <c r="AI165" s="639">
        <v>1584.8869999999999</v>
      </c>
      <c r="AJ165" s="639">
        <v>1009.6423</v>
      </c>
      <c r="AK165" s="639">
        <v>1094.7393</v>
      </c>
      <c r="AL165" s="639">
        <v>852.72249999999997</v>
      </c>
      <c r="AM165" s="639">
        <v>1026.9177</v>
      </c>
      <c r="AN165" s="639">
        <v>707</v>
      </c>
      <c r="AO165" s="639">
        <v>817</v>
      </c>
      <c r="AP165" s="639">
        <v>733.79000000000008</v>
      </c>
      <c r="AQ165" s="639">
        <v>906.04</v>
      </c>
      <c r="AR165" s="639">
        <v>913.72699999999998</v>
      </c>
      <c r="AT165" s="639"/>
      <c r="AU165" s="639"/>
      <c r="AV165" s="639"/>
      <c r="AW165" s="639"/>
      <c r="AX165" s="639"/>
      <c r="AY165" s="639"/>
      <c r="AZ165" s="639"/>
      <c r="BA165" s="639"/>
      <c r="BB165" s="639"/>
      <c r="BC165" s="639"/>
      <c r="BD165" s="639"/>
      <c r="BE165" s="639"/>
      <c r="BF165" s="639"/>
      <c r="BG165" s="639"/>
      <c r="BH165" s="639"/>
      <c r="BI165" s="639"/>
      <c r="BJ165" s="639"/>
      <c r="BK165" s="639"/>
      <c r="BL165" s="639"/>
      <c r="BM165" s="639"/>
      <c r="BN165" s="639"/>
      <c r="BO165" s="639"/>
      <c r="BP165" s="639"/>
      <c r="BQ165" s="639"/>
      <c r="BR165" s="639"/>
      <c r="BS165" s="639"/>
      <c r="BT165" s="639"/>
      <c r="BU165" s="639"/>
      <c r="BV165" s="639"/>
      <c r="BW165" s="639"/>
      <c r="BX165" s="639"/>
      <c r="BY165" s="639"/>
      <c r="BZ165" s="639"/>
      <c r="CA165" s="639"/>
      <c r="CB165" s="639"/>
      <c r="CC165" s="639"/>
      <c r="CD165" s="639"/>
      <c r="CE165" s="639"/>
      <c r="CF165" s="639">
        <v>0</v>
      </c>
      <c r="CG165" s="636">
        <v>9.5273116950000016</v>
      </c>
      <c r="CH165" s="636">
        <v>11.291247802999999</v>
      </c>
      <c r="CI165" s="636">
        <v>14.557402006999999</v>
      </c>
      <c r="CJ165" s="636">
        <v>12.550579625999999</v>
      </c>
      <c r="CK165" s="636">
        <v>13.446505953000001</v>
      </c>
      <c r="CL165" s="636">
        <v>8.5036360700000024</v>
      </c>
      <c r="CM165" s="636">
        <v>10.508003121000003</v>
      </c>
      <c r="CN165" s="636">
        <v>10.044313115</v>
      </c>
      <c r="CO165" s="636">
        <v>9.4462971059999976</v>
      </c>
      <c r="CP165" s="636">
        <v>8.1146285819999981</v>
      </c>
      <c r="CQ165" s="636">
        <v>12.109215914</v>
      </c>
      <c r="CR165" s="636">
        <v>11.835457462000001</v>
      </c>
      <c r="CS165" s="639"/>
      <c r="CT165" s="636">
        <v>7.1566194599752659</v>
      </c>
      <c r="CU165" s="636">
        <v>18.098194799386938</v>
      </c>
      <c r="CV165" s="636">
        <v>14.082976425417419</v>
      </c>
      <c r="CW165" s="636">
        <v>16.005611605650454</v>
      </c>
      <c r="CX165" s="636">
        <v>12.680550874462078</v>
      </c>
      <c r="CY165" s="636">
        <v>13.040363805480458</v>
      </c>
      <c r="CZ165" s="636">
        <v>10.622950813243611</v>
      </c>
      <c r="DA165" s="636">
        <v>14.22255823734533</v>
      </c>
      <c r="DB165" s="636">
        <v>9.6699605287301331</v>
      </c>
      <c r="DC165" s="636">
        <v>11.508292818310505</v>
      </c>
      <c r="DD165" s="636">
        <v>7.9564132360005795</v>
      </c>
      <c r="DE165" s="636">
        <v>12.019854885936887</v>
      </c>
      <c r="DF165" s="390">
        <f t="shared" si="7"/>
        <v>31.48456094024797</v>
      </c>
      <c r="DG165" s="636">
        <v>0</v>
      </c>
      <c r="DH165" s="636">
        <v>13.620847396478005</v>
      </c>
      <c r="DI165" s="636">
        <v>17.345435101403659</v>
      </c>
      <c r="DJ165" s="636">
        <v>12.458372540060164</v>
      </c>
      <c r="DK165" s="636">
        <v>13.343600528663812</v>
      </c>
      <c r="DL165" s="636">
        <v>10.507636104244499</v>
      </c>
      <c r="DM165" s="636">
        <v>11.882440115385624</v>
      </c>
      <c r="DN165" s="636">
        <v>8.2531116086425431</v>
      </c>
      <c r="DO165" s="636">
        <v>9.6310278450391653</v>
      </c>
      <c r="DP165" s="636">
        <v>8.0332714184157581</v>
      </c>
      <c r="DQ165" s="636">
        <v>10.912730432136911</v>
      </c>
      <c r="DR165" s="636">
        <v>10.668274132380956</v>
      </c>
      <c r="FT165" s="636">
        <v>11545.526999999998</v>
      </c>
      <c r="FU165" s="636">
        <v>13502.596000000001</v>
      </c>
      <c r="FV165" s="636">
        <v>10869.586300000003</v>
      </c>
      <c r="FW165" s="636">
        <v>-1957.069000000002</v>
      </c>
      <c r="FY165" s="636">
        <v>131.93459845400002</v>
      </c>
      <c r="FZ165" s="636">
        <v>147.06434748993968</v>
      </c>
      <c r="GA165" s="636">
        <v>126.65674722285108</v>
      </c>
      <c r="GH165" s="636">
        <v>1037.653</v>
      </c>
      <c r="GI165" s="636">
        <v>1173.9671247963624</v>
      </c>
      <c r="GJ165" s="636">
        <v>913.72699999999998</v>
      </c>
      <c r="GM165" s="636">
        <v>11.835457462000001</v>
      </c>
      <c r="GN165" s="636">
        <v>12.019854885936887</v>
      </c>
      <c r="GO165" s="636">
        <v>10.668274132380956</v>
      </c>
    </row>
    <row r="166" spans="1:206" ht="12.75" customHeight="1">
      <c r="D166" s="206" t="s">
        <v>354</v>
      </c>
      <c r="G166" s="639">
        <v>0</v>
      </c>
      <c r="H166" s="639">
        <v>11.664000000000001</v>
      </c>
      <c r="I166" s="639">
        <v>0</v>
      </c>
      <c r="J166" s="639">
        <v>0</v>
      </c>
      <c r="K166" s="639">
        <v>0</v>
      </c>
      <c r="L166" s="639">
        <v>0</v>
      </c>
      <c r="M166" s="639">
        <v>0</v>
      </c>
      <c r="N166" s="639">
        <v>0</v>
      </c>
      <c r="O166" s="639">
        <v>0</v>
      </c>
      <c r="P166" s="639">
        <v>0</v>
      </c>
      <c r="Q166" s="639">
        <v>0</v>
      </c>
      <c r="R166" s="207">
        <v>0</v>
      </c>
      <c r="T166" s="639">
        <v>0</v>
      </c>
      <c r="U166" s="639">
        <v>0</v>
      </c>
      <c r="V166" s="639">
        <v>0</v>
      </c>
      <c r="W166" s="639">
        <v>0</v>
      </c>
      <c r="X166" s="639">
        <v>0</v>
      </c>
      <c r="Y166" s="639">
        <v>0</v>
      </c>
      <c r="Z166" s="639">
        <v>0</v>
      </c>
      <c r="AA166" s="639">
        <v>0</v>
      </c>
      <c r="AB166" s="639">
        <v>0</v>
      </c>
      <c r="AC166" s="639">
        <v>0</v>
      </c>
      <c r="AD166" s="639">
        <v>0</v>
      </c>
      <c r="AE166" s="639">
        <v>0</v>
      </c>
      <c r="AG166" s="639">
        <v>0</v>
      </c>
      <c r="AH166" s="639">
        <v>11.6</v>
      </c>
      <c r="AI166" s="639">
        <v>0</v>
      </c>
      <c r="AJ166" s="639">
        <v>0.7641</v>
      </c>
      <c r="AK166" s="639">
        <v>0</v>
      </c>
      <c r="AL166" s="639">
        <v>0</v>
      </c>
      <c r="AM166" s="639">
        <v>0</v>
      </c>
      <c r="AN166" s="639">
        <v>0</v>
      </c>
      <c r="AO166" s="639">
        <v>0</v>
      </c>
      <c r="AP166" s="639">
        <v>0</v>
      </c>
      <c r="AQ166" s="639">
        <v>0</v>
      </c>
      <c r="AR166" s="639">
        <v>0</v>
      </c>
      <c r="CG166" s="636">
        <v>0</v>
      </c>
      <c r="CH166" s="636">
        <v>0.17683849400000001</v>
      </c>
      <c r="CI166" s="636">
        <v>0</v>
      </c>
      <c r="CJ166" s="636">
        <v>0</v>
      </c>
      <c r="CK166" s="636">
        <v>0</v>
      </c>
      <c r="CL166" s="636">
        <v>0</v>
      </c>
      <c r="CM166" s="636">
        <v>0</v>
      </c>
      <c r="CN166" s="636">
        <v>0</v>
      </c>
      <c r="CO166" s="636">
        <v>0</v>
      </c>
      <c r="CP166" s="636">
        <v>0</v>
      </c>
      <c r="CQ166" s="636">
        <v>0</v>
      </c>
      <c r="CR166" s="636">
        <v>0</v>
      </c>
      <c r="CS166" s="639"/>
      <c r="CT166" s="636">
        <v>0</v>
      </c>
      <c r="CU166" s="636">
        <v>0</v>
      </c>
      <c r="CV166" s="636">
        <v>0</v>
      </c>
      <c r="CW166" s="636">
        <v>0</v>
      </c>
      <c r="CX166" s="636">
        <v>0</v>
      </c>
      <c r="CY166" s="636">
        <v>0</v>
      </c>
      <c r="CZ166" s="636">
        <v>0</v>
      </c>
      <c r="DA166" s="636">
        <v>0</v>
      </c>
      <c r="DB166" s="636">
        <v>0</v>
      </c>
      <c r="DC166" s="636">
        <v>0</v>
      </c>
      <c r="DD166" s="636">
        <v>0</v>
      </c>
      <c r="DE166" s="636">
        <v>0</v>
      </c>
      <c r="DF166" s="390">
        <f t="shared" si="7"/>
        <v>0</v>
      </c>
      <c r="DG166" s="636">
        <v>0</v>
      </c>
      <c r="DH166" s="636">
        <v>0.16213512175762612</v>
      </c>
      <c r="DI166" s="636">
        <v>0</v>
      </c>
      <c r="DJ166" s="636">
        <v>1.1167255939930103E-2</v>
      </c>
      <c r="DK166" s="636">
        <v>0</v>
      </c>
      <c r="DL166" s="636">
        <v>0</v>
      </c>
      <c r="DM166" s="636">
        <v>0</v>
      </c>
      <c r="DN166" s="636">
        <v>0</v>
      </c>
      <c r="DO166" s="636">
        <v>0</v>
      </c>
      <c r="DP166" s="636">
        <v>0</v>
      </c>
      <c r="DQ166" s="636">
        <v>0</v>
      </c>
      <c r="DR166" s="636">
        <v>0</v>
      </c>
      <c r="FT166" s="636">
        <v>11.664000000000001</v>
      </c>
      <c r="FU166" s="636">
        <v>0</v>
      </c>
      <c r="FV166" s="636">
        <v>12.364100000000001</v>
      </c>
      <c r="FW166" s="636">
        <v>11.664000000000001</v>
      </c>
      <c r="FY166" s="636">
        <v>0.17683849400000001</v>
      </c>
      <c r="FZ166" s="636">
        <v>0</v>
      </c>
      <c r="GA166" s="636">
        <v>0.17330237769755621</v>
      </c>
      <c r="GH166" s="636">
        <v>0</v>
      </c>
      <c r="GI166" s="636">
        <v>0</v>
      </c>
      <c r="GJ166" s="636">
        <v>0</v>
      </c>
      <c r="GM166" s="636">
        <v>0</v>
      </c>
      <c r="GN166" s="636">
        <v>0</v>
      </c>
      <c r="GO166" s="636">
        <v>0</v>
      </c>
    </row>
    <row r="167" spans="1:206" ht="12.75" customHeight="1">
      <c r="D167" s="206" t="s">
        <v>21</v>
      </c>
      <c r="G167" s="665">
        <v>891.70299999999975</v>
      </c>
      <c r="H167" s="665">
        <v>1035.2649999999999</v>
      </c>
      <c r="I167" s="665">
        <v>1371.4730000000002</v>
      </c>
      <c r="J167" s="665">
        <v>1061.9070000000002</v>
      </c>
      <c r="K167" s="665">
        <v>1110.5909999999994</v>
      </c>
      <c r="L167" s="665">
        <v>693.15099999999995</v>
      </c>
      <c r="M167" s="665">
        <v>939.21600000000001</v>
      </c>
      <c r="N167" s="665">
        <v>857.64600000000007</v>
      </c>
      <c r="O167" s="665">
        <v>797.65100000000007</v>
      </c>
      <c r="P167" s="665">
        <v>713.7360000000001</v>
      </c>
      <c r="Q167" s="665">
        <v>1047.1990000000001</v>
      </c>
      <c r="R167" s="207">
        <v>1037.653</v>
      </c>
      <c r="T167" s="665">
        <v>674.26629967554322</v>
      </c>
      <c r="U167" s="665">
        <v>1674.5674557873385</v>
      </c>
      <c r="V167" s="665">
        <v>1242.0234743039277</v>
      </c>
      <c r="W167" s="665">
        <v>1408.017464243138</v>
      </c>
      <c r="X167" s="665">
        <v>1148.7327781837087</v>
      </c>
      <c r="Y167" s="665">
        <v>1205.1080228164574</v>
      </c>
      <c r="Z167" s="665">
        <v>947.67273497636813</v>
      </c>
      <c r="AA167" s="665">
        <v>1254.0477856276027</v>
      </c>
      <c r="AB167" s="665">
        <v>826.28995011965617</v>
      </c>
      <c r="AC167" s="665">
        <v>1158.2771797649864</v>
      </c>
      <c r="AD167" s="665">
        <v>789.62572970491351</v>
      </c>
      <c r="AE167" s="665">
        <v>1173.9671247963624</v>
      </c>
      <c r="AG167" s="665">
        <v>0</v>
      </c>
      <c r="AH167" s="665">
        <v>1234.7204999999999</v>
      </c>
      <c r="AI167" s="665">
        <v>1584.8869999999999</v>
      </c>
      <c r="AJ167" s="665">
        <v>1010.4064</v>
      </c>
      <c r="AK167" s="665">
        <v>1094.7393</v>
      </c>
      <c r="AL167" s="665">
        <v>852.72249999999997</v>
      </c>
      <c r="AM167" s="665">
        <v>1026.9177</v>
      </c>
      <c r="AN167" s="665">
        <v>707</v>
      </c>
      <c r="AO167" s="665">
        <v>817</v>
      </c>
      <c r="AP167" s="665">
        <v>733.79000000000008</v>
      </c>
      <c r="AQ167" s="665">
        <v>906.04</v>
      </c>
      <c r="AR167" s="665">
        <v>913.72699999999998</v>
      </c>
      <c r="CG167" s="667">
        <v>9.5273116950000016</v>
      </c>
      <c r="CH167" s="667">
        <v>11.468086296999999</v>
      </c>
      <c r="CI167" s="667">
        <v>14.557402006999999</v>
      </c>
      <c r="CJ167" s="667">
        <v>12.550579625999999</v>
      </c>
      <c r="CK167" s="667">
        <v>13.446505953000001</v>
      </c>
      <c r="CL167" s="667">
        <v>8.5036360700000024</v>
      </c>
      <c r="CM167" s="667">
        <v>10.508003121000003</v>
      </c>
      <c r="CN167" s="667">
        <v>10.044313115</v>
      </c>
      <c r="CO167" s="667">
        <v>9.4462971059999976</v>
      </c>
      <c r="CP167" s="667">
        <v>8.1146285819999981</v>
      </c>
      <c r="CQ167" s="667">
        <v>12.109215914</v>
      </c>
      <c r="CR167" s="667">
        <v>11.835457462000001</v>
      </c>
      <c r="CT167" s="667">
        <v>7.1566194599752659</v>
      </c>
      <c r="CU167" s="667">
        <v>18.098194799386938</v>
      </c>
      <c r="CV167" s="667">
        <v>14.082976425417419</v>
      </c>
      <c r="CW167" s="667">
        <v>16.005611605650454</v>
      </c>
      <c r="CX167" s="667">
        <v>12.680550874462078</v>
      </c>
      <c r="CY167" s="667">
        <v>13.040363805480458</v>
      </c>
      <c r="CZ167" s="667">
        <v>10.622950813243611</v>
      </c>
      <c r="DA167" s="667">
        <v>14.22255823734533</v>
      </c>
      <c r="DB167" s="667">
        <v>9.6699605287301331</v>
      </c>
      <c r="DC167" s="667">
        <v>11.508292818310505</v>
      </c>
      <c r="DD167" s="667">
        <v>7.9564132360005795</v>
      </c>
      <c r="DE167" s="667">
        <v>12.019854885936887</v>
      </c>
      <c r="DF167" s="390">
        <f t="shared" si="7"/>
        <v>31.48456094024797</v>
      </c>
      <c r="DG167" s="667">
        <v>0</v>
      </c>
      <c r="DH167" s="667">
        <v>13.782982518235631</v>
      </c>
      <c r="DI167" s="667">
        <v>17.345435101403659</v>
      </c>
      <c r="DJ167" s="667">
        <v>12.469539796000095</v>
      </c>
      <c r="DK167" s="667">
        <v>13.343600528663812</v>
      </c>
      <c r="DL167" s="667">
        <v>10.507636104244499</v>
      </c>
      <c r="DM167" s="667">
        <v>11.882440115385624</v>
      </c>
      <c r="DN167" s="667">
        <v>8.2531116086425431</v>
      </c>
      <c r="DO167" s="667">
        <v>9.6310278450391653</v>
      </c>
      <c r="DP167" s="667">
        <v>8.0332714184157581</v>
      </c>
      <c r="DQ167" s="667">
        <v>10.912730432136911</v>
      </c>
      <c r="DR167" s="667">
        <v>10.668274132380956</v>
      </c>
      <c r="FT167" s="667">
        <v>11557.190999999999</v>
      </c>
      <c r="FU167" s="667">
        <v>13502.596000000001</v>
      </c>
      <c r="FV167" s="667">
        <v>10881.950400000003</v>
      </c>
      <c r="FW167" s="667">
        <v>-1945.405000000002</v>
      </c>
      <c r="FY167" s="667">
        <v>132.11143694800003</v>
      </c>
      <c r="FZ167" s="667">
        <v>147.06434748993968</v>
      </c>
      <c r="GA167" s="667">
        <v>126.83004960054863</v>
      </c>
      <c r="GH167" s="667">
        <v>1037.653</v>
      </c>
      <c r="GI167" s="667">
        <v>1173.9671247963624</v>
      </c>
      <c r="GJ167" s="667">
        <v>913.72699999999998</v>
      </c>
      <c r="GM167" s="667">
        <v>11.835457462000001</v>
      </c>
      <c r="GN167" s="667">
        <v>12.019854885936887</v>
      </c>
      <c r="GO167" s="667">
        <v>10.668274132380956</v>
      </c>
    </row>
    <row r="168" spans="1:206" ht="12.75" customHeight="1">
      <c r="D168" s="649" t="s">
        <v>216</v>
      </c>
      <c r="Q168" s="207"/>
      <c r="AR168" s="207"/>
      <c r="CG168" s="636"/>
      <c r="CH168" s="636"/>
      <c r="CI168" s="636"/>
      <c r="CJ168" s="636"/>
      <c r="CK168" s="636"/>
      <c r="CL168" s="636"/>
      <c r="CN168" s="636"/>
      <c r="CO168" s="636"/>
      <c r="CP168" s="636"/>
      <c r="CQ168" s="636"/>
      <c r="CR168" s="636"/>
      <c r="CT168" s="636"/>
      <c r="CU168" s="636"/>
      <c r="CV168" s="636"/>
      <c r="CW168" s="636"/>
      <c r="CX168" s="636"/>
      <c r="CY168" s="636"/>
      <c r="CZ168" s="636"/>
      <c r="DA168" s="636"/>
      <c r="DB168" s="636"/>
      <c r="DC168" s="636"/>
      <c r="DD168" s="636"/>
      <c r="DE168" s="636"/>
      <c r="DF168" s="390">
        <f t="shared" si="7"/>
        <v>0</v>
      </c>
      <c r="DG168" s="636"/>
      <c r="DH168" s="636"/>
      <c r="DI168" s="636"/>
      <c r="DJ168" s="636"/>
      <c r="DK168" s="636"/>
      <c r="DL168" s="636"/>
      <c r="DM168" s="636"/>
      <c r="DN168" s="636"/>
      <c r="DO168" s="636"/>
      <c r="DP168" s="636"/>
      <c r="DQ168" s="636"/>
      <c r="DR168" s="636"/>
      <c r="FT168" s="636"/>
      <c r="FU168" s="636"/>
      <c r="FV168" s="636"/>
      <c r="FW168" s="636"/>
      <c r="FY168" s="636"/>
      <c r="FZ168" s="636"/>
      <c r="GA168" s="636"/>
      <c r="GH168" s="636"/>
      <c r="GI168" s="636"/>
      <c r="GJ168" s="636"/>
      <c r="GM168" s="636"/>
      <c r="GN168" s="636"/>
      <c r="GO168" s="636"/>
    </row>
    <row r="169" spans="1:206" ht="12.75" customHeight="1">
      <c r="D169" s="206" t="s">
        <v>350</v>
      </c>
      <c r="G169" s="639">
        <v>10.373000000000001</v>
      </c>
      <c r="H169" s="639">
        <v>0</v>
      </c>
      <c r="I169" s="639">
        <v>159.36999999999998</v>
      </c>
      <c r="J169" s="639">
        <v>0</v>
      </c>
      <c r="K169" s="639">
        <v>37.44</v>
      </c>
      <c r="L169" s="639">
        <v>29.802</v>
      </c>
      <c r="M169" s="639">
        <v>46.295999999999999</v>
      </c>
      <c r="N169" s="639">
        <v>53.567999999999998</v>
      </c>
      <c r="O169" s="639">
        <v>23.05</v>
      </c>
      <c r="P169" s="639">
        <v>4.1100000000000003</v>
      </c>
      <c r="Q169" s="639">
        <v>0</v>
      </c>
      <c r="R169" s="207">
        <v>0</v>
      </c>
      <c r="T169" s="639">
        <v>0</v>
      </c>
      <c r="U169" s="639">
        <v>0</v>
      </c>
      <c r="V169" s="639">
        <v>25</v>
      </c>
      <c r="W169" s="639">
        <v>25</v>
      </c>
      <c r="X169" s="639">
        <v>25</v>
      </c>
      <c r="Y169" s="639">
        <v>25</v>
      </c>
      <c r="Z169" s="639">
        <v>25</v>
      </c>
      <c r="AA169" s="639">
        <v>0</v>
      </c>
      <c r="AB169" s="639">
        <v>0</v>
      </c>
      <c r="AC169" s="639">
        <v>0</v>
      </c>
      <c r="AD169" s="639">
        <v>0</v>
      </c>
      <c r="AE169" s="639">
        <v>0</v>
      </c>
      <c r="AG169" s="639">
        <v>0</v>
      </c>
      <c r="AH169" s="639">
        <v>0</v>
      </c>
      <c r="AI169" s="639">
        <v>158.72</v>
      </c>
      <c r="AJ169" s="639">
        <v>29.718099999999996</v>
      </c>
      <c r="AK169" s="639">
        <v>29.419999999999998</v>
      </c>
      <c r="AL169" s="639">
        <v>47.7</v>
      </c>
      <c r="AM169" s="639">
        <v>40</v>
      </c>
      <c r="AN169" s="639">
        <v>43.203000000000003</v>
      </c>
      <c r="AO169" s="639">
        <v>0</v>
      </c>
      <c r="AP169" s="639">
        <v>0</v>
      </c>
      <c r="AQ169" s="639">
        <v>0</v>
      </c>
      <c r="AR169" s="639">
        <v>0</v>
      </c>
      <c r="CG169" s="636">
        <v>0.114251454</v>
      </c>
      <c r="CH169" s="636">
        <v>0</v>
      </c>
      <c r="CI169" s="636">
        <v>1.4314775800000001</v>
      </c>
      <c r="CJ169" s="636">
        <v>0</v>
      </c>
      <c r="CK169" s="636">
        <v>0.40637220000000007</v>
      </c>
      <c r="CL169" s="636">
        <v>0.339077503</v>
      </c>
      <c r="CM169" s="636">
        <v>0.53906499600000002</v>
      </c>
      <c r="CN169" s="636">
        <v>0.58603670999999991</v>
      </c>
      <c r="CO169" s="636">
        <v>0.266216444</v>
      </c>
      <c r="CP169" s="636">
        <v>4.9148749999999998E-2</v>
      </c>
      <c r="CQ169" s="636">
        <v>0</v>
      </c>
      <c r="CR169" s="636">
        <v>0</v>
      </c>
      <c r="CT169" s="636">
        <v>0</v>
      </c>
      <c r="CU169" s="636">
        <v>0</v>
      </c>
      <c r="CV169" s="636">
        <v>0.32108794426651593</v>
      </c>
      <c r="CW169" s="636">
        <v>0.30410692112040016</v>
      </c>
      <c r="CX169" s="636">
        <v>0.32108794426651593</v>
      </c>
      <c r="CY169" s="636">
        <v>0.30410692112040016</v>
      </c>
      <c r="CZ169" s="636">
        <v>0.32108794426651593</v>
      </c>
      <c r="DA169" s="636">
        <v>0</v>
      </c>
      <c r="DB169" s="636">
        <v>0</v>
      </c>
      <c r="DC169" s="636">
        <v>0</v>
      </c>
      <c r="DD169" s="636">
        <v>0</v>
      </c>
      <c r="DE169" s="636">
        <v>0</v>
      </c>
      <c r="DF169" s="390">
        <f t="shared" si="7"/>
        <v>0</v>
      </c>
      <c r="DG169" s="636">
        <v>0</v>
      </c>
      <c r="DH169" s="636">
        <v>0</v>
      </c>
      <c r="DI169" s="636">
        <v>1.4258062883590314</v>
      </c>
      <c r="DJ169" s="636">
        <v>0.32333679715959351</v>
      </c>
      <c r="DK169" s="636">
        <v>0.33672750583910482</v>
      </c>
      <c r="DL169" s="636">
        <v>0.53966419478068761</v>
      </c>
      <c r="DM169" s="636">
        <v>0.45016203835529445</v>
      </c>
      <c r="DN169" s="636">
        <v>0.48159798938804244</v>
      </c>
      <c r="DO169" s="636">
        <v>0</v>
      </c>
      <c r="DP169" s="636">
        <v>0</v>
      </c>
      <c r="DQ169" s="636">
        <v>0</v>
      </c>
      <c r="DR169" s="636">
        <v>0</v>
      </c>
      <c r="FT169" s="636">
        <v>364.00900000000001</v>
      </c>
      <c r="FU169" s="636">
        <v>125</v>
      </c>
      <c r="FV169" s="636">
        <v>348.7611</v>
      </c>
      <c r="FW169" s="636">
        <v>239.00899999999999</v>
      </c>
      <c r="FY169" s="636">
        <v>3.7316456369999997</v>
      </c>
      <c r="FZ169" s="636">
        <v>1.5714776750403481</v>
      </c>
      <c r="GA169" s="636">
        <v>3.5572948138817542</v>
      </c>
      <c r="GH169" s="636">
        <v>0</v>
      </c>
      <c r="GI169" s="636">
        <v>0</v>
      </c>
      <c r="GJ169" s="636">
        <v>0</v>
      </c>
      <c r="GM169" s="636">
        <v>0</v>
      </c>
      <c r="GN169" s="636">
        <v>0</v>
      </c>
      <c r="GO169" s="636">
        <v>0</v>
      </c>
    </row>
    <row r="170" spans="1:206" ht="12.75" customHeight="1">
      <c r="D170" s="206" t="s">
        <v>354</v>
      </c>
      <c r="G170" s="642">
        <v>57.84</v>
      </c>
      <c r="H170" s="639">
        <v>14.46</v>
      </c>
      <c r="I170" s="639">
        <v>0</v>
      </c>
      <c r="J170" s="639">
        <v>0</v>
      </c>
      <c r="K170" s="639">
        <v>0</v>
      </c>
      <c r="L170" s="639">
        <v>0</v>
      </c>
      <c r="M170" s="639">
        <v>0</v>
      </c>
      <c r="N170" s="639">
        <v>0</v>
      </c>
      <c r="O170" s="639">
        <v>0</v>
      </c>
      <c r="P170" s="639">
        <v>0</v>
      </c>
      <c r="Q170" s="639">
        <v>0</v>
      </c>
      <c r="R170" s="207">
        <v>0</v>
      </c>
      <c r="T170" s="639">
        <v>21.568000000000001</v>
      </c>
      <c r="U170" s="639">
        <v>20.568000000000001</v>
      </c>
      <c r="V170" s="639">
        <v>21.568000000000001</v>
      </c>
      <c r="W170" s="639">
        <v>20.658000000000001</v>
      </c>
      <c r="X170" s="639">
        <v>20.658000000000001</v>
      </c>
      <c r="Y170" s="639">
        <v>20.658000000000001</v>
      </c>
      <c r="Z170" s="639">
        <v>20.658000000000001</v>
      </c>
      <c r="AA170" s="639">
        <v>20.658000000000001</v>
      </c>
      <c r="AB170" s="639">
        <v>20.658000000000001</v>
      </c>
      <c r="AC170" s="639">
        <v>20.658000000000001</v>
      </c>
      <c r="AD170" s="639">
        <v>20.658000000000001</v>
      </c>
      <c r="AE170" s="639">
        <v>20.658000000000001</v>
      </c>
      <c r="AG170" s="639">
        <v>0</v>
      </c>
      <c r="AH170" s="639">
        <v>7.1574999999999998</v>
      </c>
      <c r="AI170" s="639">
        <v>0</v>
      </c>
      <c r="AJ170" s="639">
        <v>0</v>
      </c>
      <c r="AK170" s="639">
        <v>0</v>
      </c>
      <c r="AL170" s="639">
        <v>0</v>
      </c>
      <c r="AM170" s="639">
        <v>0</v>
      </c>
      <c r="AN170" s="639">
        <v>0</v>
      </c>
      <c r="AO170" s="639">
        <v>0</v>
      </c>
      <c r="AP170" s="639">
        <v>0</v>
      </c>
      <c r="AQ170" s="639">
        <v>0</v>
      </c>
      <c r="AR170" s="639">
        <v>0</v>
      </c>
      <c r="CG170" s="636">
        <v>0.91994108000000008</v>
      </c>
      <c r="CH170" s="636">
        <v>0.233739536</v>
      </c>
      <c r="CI170" s="636">
        <v>0</v>
      </c>
      <c r="CJ170" s="636">
        <v>1.4798799999999999E-4</v>
      </c>
      <c r="CK170" s="636">
        <v>0</v>
      </c>
      <c r="CL170" s="636">
        <v>0</v>
      </c>
      <c r="CM170" s="636">
        <v>0</v>
      </c>
      <c r="CN170" s="636">
        <v>0</v>
      </c>
      <c r="CO170" s="636">
        <v>0</v>
      </c>
      <c r="CP170" s="636">
        <v>0</v>
      </c>
      <c r="CQ170" s="636">
        <v>0</v>
      </c>
      <c r="CR170" s="636">
        <v>0</v>
      </c>
      <c r="CT170" s="636">
        <v>0.25643525514348031</v>
      </c>
      <c r="CU170" s="636">
        <v>0.24419496873507496</v>
      </c>
      <c r="CV170" s="636">
        <v>0.25643525514348031</v>
      </c>
      <c r="CW170" s="636">
        <v>0.24529659451183142</v>
      </c>
      <c r="CX170" s="636">
        <v>0.24529659451183142</v>
      </c>
      <c r="CY170" s="636">
        <v>0.24529659451183142</v>
      </c>
      <c r="CZ170" s="636">
        <v>0.24529659451183142</v>
      </c>
      <c r="DA170" s="636">
        <v>0.24529659451183142</v>
      </c>
      <c r="DB170" s="636">
        <v>0.24529659451183142</v>
      </c>
      <c r="DC170" s="636">
        <v>0.24529659451183142</v>
      </c>
      <c r="DD170" s="636">
        <v>0.24529659451183142</v>
      </c>
      <c r="DE170" s="636">
        <v>0.24529659451183142</v>
      </c>
      <c r="DF170" s="390">
        <f t="shared" si="7"/>
        <v>0.73588978353549428</v>
      </c>
      <c r="DG170" s="636">
        <v>0</v>
      </c>
      <c r="DH170" s="636">
        <v>0.11311467044966637</v>
      </c>
      <c r="DI170" s="636">
        <v>0</v>
      </c>
      <c r="DJ170" s="636">
        <v>0</v>
      </c>
      <c r="DK170" s="636">
        <v>0</v>
      </c>
      <c r="DL170" s="636">
        <v>0</v>
      </c>
      <c r="DM170" s="636">
        <v>0</v>
      </c>
      <c r="DN170" s="636">
        <v>0</v>
      </c>
      <c r="DO170" s="636">
        <v>0</v>
      </c>
      <c r="DP170" s="636">
        <v>0</v>
      </c>
      <c r="DQ170" s="636">
        <v>0</v>
      </c>
      <c r="DR170" s="636">
        <v>0</v>
      </c>
      <c r="FT170" s="636">
        <v>72.300000000000011</v>
      </c>
      <c r="FU170" s="636">
        <v>249.62600000000006</v>
      </c>
      <c r="FV170" s="636">
        <v>7.1574999999999998</v>
      </c>
      <c r="FW170" s="636">
        <v>-177.32600000000005</v>
      </c>
      <c r="FY170" s="636">
        <v>1.1538286040000001</v>
      </c>
      <c r="FZ170" s="636">
        <v>2.9647348296285179</v>
      </c>
      <c r="GA170" s="636">
        <v>0.11311467044966637</v>
      </c>
      <c r="GH170" s="636">
        <v>0</v>
      </c>
      <c r="GI170" s="636">
        <v>20.658000000000001</v>
      </c>
      <c r="GJ170" s="636">
        <v>0</v>
      </c>
      <c r="GM170" s="636">
        <v>0</v>
      </c>
      <c r="GN170" s="636">
        <v>0.24529659451183142</v>
      </c>
      <c r="GO170" s="636">
        <v>0</v>
      </c>
    </row>
    <row r="171" spans="1:206" ht="12.75" customHeight="1">
      <c r="D171" s="206" t="s">
        <v>21</v>
      </c>
      <c r="G171" s="665">
        <v>68.213000000000008</v>
      </c>
      <c r="H171" s="665">
        <v>14.46</v>
      </c>
      <c r="I171" s="665">
        <v>159.36999999999998</v>
      </c>
      <c r="J171" s="665">
        <v>0</v>
      </c>
      <c r="K171" s="665">
        <v>37.44</v>
      </c>
      <c r="L171" s="665">
        <v>29.802</v>
      </c>
      <c r="M171" s="665">
        <v>46.295999999999999</v>
      </c>
      <c r="N171" s="665">
        <v>53.567999999999998</v>
      </c>
      <c r="O171" s="665">
        <v>23.05</v>
      </c>
      <c r="P171" s="665">
        <v>4.1100000000000003</v>
      </c>
      <c r="Q171" s="665">
        <v>0</v>
      </c>
      <c r="R171" s="207">
        <v>0</v>
      </c>
      <c r="T171" s="665">
        <v>21.568000000000001</v>
      </c>
      <c r="U171" s="665">
        <v>20.568000000000001</v>
      </c>
      <c r="V171" s="665">
        <v>46.567999999999998</v>
      </c>
      <c r="W171" s="665">
        <v>45.658000000000001</v>
      </c>
      <c r="X171" s="665">
        <v>45.658000000000001</v>
      </c>
      <c r="Y171" s="665">
        <v>45.658000000000001</v>
      </c>
      <c r="Z171" s="665">
        <v>45.658000000000001</v>
      </c>
      <c r="AA171" s="665">
        <v>20.658000000000001</v>
      </c>
      <c r="AB171" s="665">
        <v>20.658000000000001</v>
      </c>
      <c r="AC171" s="665">
        <v>20.658000000000001</v>
      </c>
      <c r="AD171" s="665">
        <v>20.658000000000001</v>
      </c>
      <c r="AE171" s="665">
        <v>20.658000000000001</v>
      </c>
      <c r="AG171" s="665">
        <v>0</v>
      </c>
      <c r="AH171" s="665">
        <v>7.1574999999999998</v>
      </c>
      <c r="AI171" s="665">
        <v>158.72</v>
      </c>
      <c r="AJ171" s="665">
        <v>29.718099999999996</v>
      </c>
      <c r="AK171" s="665">
        <v>29.419999999999998</v>
      </c>
      <c r="AL171" s="665">
        <v>47.7</v>
      </c>
      <c r="AM171" s="665">
        <v>40</v>
      </c>
      <c r="AN171" s="665">
        <v>43.203000000000003</v>
      </c>
      <c r="AO171" s="665">
        <v>0</v>
      </c>
      <c r="AP171" s="665">
        <v>0</v>
      </c>
      <c r="AQ171" s="665">
        <v>0</v>
      </c>
      <c r="AR171" s="665">
        <v>0</v>
      </c>
      <c r="CG171" s="667">
        <v>1.034192534</v>
      </c>
      <c r="CH171" s="667">
        <v>0.233739536</v>
      </c>
      <c r="CI171" s="667">
        <v>1.4314775800000001</v>
      </c>
      <c r="CJ171" s="667">
        <v>1.4798799999999999E-4</v>
      </c>
      <c r="CK171" s="667">
        <v>0.40637220000000007</v>
      </c>
      <c r="CL171" s="667">
        <v>0.339077503</v>
      </c>
      <c r="CM171" s="667">
        <v>0.53906499600000002</v>
      </c>
      <c r="CN171" s="667">
        <v>0.58603670999999991</v>
      </c>
      <c r="CO171" s="667">
        <v>0.266216444</v>
      </c>
      <c r="CP171" s="667">
        <v>4.9148749999999998E-2</v>
      </c>
      <c r="CQ171" s="667">
        <v>0</v>
      </c>
      <c r="CR171" s="667">
        <v>0</v>
      </c>
      <c r="CT171" s="667">
        <v>0.25643525514348031</v>
      </c>
      <c r="CU171" s="667">
        <v>0.24419496873507496</v>
      </c>
      <c r="CV171" s="667">
        <v>0.5775231994099963</v>
      </c>
      <c r="CW171" s="667">
        <v>0.54940351563223155</v>
      </c>
      <c r="CX171" s="667">
        <v>0.56638453877834738</v>
      </c>
      <c r="CY171" s="667">
        <v>0.54940351563223155</v>
      </c>
      <c r="CZ171" s="667">
        <v>0.56638453877834738</v>
      </c>
      <c r="DA171" s="667">
        <v>0.24529659451183142</v>
      </c>
      <c r="DB171" s="667">
        <v>0.24529659451183142</v>
      </c>
      <c r="DC171" s="667">
        <v>0.24529659451183142</v>
      </c>
      <c r="DD171" s="667">
        <v>0.24529659451183142</v>
      </c>
      <c r="DE171" s="667">
        <v>0.24529659451183142</v>
      </c>
      <c r="DF171" s="390">
        <f t="shared" si="7"/>
        <v>0.73588978353549428</v>
      </c>
      <c r="DG171" s="667">
        <v>0</v>
      </c>
      <c r="DH171" s="667">
        <v>0.11311467044966637</v>
      </c>
      <c r="DI171" s="667">
        <v>1.4258062883590314</v>
      </c>
      <c r="DJ171" s="667">
        <v>0.32333679715959351</v>
      </c>
      <c r="DK171" s="667">
        <v>0.33672750583910482</v>
      </c>
      <c r="DL171" s="667">
        <v>0.53966419478068761</v>
      </c>
      <c r="DM171" s="667">
        <v>0.45016203835529445</v>
      </c>
      <c r="DN171" s="667">
        <v>0.48159798938804244</v>
      </c>
      <c r="DO171" s="667">
        <v>0</v>
      </c>
      <c r="DP171" s="667">
        <v>0</v>
      </c>
      <c r="DQ171" s="667">
        <v>0</v>
      </c>
      <c r="DR171" s="667">
        <v>0</v>
      </c>
      <c r="FT171" s="667">
        <v>436.30900000000003</v>
      </c>
      <c r="FU171" s="667">
        <v>374.62600000000009</v>
      </c>
      <c r="FV171" s="667">
        <v>355.91860000000003</v>
      </c>
      <c r="FW171" s="667">
        <v>61.682999999999936</v>
      </c>
      <c r="FY171" s="667">
        <v>4.8854742409999998</v>
      </c>
      <c r="FZ171" s="667">
        <v>4.5362125046688657</v>
      </c>
      <c r="GA171" s="667">
        <v>3.6704094843314206</v>
      </c>
      <c r="GH171" s="667">
        <v>0</v>
      </c>
      <c r="GI171" s="667">
        <v>20.658000000000001</v>
      </c>
      <c r="GJ171" s="667">
        <v>0</v>
      </c>
      <c r="GM171" s="667">
        <v>0</v>
      </c>
      <c r="GN171" s="667">
        <v>0.24529659451183142</v>
      </c>
      <c r="GO171" s="667">
        <v>0</v>
      </c>
    </row>
    <row r="172" spans="1:206" ht="12.75" customHeight="1">
      <c r="D172" s="649" t="s">
        <v>313</v>
      </c>
      <c r="Q172" s="207"/>
      <c r="AR172" s="207"/>
      <c r="CG172" s="636"/>
      <c r="CH172" s="636"/>
      <c r="CI172" s="636"/>
      <c r="CJ172" s="636"/>
      <c r="CK172" s="636"/>
      <c r="CL172" s="636"/>
      <c r="CN172" s="636"/>
      <c r="CO172" s="636"/>
      <c r="CP172" s="636"/>
      <c r="CQ172" s="636"/>
      <c r="CR172" s="636"/>
      <c r="CT172" s="636"/>
      <c r="CU172" s="636"/>
      <c r="CV172" s="636"/>
      <c r="CW172" s="636"/>
      <c r="CX172" s="636"/>
      <c r="CY172" s="636"/>
      <c r="CZ172" s="636"/>
      <c r="DA172" s="636"/>
      <c r="DB172" s="636"/>
      <c r="DC172" s="636"/>
      <c r="DD172" s="636"/>
      <c r="DE172" s="636"/>
      <c r="DF172" s="390">
        <f t="shared" si="7"/>
        <v>0</v>
      </c>
      <c r="DG172" s="636"/>
      <c r="DH172" s="636"/>
      <c r="DI172" s="636"/>
      <c r="DJ172" s="636"/>
      <c r="DK172" s="636"/>
      <c r="DL172" s="636"/>
      <c r="DM172" s="636"/>
      <c r="DN172" s="636"/>
      <c r="DO172" s="636"/>
      <c r="DP172" s="636"/>
      <c r="DQ172" s="636"/>
      <c r="DR172" s="636"/>
      <c r="FT172" s="636"/>
      <c r="FU172" s="636"/>
      <c r="FV172" s="636"/>
      <c r="FW172" s="636"/>
      <c r="FY172" s="636"/>
      <c r="FZ172" s="636"/>
      <c r="GA172" s="636"/>
      <c r="GH172" s="636"/>
      <c r="GI172" s="636"/>
      <c r="GJ172" s="636"/>
      <c r="GM172" s="636"/>
      <c r="GN172" s="636"/>
      <c r="GO172" s="636"/>
    </row>
    <row r="173" spans="1:206" ht="12.75" customHeight="1">
      <c r="A173" s="213"/>
      <c r="B173" s="213"/>
      <c r="C173" s="213"/>
      <c r="D173" s="206" t="s">
        <v>350</v>
      </c>
      <c r="G173" s="639"/>
      <c r="H173" s="639"/>
      <c r="I173" s="639"/>
      <c r="J173" s="639"/>
      <c r="K173" s="639"/>
      <c r="L173" s="639"/>
      <c r="M173" s="639"/>
      <c r="N173" s="639"/>
      <c r="O173" s="639"/>
      <c r="P173" s="639"/>
      <c r="Q173" s="639"/>
      <c r="T173" s="639"/>
      <c r="U173" s="639"/>
      <c r="V173" s="639"/>
      <c r="W173" s="639"/>
      <c r="X173" s="639"/>
      <c r="Y173" s="639"/>
      <c r="Z173" s="639"/>
      <c r="AA173" s="639"/>
      <c r="AB173" s="639"/>
      <c r="AC173" s="639"/>
      <c r="AD173" s="639"/>
      <c r="AE173" s="639"/>
      <c r="AG173" s="639"/>
      <c r="AH173" s="639"/>
      <c r="AI173" s="639"/>
      <c r="AJ173" s="639"/>
      <c r="AK173" s="639"/>
      <c r="AL173" s="639"/>
      <c r="AM173" s="639"/>
      <c r="AN173" s="639"/>
      <c r="AO173" s="639"/>
      <c r="AP173" s="639"/>
      <c r="AQ173" s="639"/>
      <c r="AR173" s="639"/>
      <c r="CG173" s="636"/>
      <c r="CH173" s="636"/>
      <c r="CI173" s="636"/>
      <c r="CJ173" s="636"/>
      <c r="CK173" s="636"/>
      <c r="CL173" s="636"/>
      <c r="CN173" s="636"/>
      <c r="CO173" s="636"/>
      <c r="CP173" s="636"/>
      <c r="CQ173" s="636"/>
      <c r="CR173" s="636"/>
      <c r="CT173" s="636"/>
      <c r="CU173" s="636"/>
      <c r="CV173" s="636"/>
      <c r="CW173" s="636"/>
      <c r="CX173" s="636"/>
      <c r="CY173" s="636"/>
      <c r="CZ173" s="636"/>
      <c r="DA173" s="636"/>
      <c r="DB173" s="636"/>
      <c r="DC173" s="636"/>
      <c r="DD173" s="636"/>
      <c r="DE173" s="636"/>
      <c r="DF173" s="390">
        <f t="shared" si="7"/>
        <v>0</v>
      </c>
      <c r="DG173" s="636"/>
      <c r="DH173" s="636"/>
      <c r="DI173" s="636"/>
      <c r="DJ173" s="636"/>
      <c r="DK173" s="636"/>
      <c r="DL173" s="636"/>
      <c r="DM173" s="636"/>
      <c r="DN173" s="636"/>
      <c r="DO173" s="636"/>
      <c r="DP173" s="636"/>
      <c r="DQ173" s="636"/>
      <c r="DR173" s="636"/>
      <c r="FT173" s="636"/>
      <c r="FU173" s="636"/>
      <c r="FV173" s="636"/>
      <c r="FW173" s="636"/>
      <c r="FY173" s="636"/>
      <c r="FZ173" s="636"/>
      <c r="GA173" s="636"/>
      <c r="GH173" s="636"/>
      <c r="GI173" s="636"/>
      <c r="GJ173" s="636"/>
      <c r="GM173" s="636"/>
      <c r="GN173" s="636"/>
      <c r="GO173" s="636"/>
      <c r="GV173" s="213"/>
    </row>
    <row r="174" spans="1:206" ht="12.75" customHeight="1">
      <c r="A174" s="213"/>
      <c r="B174" s="213"/>
      <c r="C174" s="213"/>
      <c r="D174" s="206" t="s">
        <v>354</v>
      </c>
      <c r="Q174" s="207"/>
      <c r="AR174" s="207"/>
      <c r="CG174" s="636"/>
      <c r="CH174" s="636"/>
      <c r="CI174" s="636"/>
      <c r="CJ174" s="636"/>
      <c r="CK174" s="636"/>
      <c r="CL174" s="636"/>
      <c r="CN174" s="636"/>
      <c r="CO174" s="636"/>
      <c r="CP174" s="636"/>
      <c r="CQ174" s="636"/>
      <c r="CR174" s="636"/>
      <c r="CT174" s="636"/>
      <c r="CU174" s="636"/>
      <c r="CV174" s="636"/>
      <c r="CW174" s="636"/>
      <c r="CX174" s="636"/>
      <c r="CY174" s="636"/>
      <c r="CZ174" s="636"/>
      <c r="DA174" s="636"/>
      <c r="DB174" s="636"/>
      <c r="DC174" s="636"/>
      <c r="DD174" s="636"/>
      <c r="DE174" s="636"/>
      <c r="DF174" s="390">
        <f t="shared" si="7"/>
        <v>0</v>
      </c>
      <c r="DG174" s="636"/>
      <c r="DH174" s="636"/>
      <c r="DI174" s="636"/>
      <c r="DJ174" s="636"/>
      <c r="DK174" s="636"/>
      <c r="DL174" s="636"/>
      <c r="DM174" s="636"/>
      <c r="DN174" s="636"/>
      <c r="DO174" s="636"/>
      <c r="DP174" s="636"/>
      <c r="DQ174" s="636"/>
      <c r="DR174" s="636"/>
      <c r="FT174" s="636"/>
      <c r="FU174" s="636"/>
      <c r="FV174" s="636"/>
      <c r="FW174" s="636"/>
      <c r="FY174" s="636"/>
      <c r="FZ174" s="636"/>
      <c r="GA174" s="636"/>
      <c r="GH174" s="636"/>
      <c r="GI174" s="636"/>
      <c r="GJ174" s="636"/>
      <c r="GM174" s="636"/>
      <c r="GN174" s="636"/>
      <c r="GO174" s="636"/>
      <c r="GV174" s="213"/>
    </row>
    <row r="175" spans="1:206" ht="12.75" customHeight="1">
      <c r="A175" s="213"/>
      <c r="B175" s="213"/>
      <c r="C175" s="213"/>
      <c r="D175" s="206" t="s">
        <v>21</v>
      </c>
      <c r="G175" s="665">
        <v>0</v>
      </c>
      <c r="H175" s="665">
        <v>0</v>
      </c>
      <c r="I175" s="665">
        <v>0</v>
      </c>
      <c r="J175" s="665">
        <v>0</v>
      </c>
      <c r="K175" s="665">
        <v>0</v>
      </c>
      <c r="L175" s="665">
        <v>0</v>
      </c>
      <c r="M175" s="665">
        <v>0</v>
      </c>
      <c r="N175" s="665">
        <v>0</v>
      </c>
      <c r="O175" s="665">
        <v>0</v>
      </c>
      <c r="P175" s="665">
        <v>0</v>
      </c>
      <c r="Q175" s="665">
        <v>0</v>
      </c>
      <c r="R175" s="207">
        <v>0</v>
      </c>
      <c r="T175" s="665">
        <v>0</v>
      </c>
      <c r="U175" s="665">
        <v>0</v>
      </c>
      <c r="V175" s="665">
        <v>0</v>
      </c>
      <c r="W175" s="665">
        <v>0</v>
      </c>
      <c r="X175" s="665">
        <v>0</v>
      </c>
      <c r="Y175" s="665">
        <v>0</v>
      </c>
      <c r="Z175" s="665">
        <v>0</v>
      </c>
      <c r="AA175" s="665">
        <v>0</v>
      </c>
      <c r="AB175" s="665">
        <v>0</v>
      </c>
      <c r="AC175" s="665">
        <v>0</v>
      </c>
      <c r="AD175" s="665">
        <v>0</v>
      </c>
      <c r="AE175" s="665">
        <v>0</v>
      </c>
      <c r="AG175" s="665">
        <v>0</v>
      </c>
      <c r="AH175" s="665">
        <v>0</v>
      </c>
      <c r="AI175" s="665">
        <v>0</v>
      </c>
      <c r="AJ175" s="665">
        <v>0</v>
      </c>
      <c r="AK175" s="665">
        <v>0</v>
      </c>
      <c r="AL175" s="665">
        <v>0</v>
      </c>
      <c r="AM175" s="665">
        <v>0</v>
      </c>
      <c r="AN175" s="665">
        <v>0</v>
      </c>
      <c r="AO175" s="665">
        <v>0</v>
      </c>
      <c r="AP175" s="665">
        <v>0</v>
      </c>
      <c r="AQ175" s="665">
        <v>0</v>
      </c>
      <c r="AR175" s="665">
        <v>0</v>
      </c>
      <c r="CG175" s="667">
        <v>0</v>
      </c>
      <c r="CH175" s="667">
        <v>0</v>
      </c>
      <c r="CI175" s="667">
        <v>0</v>
      </c>
      <c r="CJ175" s="667">
        <v>0</v>
      </c>
      <c r="CK175" s="667">
        <v>0</v>
      </c>
      <c r="CL175" s="667">
        <v>0</v>
      </c>
      <c r="CM175" s="667">
        <v>0</v>
      </c>
      <c r="CN175" s="667">
        <v>0</v>
      </c>
      <c r="CO175" s="667">
        <v>0</v>
      </c>
      <c r="CP175" s="667">
        <v>0</v>
      </c>
      <c r="CQ175" s="667">
        <v>0</v>
      </c>
      <c r="CR175" s="667">
        <v>0</v>
      </c>
      <c r="CT175" s="667">
        <v>0</v>
      </c>
      <c r="CU175" s="667">
        <v>0</v>
      </c>
      <c r="CV175" s="667">
        <v>0</v>
      </c>
      <c r="CW175" s="667">
        <v>0</v>
      </c>
      <c r="CX175" s="667">
        <v>0</v>
      </c>
      <c r="CY175" s="667">
        <v>0</v>
      </c>
      <c r="CZ175" s="667">
        <v>0</v>
      </c>
      <c r="DA175" s="667">
        <v>0</v>
      </c>
      <c r="DB175" s="667">
        <v>0</v>
      </c>
      <c r="DC175" s="667">
        <v>0</v>
      </c>
      <c r="DD175" s="667">
        <v>0</v>
      </c>
      <c r="DE175" s="667">
        <v>0</v>
      </c>
      <c r="DF175" s="390">
        <f t="shared" si="7"/>
        <v>0</v>
      </c>
      <c r="DG175" s="667">
        <v>0</v>
      </c>
      <c r="DH175" s="667">
        <v>0</v>
      </c>
      <c r="DI175" s="667">
        <v>0</v>
      </c>
      <c r="DJ175" s="667">
        <v>0</v>
      </c>
      <c r="DK175" s="667">
        <v>0</v>
      </c>
      <c r="DL175" s="667">
        <v>0</v>
      </c>
      <c r="DM175" s="667">
        <v>0</v>
      </c>
      <c r="DN175" s="667">
        <v>0</v>
      </c>
      <c r="DO175" s="667">
        <v>0</v>
      </c>
      <c r="DP175" s="667">
        <v>0</v>
      </c>
      <c r="DQ175" s="667">
        <v>0</v>
      </c>
      <c r="DR175" s="667">
        <v>0</v>
      </c>
      <c r="FT175" s="667">
        <v>0</v>
      </c>
      <c r="FU175" s="667">
        <v>0</v>
      </c>
      <c r="FV175" s="667">
        <v>0</v>
      </c>
      <c r="FW175" s="667">
        <v>0</v>
      </c>
      <c r="FY175" s="667">
        <v>0</v>
      </c>
      <c r="FZ175" s="667">
        <v>0</v>
      </c>
      <c r="GA175" s="667">
        <v>0</v>
      </c>
      <c r="GH175" s="667">
        <v>0</v>
      </c>
      <c r="GI175" s="667">
        <v>0</v>
      </c>
      <c r="GJ175" s="667">
        <v>0</v>
      </c>
      <c r="GM175" s="667">
        <v>0</v>
      </c>
      <c r="GN175" s="667">
        <v>0</v>
      </c>
      <c r="GO175" s="667">
        <v>0</v>
      </c>
      <c r="GV175" s="213"/>
    </row>
    <row r="176" spans="1:206" ht="12.75" customHeight="1">
      <c r="A176" s="213"/>
      <c r="B176" s="213"/>
      <c r="C176" s="213"/>
      <c r="D176" s="649" t="s">
        <v>49</v>
      </c>
      <c r="G176" s="665"/>
      <c r="H176" s="665"/>
      <c r="I176" s="665"/>
      <c r="J176" s="665"/>
      <c r="K176" s="665"/>
      <c r="L176" s="665"/>
      <c r="M176" s="665"/>
      <c r="N176" s="665"/>
      <c r="O176" s="665"/>
      <c r="P176" s="665"/>
      <c r="Q176" s="665"/>
      <c r="T176" s="665"/>
      <c r="U176" s="665"/>
      <c r="V176" s="665"/>
      <c r="W176" s="665"/>
      <c r="X176" s="665"/>
      <c r="Y176" s="665"/>
      <c r="Z176" s="665"/>
      <c r="AA176" s="665"/>
      <c r="AB176" s="665"/>
      <c r="AC176" s="665"/>
      <c r="AD176" s="665"/>
      <c r="AE176" s="665"/>
      <c r="AG176" s="665"/>
      <c r="AH176" s="665"/>
      <c r="AI176" s="665"/>
      <c r="AJ176" s="665"/>
      <c r="AK176" s="665"/>
      <c r="AL176" s="665"/>
      <c r="AM176" s="665"/>
      <c r="AN176" s="665"/>
      <c r="AO176" s="665"/>
      <c r="AP176" s="665"/>
      <c r="AQ176" s="665"/>
      <c r="AR176" s="665"/>
      <c r="CG176" s="667"/>
      <c r="CH176" s="667"/>
      <c r="CI176" s="667"/>
      <c r="CJ176" s="667"/>
      <c r="CK176" s="667"/>
      <c r="CL176" s="667"/>
      <c r="CM176" s="667"/>
      <c r="CN176" s="667"/>
      <c r="CO176" s="667"/>
      <c r="CP176" s="667"/>
      <c r="CQ176" s="667"/>
      <c r="CR176" s="667"/>
      <c r="CT176" s="667"/>
      <c r="CU176" s="667"/>
      <c r="CV176" s="667"/>
      <c r="CW176" s="667"/>
      <c r="CX176" s="667"/>
      <c r="CY176" s="667"/>
      <c r="CZ176" s="667"/>
      <c r="DA176" s="667"/>
      <c r="DB176" s="667"/>
      <c r="DC176" s="667"/>
      <c r="DD176" s="667"/>
      <c r="DE176" s="667"/>
      <c r="DF176" s="390">
        <f t="shared" si="7"/>
        <v>0</v>
      </c>
      <c r="DG176" s="667"/>
      <c r="DH176" s="667"/>
      <c r="DI176" s="667"/>
      <c r="DJ176" s="667"/>
      <c r="DK176" s="667"/>
      <c r="DL176" s="667"/>
      <c r="DM176" s="667"/>
      <c r="DN176" s="667"/>
      <c r="DO176" s="667"/>
      <c r="DP176" s="667"/>
      <c r="DQ176" s="667"/>
      <c r="DR176" s="667"/>
      <c r="FT176" s="667"/>
      <c r="FU176" s="667"/>
      <c r="FV176" s="667"/>
      <c r="FW176" s="667"/>
      <c r="FY176" s="667"/>
      <c r="FZ176" s="667"/>
      <c r="GA176" s="667"/>
      <c r="GH176" s="667"/>
      <c r="GI176" s="667"/>
      <c r="GJ176" s="667"/>
      <c r="GM176" s="667"/>
      <c r="GN176" s="667"/>
      <c r="GO176" s="667"/>
      <c r="GV176" s="213"/>
    </row>
    <row r="177" spans="1:204" ht="12.75" customHeight="1">
      <c r="A177" s="213"/>
      <c r="B177" s="213"/>
      <c r="C177" s="213"/>
      <c r="D177" s="206" t="s">
        <v>350</v>
      </c>
      <c r="G177" s="665">
        <v>196.61500000000004</v>
      </c>
      <c r="H177" s="665">
        <v>400.10100000000006</v>
      </c>
      <c r="I177" s="665">
        <v>175.09399999999997</v>
      </c>
      <c r="J177" s="665">
        <v>130.166</v>
      </c>
      <c r="K177" s="665">
        <v>13.079000000000001</v>
      </c>
      <c r="L177" s="665">
        <v>0</v>
      </c>
      <c r="M177" s="665">
        <v>0</v>
      </c>
      <c r="N177" s="665">
        <v>0</v>
      </c>
      <c r="O177" s="665">
        <v>16.276</v>
      </c>
      <c r="P177" s="665">
        <v>97.453999999999994</v>
      </c>
      <c r="Q177" s="665">
        <v>0</v>
      </c>
      <c r="R177" s="207">
        <v>66.77300000000001</v>
      </c>
      <c r="T177" s="665">
        <v>317.55592831692405</v>
      </c>
      <c r="U177" s="665">
        <v>251.23956607139701</v>
      </c>
      <c r="V177" s="665">
        <v>86.764597988827902</v>
      </c>
      <c r="W177" s="665">
        <v>322.38619423305903</v>
      </c>
      <c r="X177" s="665">
        <v>172.62439036249089</v>
      </c>
      <c r="Y177" s="665">
        <v>156.61741271053785</v>
      </c>
      <c r="Z177" s="665">
        <v>90.46125596998256</v>
      </c>
      <c r="AA177" s="665">
        <v>193.90281220322731</v>
      </c>
      <c r="AB177" s="665">
        <v>126.31041512797741</v>
      </c>
      <c r="AC177" s="665">
        <v>264.65937824142731</v>
      </c>
      <c r="AD177" s="665">
        <v>173.88204877414853</v>
      </c>
      <c r="AE177" s="665">
        <v>120</v>
      </c>
      <c r="AG177" s="665">
        <v>0</v>
      </c>
      <c r="AH177" s="665">
        <v>409.12810000000002</v>
      </c>
      <c r="AI177" s="665">
        <v>171</v>
      </c>
      <c r="AJ177" s="665">
        <v>133.4023</v>
      </c>
      <c r="AK177" s="665">
        <v>12.0763</v>
      </c>
      <c r="AL177" s="665">
        <v>0</v>
      </c>
      <c r="AM177" s="665">
        <v>0</v>
      </c>
      <c r="AN177" s="665">
        <v>0</v>
      </c>
      <c r="AO177" s="665">
        <v>0</v>
      </c>
      <c r="AP177" s="665">
        <v>109</v>
      </c>
      <c r="AQ177" s="665">
        <v>76.900000000000006</v>
      </c>
      <c r="AR177" s="665">
        <v>80.722999999999999</v>
      </c>
      <c r="CG177" s="667">
        <v>2.7917156269999999</v>
      </c>
      <c r="CH177" s="667">
        <v>5.1515558160000001</v>
      </c>
      <c r="CI177" s="667">
        <v>1.9802487209999999</v>
      </c>
      <c r="CJ177" s="667">
        <v>1.5522877530000001</v>
      </c>
      <c r="CK177" s="667">
        <v>0.15618870600000001</v>
      </c>
      <c r="CL177" s="667">
        <v>0</v>
      </c>
      <c r="CM177" s="667">
        <v>0</v>
      </c>
      <c r="CN177" s="667">
        <v>0</v>
      </c>
      <c r="CO177" s="667">
        <v>0.16859110399999999</v>
      </c>
      <c r="CP177" s="667">
        <v>1.51528942</v>
      </c>
      <c r="CQ177" s="667">
        <v>0</v>
      </c>
      <c r="CR177" s="667">
        <v>0.18055033100000001</v>
      </c>
      <c r="CT177" s="667">
        <v>3.8738208704302219</v>
      </c>
      <c r="CU177" s="667">
        <v>3.2970231309008065</v>
      </c>
      <c r="CV177" s="667">
        <v>0.87311668542914567</v>
      </c>
      <c r="CW177" s="667">
        <v>3.1423216412398522</v>
      </c>
      <c r="CX177" s="667">
        <v>1.7289973991185519</v>
      </c>
      <c r="CY177" s="667">
        <v>1.5471615436121979</v>
      </c>
      <c r="CZ177" s="667">
        <v>0.89822135831909322</v>
      </c>
      <c r="DA177" s="667">
        <v>1.8807188584778287</v>
      </c>
      <c r="DB177" s="667">
        <v>1.2817883045327525</v>
      </c>
      <c r="DC177" s="667">
        <v>3.6236955666044013</v>
      </c>
      <c r="DD177" s="667">
        <v>3.1240140483889371</v>
      </c>
      <c r="DE177" s="667">
        <v>2.1944824464659884</v>
      </c>
      <c r="DF177" s="390">
        <f t="shared" si="7"/>
        <v>8.9421920614593269</v>
      </c>
      <c r="DG177" s="667">
        <v>0</v>
      </c>
      <c r="DH177" s="667">
        <v>5.1287528436142642</v>
      </c>
      <c r="DI177" s="667">
        <v>1.9144221762075808</v>
      </c>
      <c r="DJ177" s="667">
        <v>1.5449173585561626</v>
      </c>
      <c r="DK177" s="667">
        <v>0.14703975244869213</v>
      </c>
      <c r="DL177" s="667">
        <v>0</v>
      </c>
      <c r="DM177" s="667">
        <v>0</v>
      </c>
      <c r="DN177" s="667">
        <v>0</v>
      </c>
      <c r="DO177" s="667">
        <v>0</v>
      </c>
      <c r="DP177" s="667">
        <v>1.7538040596628452</v>
      </c>
      <c r="DQ177" s="667">
        <v>0.204482</v>
      </c>
      <c r="DR177" s="667">
        <v>0.21445545590000001</v>
      </c>
      <c r="FT177" s="667">
        <v>1095.558</v>
      </c>
      <c r="FU177" s="667">
        <v>2276.404</v>
      </c>
      <c r="FV177" s="667">
        <v>992.22969999999998</v>
      </c>
      <c r="FW177" s="667">
        <v>-1180.8459999999998</v>
      </c>
      <c r="FY177" s="667">
        <v>13.496427477999999</v>
      </c>
      <c r="FZ177" s="667">
        <v>27.465361853519781</v>
      </c>
      <c r="GA177" s="667">
        <v>10.907873646389545</v>
      </c>
      <c r="GH177" s="667">
        <v>66.77300000000001</v>
      </c>
      <c r="GI177" s="667">
        <v>120</v>
      </c>
      <c r="GJ177" s="667">
        <v>80.722999999999999</v>
      </c>
      <c r="GM177" s="667">
        <v>0.18055033100000001</v>
      </c>
      <c r="GN177" s="667">
        <v>2.1944824464659884</v>
      </c>
      <c r="GO177" s="667">
        <v>0.21445545590000001</v>
      </c>
      <c r="GV177" s="213"/>
    </row>
    <row r="178" spans="1:204" ht="12.75" customHeight="1">
      <c r="A178" s="213"/>
      <c r="B178" s="213"/>
      <c r="C178" s="213"/>
      <c r="D178" s="206" t="s">
        <v>354</v>
      </c>
      <c r="G178" s="665"/>
      <c r="H178" s="665"/>
      <c r="I178" s="665"/>
      <c r="J178" s="665"/>
      <c r="K178" s="665"/>
      <c r="L178" s="665"/>
      <c r="M178" s="665"/>
      <c r="N178" s="665"/>
      <c r="O178" s="665"/>
      <c r="P178" s="665"/>
      <c r="Q178" s="665"/>
      <c r="T178" s="665"/>
      <c r="U178" s="665"/>
      <c r="V178" s="665"/>
      <c r="W178" s="665"/>
      <c r="X178" s="665"/>
      <c r="Y178" s="665"/>
      <c r="Z178" s="665"/>
      <c r="AA178" s="665"/>
      <c r="AB178" s="665"/>
      <c r="AC178" s="665"/>
      <c r="AD178" s="665"/>
      <c r="AE178" s="665"/>
      <c r="AG178" s="665"/>
      <c r="AH178" s="665"/>
      <c r="AI178" s="665"/>
      <c r="AJ178" s="665"/>
      <c r="AK178" s="665"/>
      <c r="AL178" s="665"/>
      <c r="AM178" s="665"/>
      <c r="AN178" s="665"/>
      <c r="AO178" s="665"/>
      <c r="AP178" s="665"/>
      <c r="AQ178" s="665"/>
      <c r="AR178" s="665"/>
      <c r="CG178" s="667"/>
      <c r="CH178" s="667"/>
      <c r="CI178" s="667"/>
      <c r="CJ178" s="667"/>
      <c r="CK178" s="667"/>
      <c r="CL178" s="667"/>
      <c r="CM178" s="667"/>
      <c r="CN178" s="667"/>
      <c r="CO178" s="667"/>
      <c r="CP178" s="667"/>
      <c r="CQ178" s="667"/>
      <c r="CR178" s="667"/>
      <c r="CT178" s="667"/>
      <c r="CU178" s="667"/>
      <c r="CV178" s="667"/>
      <c r="CW178" s="667"/>
      <c r="CX178" s="667"/>
      <c r="CY178" s="667"/>
      <c r="CZ178" s="667"/>
      <c r="DA178" s="667"/>
      <c r="DB178" s="667"/>
      <c r="DC178" s="667"/>
      <c r="DD178" s="667"/>
      <c r="DE178" s="667"/>
      <c r="DF178" s="390">
        <f t="shared" si="7"/>
        <v>0</v>
      </c>
      <c r="DG178" s="667"/>
      <c r="DH178" s="667"/>
      <c r="DI178" s="667"/>
      <c r="DJ178" s="667"/>
      <c r="DK178" s="667"/>
      <c r="DL178" s="667"/>
      <c r="DM178" s="667"/>
      <c r="DN178" s="667"/>
      <c r="DO178" s="667"/>
      <c r="DP178" s="667"/>
      <c r="DQ178" s="667"/>
      <c r="DR178" s="667"/>
      <c r="FT178" s="667"/>
      <c r="FU178" s="667"/>
      <c r="FV178" s="667"/>
      <c r="FW178" s="667"/>
      <c r="FY178" s="667"/>
      <c r="FZ178" s="667"/>
      <c r="GA178" s="667"/>
      <c r="GH178" s="667"/>
      <c r="GI178" s="667"/>
      <c r="GJ178" s="667"/>
      <c r="GM178" s="667"/>
      <c r="GN178" s="667"/>
      <c r="GO178" s="667"/>
      <c r="GV178" s="213"/>
    </row>
    <row r="179" spans="1:204" ht="12.75" customHeight="1">
      <c r="A179" s="213"/>
      <c r="B179" s="213"/>
      <c r="C179" s="213"/>
      <c r="D179" s="206" t="s">
        <v>21</v>
      </c>
      <c r="G179" s="665">
        <v>196.61500000000004</v>
      </c>
      <c r="H179" s="665">
        <v>400.10100000000006</v>
      </c>
      <c r="I179" s="665">
        <v>175.09399999999997</v>
      </c>
      <c r="J179" s="665">
        <v>130.166</v>
      </c>
      <c r="K179" s="665">
        <v>13.079000000000001</v>
      </c>
      <c r="L179" s="665">
        <v>0</v>
      </c>
      <c r="M179" s="665">
        <v>0</v>
      </c>
      <c r="N179" s="665">
        <v>0</v>
      </c>
      <c r="O179" s="665">
        <v>16.276</v>
      </c>
      <c r="P179" s="665">
        <v>97.453999999999994</v>
      </c>
      <c r="Q179" s="665">
        <v>0</v>
      </c>
      <c r="R179" s="207">
        <v>66.77300000000001</v>
      </c>
      <c r="T179" s="665">
        <v>317.55592831692405</v>
      </c>
      <c r="U179" s="665">
        <v>251.23956607139701</v>
      </c>
      <c r="V179" s="665">
        <v>86.764597988827902</v>
      </c>
      <c r="W179" s="665">
        <v>322.38619423305903</v>
      </c>
      <c r="X179" s="665">
        <v>172.62439036249089</v>
      </c>
      <c r="Y179" s="665">
        <v>156.61741271053785</v>
      </c>
      <c r="Z179" s="665">
        <v>90.46125596998256</v>
      </c>
      <c r="AA179" s="665">
        <v>193.90281220322731</v>
      </c>
      <c r="AB179" s="665">
        <v>126.31041512797741</v>
      </c>
      <c r="AC179" s="665">
        <v>264.65937824142731</v>
      </c>
      <c r="AD179" s="665">
        <v>173.88204877414853</v>
      </c>
      <c r="AE179" s="665">
        <v>120</v>
      </c>
      <c r="AG179" s="665">
        <v>0</v>
      </c>
      <c r="AH179" s="665">
        <v>409.12810000000002</v>
      </c>
      <c r="AI179" s="665">
        <v>171</v>
      </c>
      <c r="AJ179" s="665">
        <v>133.4023</v>
      </c>
      <c r="AK179" s="665">
        <v>12.0763</v>
      </c>
      <c r="AL179" s="665">
        <v>0</v>
      </c>
      <c r="AM179" s="665">
        <v>0</v>
      </c>
      <c r="AN179" s="665">
        <v>0</v>
      </c>
      <c r="AO179" s="665">
        <v>0</v>
      </c>
      <c r="AP179" s="665">
        <v>109</v>
      </c>
      <c r="AQ179" s="665">
        <v>76.900000000000006</v>
      </c>
      <c r="AR179" s="665">
        <v>80.722999999999999</v>
      </c>
      <c r="CG179" s="667">
        <v>2.7917156269999999</v>
      </c>
      <c r="CH179" s="667">
        <v>5.1515558160000001</v>
      </c>
      <c r="CI179" s="667">
        <v>1.9802487209999999</v>
      </c>
      <c r="CJ179" s="667">
        <v>1.5522877530000001</v>
      </c>
      <c r="CK179" s="667">
        <v>0.15618870600000001</v>
      </c>
      <c r="CL179" s="667">
        <v>0</v>
      </c>
      <c r="CM179" s="667">
        <v>0</v>
      </c>
      <c r="CN179" s="667">
        <v>0</v>
      </c>
      <c r="CO179" s="667">
        <v>0.16859110399999999</v>
      </c>
      <c r="CP179" s="667">
        <v>1.51528942</v>
      </c>
      <c r="CQ179" s="667">
        <v>0</v>
      </c>
      <c r="CR179" s="667">
        <v>0.18055033100000001</v>
      </c>
      <c r="CT179" s="667">
        <v>3.8738208704302219</v>
      </c>
      <c r="CU179" s="667">
        <v>3.2970231309008065</v>
      </c>
      <c r="CV179" s="667">
        <v>0.87311668542914567</v>
      </c>
      <c r="CW179" s="667">
        <v>3.1423216412398522</v>
      </c>
      <c r="CX179" s="667">
        <v>1.7289973991185519</v>
      </c>
      <c r="CY179" s="667">
        <v>1.5471615436121979</v>
      </c>
      <c r="CZ179" s="667">
        <v>0.89822135831909322</v>
      </c>
      <c r="DA179" s="667">
        <v>1.8807188584778287</v>
      </c>
      <c r="DB179" s="667">
        <v>1.2817883045327525</v>
      </c>
      <c r="DC179" s="667">
        <v>3.6236955666044013</v>
      </c>
      <c r="DD179" s="667">
        <v>3.1240140483889371</v>
      </c>
      <c r="DE179" s="667">
        <v>2.1944824464659884</v>
      </c>
      <c r="DF179" s="390">
        <f t="shared" si="7"/>
        <v>8.9421920614593269</v>
      </c>
      <c r="DG179" s="667">
        <v>0</v>
      </c>
      <c r="DH179" s="667">
        <v>5.1287528436142642</v>
      </c>
      <c r="DI179" s="667">
        <v>1.9144221762075808</v>
      </c>
      <c r="DJ179" s="667">
        <v>1.5449173585561626</v>
      </c>
      <c r="DK179" s="667">
        <v>0.14703975244869213</v>
      </c>
      <c r="DL179" s="667">
        <v>0</v>
      </c>
      <c r="DM179" s="667">
        <v>0</v>
      </c>
      <c r="DN179" s="667">
        <v>0</v>
      </c>
      <c r="DO179" s="667">
        <v>0</v>
      </c>
      <c r="DP179" s="667">
        <v>1.7538040596628452</v>
      </c>
      <c r="DQ179" s="667">
        <v>0.204482</v>
      </c>
      <c r="DR179" s="667">
        <v>0.21445545590000001</v>
      </c>
      <c r="FT179" s="667">
        <v>1095.558</v>
      </c>
      <c r="FU179" s="667">
        <v>2276.404</v>
      </c>
      <c r="FV179" s="667">
        <v>992.22969999999998</v>
      </c>
      <c r="FW179" s="667">
        <v>-1180.8459999999998</v>
      </c>
      <c r="FY179" s="667">
        <v>13.496427477999999</v>
      </c>
      <c r="FZ179" s="667">
        <v>27.465361853519781</v>
      </c>
      <c r="GA179" s="667">
        <v>10.907873646389545</v>
      </c>
      <c r="GH179" s="667">
        <v>66.77300000000001</v>
      </c>
      <c r="GI179" s="667">
        <v>120</v>
      </c>
      <c r="GJ179" s="667">
        <v>80.722999999999999</v>
      </c>
      <c r="GM179" s="667">
        <v>0.18055033100000001</v>
      </c>
      <c r="GN179" s="667">
        <v>2.1944824464659884</v>
      </c>
      <c r="GO179" s="667">
        <v>0.21445545590000001</v>
      </c>
      <c r="GV179" s="213"/>
    </row>
    <row r="180" spans="1:204" s="381" customFormat="1" ht="12.75" customHeight="1">
      <c r="D180" s="649" t="s">
        <v>298</v>
      </c>
      <c r="E180" s="649"/>
      <c r="F180" s="352"/>
      <c r="G180" s="665"/>
      <c r="H180" s="665"/>
      <c r="I180" s="665"/>
      <c r="J180" s="665"/>
      <c r="K180" s="665"/>
      <c r="L180" s="665"/>
      <c r="M180" s="665"/>
      <c r="N180" s="665"/>
      <c r="O180" s="665"/>
      <c r="P180" s="665"/>
      <c r="Q180" s="665"/>
      <c r="R180" s="352"/>
      <c r="S180" s="360"/>
      <c r="T180" s="665"/>
      <c r="U180" s="665"/>
      <c r="V180" s="665"/>
      <c r="W180" s="665"/>
      <c r="X180" s="665"/>
      <c r="Y180" s="665"/>
      <c r="Z180" s="665"/>
      <c r="AA180" s="665"/>
      <c r="AB180" s="665"/>
      <c r="AC180" s="665"/>
      <c r="AD180" s="665"/>
      <c r="AE180" s="665"/>
      <c r="AF180" s="360"/>
      <c r="AG180" s="665"/>
      <c r="AH180" s="665"/>
      <c r="AI180" s="665"/>
      <c r="AJ180" s="665"/>
      <c r="AK180" s="665"/>
      <c r="AL180" s="665"/>
      <c r="AM180" s="665"/>
      <c r="AN180" s="665"/>
      <c r="AO180" s="665"/>
      <c r="AP180" s="665"/>
      <c r="AQ180" s="665"/>
      <c r="AR180" s="665"/>
      <c r="AS180" s="600"/>
      <c r="AT180" s="666"/>
      <c r="AU180" s="352"/>
      <c r="AV180" s="352"/>
      <c r="AW180" s="352"/>
      <c r="AX180" s="352"/>
      <c r="AY180" s="352"/>
      <c r="AZ180" s="352"/>
      <c r="BA180" s="352"/>
      <c r="BB180" s="352"/>
      <c r="BC180" s="352"/>
      <c r="BD180" s="352"/>
      <c r="BE180" s="352"/>
      <c r="BF180" s="360"/>
      <c r="BG180" s="666"/>
      <c r="BH180" s="352"/>
      <c r="BI180" s="352"/>
      <c r="BJ180" s="352"/>
      <c r="BK180" s="352"/>
      <c r="BL180" s="352"/>
      <c r="BM180" s="352"/>
      <c r="BN180" s="352"/>
      <c r="BO180" s="352"/>
      <c r="BP180" s="352"/>
      <c r="BQ180" s="352"/>
      <c r="BR180" s="352"/>
      <c r="BS180" s="360"/>
      <c r="BT180" s="352"/>
      <c r="BU180" s="352"/>
      <c r="BV180" s="352"/>
      <c r="BW180" s="352"/>
      <c r="BX180" s="352"/>
      <c r="BY180" s="352"/>
      <c r="BZ180" s="352"/>
      <c r="CA180" s="352"/>
      <c r="CB180" s="352"/>
      <c r="CC180" s="352"/>
      <c r="CD180" s="352"/>
      <c r="CE180" s="352"/>
      <c r="CF180" s="360"/>
      <c r="CG180" s="667"/>
      <c r="CH180" s="667"/>
      <c r="CI180" s="667"/>
      <c r="CJ180" s="667"/>
      <c r="CK180" s="667"/>
      <c r="CL180" s="667"/>
      <c r="CM180" s="667"/>
      <c r="CN180" s="667"/>
      <c r="CO180" s="667"/>
      <c r="CP180" s="667"/>
      <c r="CQ180" s="667"/>
      <c r="CR180" s="667"/>
      <c r="CS180" s="360"/>
      <c r="CT180" s="667"/>
      <c r="CU180" s="667"/>
      <c r="CV180" s="667"/>
      <c r="CW180" s="667"/>
      <c r="CX180" s="667"/>
      <c r="CY180" s="667"/>
      <c r="CZ180" s="667"/>
      <c r="DA180" s="667"/>
      <c r="DB180" s="667"/>
      <c r="DC180" s="667"/>
      <c r="DD180" s="667"/>
      <c r="DE180" s="667"/>
      <c r="DF180" s="390">
        <f t="shared" si="7"/>
        <v>0</v>
      </c>
      <c r="DG180" s="667"/>
      <c r="DH180" s="667"/>
      <c r="DI180" s="667"/>
      <c r="DJ180" s="667"/>
      <c r="DK180" s="667"/>
      <c r="DL180" s="667"/>
      <c r="DM180" s="667"/>
      <c r="DN180" s="667"/>
      <c r="DO180" s="667"/>
      <c r="DP180" s="667"/>
      <c r="DQ180" s="667"/>
      <c r="DR180" s="667"/>
      <c r="DS180" s="360"/>
      <c r="DT180" s="352"/>
      <c r="DU180" s="352"/>
      <c r="DV180" s="352"/>
      <c r="DW180" s="352"/>
      <c r="DX180" s="352"/>
      <c r="DY180" s="352"/>
      <c r="DZ180" s="352"/>
      <c r="EA180" s="352"/>
      <c r="EB180" s="352"/>
      <c r="EC180" s="352"/>
      <c r="ED180" s="352"/>
      <c r="EE180" s="352"/>
      <c r="EF180" s="360"/>
      <c r="EG180" s="352"/>
      <c r="EH180" s="352"/>
      <c r="EI180" s="352"/>
      <c r="EJ180" s="352"/>
      <c r="EK180" s="352"/>
      <c r="EL180" s="352"/>
      <c r="EM180" s="352"/>
      <c r="EN180" s="352"/>
      <c r="EO180" s="352"/>
      <c r="EP180" s="352"/>
      <c r="EQ180" s="352"/>
      <c r="ER180" s="352"/>
      <c r="ES180" s="361"/>
      <c r="ET180" s="352"/>
      <c r="EU180" s="352"/>
      <c r="EV180" s="352"/>
      <c r="EW180" s="352"/>
      <c r="EX180" s="352"/>
      <c r="EY180" s="352"/>
      <c r="EZ180" s="352"/>
      <c r="FA180" s="352"/>
      <c r="FB180" s="352"/>
      <c r="FC180" s="352"/>
      <c r="FD180" s="352"/>
      <c r="FE180" s="352"/>
      <c r="FF180" s="360"/>
      <c r="FG180" s="352"/>
      <c r="FH180" s="352"/>
      <c r="FI180" s="352"/>
      <c r="FJ180" s="352"/>
      <c r="FK180" s="352"/>
      <c r="FL180" s="352"/>
      <c r="FM180" s="352"/>
      <c r="FN180" s="352"/>
      <c r="FO180" s="352"/>
      <c r="FP180" s="352"/>
      <c r="FQ180" s="352"/>
      <c r="FR180" s="352"/>
      <c r="FS180" s="361"/>
      <c r="FT180" s="667"/>
      <c r="FU180" s="667"/>
      <c r="FV180" s="667"/>
      <c r="FW180" s="667"/>
      <c r="FY180" s="667"/>
      <c r="FZ180" s="667"/>
      <c r="GA180" s="667"/>
      <c r="GG180" s="376"/>
      <c r="GH180" s="667"/>
      <c r="GI180" s="667"/>
      <c r="GJ180" s="667"/>
      <c r="GK180" s="352"/>
      <c r="GM180" s="667"/>
      <c r="GN180" s="667"/>
      <c r="GO180" s="667"/>
    </row>
    <row r="181" spans="1:204" ht="12.75" customHeight="1">
      <c r="A181" s="213"/>
      <c r="B181" s="213"/>
      <c r="C181" s="213"/>
      <c r="D181" s="206" t="s">
        <v>350</v>
      </c>
      <c r="G181" s="665"/>
      <c r="H181" s="665"/>
      <c r="I181" s="665"/>
      <c r="J181" s="665"/>
      <c r="K181" s="665"/>
      <c r="L181" s="665"/>
      <c r="M181" s="665"/>
      <c r="N181" s="665"/>
      <c r="O181" s="665"/>
      <c r="P181" s="665"/>
      <c r="Q181" s="665"/>
      <c r="T181" s="665"/>
      <c r="U181" s="665"/>
      <c r="V181" s="665"/>
      <c r="W181" s="665"/>
      <c r="X181" s="665"/>
      <c r="Y181" s="665"/>
      <c r="Z181" s="665"/>
      <c r="AA181" s="665"/>
      <c r="AB181" s="665"/>
      <c r="AC181" s="665"/>
      <c r="AD181" s="665"/>
      <c r="AE181" s="665"/>
      <c r="AG181" s="665"/>
      <c r="AH181" s="665"/>
      <c r="AI181" s="665"/>
      <c r="AJ181" s="665"/>
      <c r="AK181" s="665"/>
      <c r="AL181" s="665"/>
      <c r="AM181" s="665"/>
      <c r="AN181" s="665"/>
      <c r="AO181" s="665"/>
      <c r="AP181" s="665"/>
      <c r="AQ181" s="665"/>
      <c r="AR181" s="665"/>
      <c r="CG181" s="667"/>
      <c r="CH181" s="667"/>
      <c r="CI181" s="667"/>
      <c r="CJ181" s="667"/>
      <c r="CK181" s="667"/>
      <c r="CL181" s="667"/>
      <c r="CM181" s="667"/>
      <c r="CN181" s="667"/>
      <c r="CO181" s="667"/>
      <c r="CP181" s="667"/>
      <c r="CQ181" s="667"/>
      <c r="CR181" s="667"/>
      <c r="CT181" s="667"/>
      <c r="CU181" s="667"/>
      <c r="CV181" s="667"/>
      <c r="CW181" s="667"/>
      <c r="CX181" s="667"/>
      <c r="CY181" s="667"/>
      <c r="CZ181" s="667"/>
      <c r="DA181" s="667"/>
      <c r="DB181" s="667"/>
      <c r="DC181" s="667"/>
      <c r="DD181" s="667"/>
      <c r="DE181" s="667"/>
      <c r="DF181" s="390">
        <f t="shared" si="7"/>
        <v>0</v>
      </c>
      <c r="DG181" s="667"/>
      <c r="DH181" s="667"/>
      <c r="DI181" s="667"/>
      <c r="DJ181" s="667"/>
      <c r="DK181" s="667"/>
      <c r="DL181" s="667"/>
      <c r="DM181" s="667"/>
      <c r="DN181" s="667"/>
      <c r="DO181" s="667"/>
      <c r="DP181" s="667"/>
      <c r="DQ181" s="667"/>
      <c r="DR181" s="667"/>
      <c r="FT181" s="667"/>
      <c r="FU181" s="667"/>
      <c r="FV181" s="667"/>
      <c r="FW181" s="667"/>
      <c r="FY181" s="667"/>
      <c r="FZ181" s="667"/>
      <c r="GA181" s="667"/>
      <c r="GH181" s="667"/>
      <c r="GI181" s="667"/>
      <c r="GJ181" s="667"/>
      <c r="GM181" s="667"/>
      <c r="GN181" s="667"/>
      <c r="GO181" s="667"/>
      <c r="GV181" s="213"/>
    </row>
    <row r="182" spans="1:204" ht="12.75" customHeight="1">
      <c r="A182" s="213"/>
      <c r="B182" s="213"/>
      <c r="C182" s="213"/>
      <c r="D182" s="206" t="s">
        <v>354</v>
      </c>
      <c r="G182" s="665">
        <v>57.84</v>
      </c>
      <c r="H182" s="665">
        <v>14.46</v>
      </c>
      <c r="I182" s="665">
        <v>0</v>
      </c>
      <c r="J182" s="665">
        <v>0</v>
      </c>
      <c r="K182" s="665">
        <v>0</v>
      </c>
      <c r="L182" s="665">
        <v>0</v>
      </c>
      <c r="M182" s="665">
        <v>0</v>
      </c>
      <c r="N182" s="665">
        <v>0</v>
      </c>
      <c r="O182" s="665">
        <v>0</v>
      </c>
      <c r="P182" s="665">
        <v>0</v>
      </c>
      <c r="Q182" s="665">
        <v>0</v>
      </c>
      <c r="R182" s="207">
        <v>0</v>
      </c>
      <c r="T182" s="665">
        <v>21.568000000000001</v>
      </c>
      <c r="U182" s="665">
        <v>20.568000000000001</v>
      </c>
      <c r="V182" s="665">
        <v>21.568000000000001</v>
      </c>
      <c r="W182" s="665">
        <v>20.658000000000001</v>
      </c>
      <c r="X182" s="665">
        <v>20.658000000000001</v>
      </c>
      <c r="Y182" s="665">
        <v>20.658000000000001</v>
      </c>
      <c r="Z182" s="665">
        <v>20.658000000000001</v>
      </c>
      <c r="AA182" s="665">
        <v>20.658000000000001</v>
      </c>
      <c r="AB182" s="665">
        <v>20.658000000000001</v>
      </c>
      <c r="AC182" s="665">
        <v>20.658000000000001</v>
      </c>
      <c r="AD182" s="665">
        <v>20.658000000000001</v>
      </c>
      <c r="AE182" s="665">
        <v>20.658000000000001</v>
      </c>
      <c r="AG182" s="665">
        <v>0</v>
      </c>
      <c r="AH182" s="665">
        <v>7.1574999999999998</v>
      </c>
      <c r="AI182" s="665">
        <v>0</v>
      </c>
      <c r="AJ182" s="665">
        <v>0</v>
      </c>
      <c r="AK182" s="665">
        <v>0</v>
      </c>
      <c r="AL182" s="665">
        <v>0</v>
      </c>
      <c r="AM182" s="665">
        <v>0</v>
      </c>
      <c r="AN182" s="665">
        <v>0</v>
      </c>
      <c r="AO182" s="665">
        <v>0</v>
      </c>
      <c r="AP182" s="665">
        <v>0</v>
      </c>
      <c r="AQ182" s="665">
        <v>0</v>
      </c>
      <c r="AR182" s="665">
        <v>0</v>
      </c>
      <c r="CG182" s="667">
        <v>0.91994108000000008</v>
      </c>
      <c r="CH182" s="667">
        <v>0.233739536</v>
      </c>
      <c r="CI182" s="667">
        <v>0</v>
      </c>
      <c r="CJ182" s="667">
        <v>1.4798799999999999E-4</v>
      </c>
      <c r="CK182" s="667">
        <v>0</v>
      </c>
      <c r="CL182" s="667">
        <v>0</v>
      </c>
      <c r="CM182" s="667">
        <v>0</v>
      </c>
      <c r="CN182" s="667">
        <v>0</v>
      </c>
      <c r="CO182" s="667">
        <v>0</v>
      </c>
      <c r="CP182" s="667">
        <v>0</v>
      </c>
      <c r="CQ182" s="667">
        <v>0</v>
      </c>
      <c r="CR182" s="667">
        <v>0</v>
      </c>
      <c r="CT182" s="667">
        <v>0.25643525514348031</v>
      </c>
      <c r="CU182" s="667">
        <v>0.24419496873507496</v>
      </c>
      <c r="CV182" s="667">
        <v>0.25643525514348031</v>
      </c>
      <c r="CW182" s="667">
        <v>0.24529659451183142</v>
      </c>
      <c r="CX182" s="667">
        <v>0.24529659451183142</v>
      </c>
      <c r="CY182" s="667">
        <v>0.24529659451183142</v>
      </c>
      <c r="CZ182" s="667">
        <v>0.24529659451183142</v>
      </c>
      <c r="DA182" s="667">
        <v>0.24529659451183142</v>
      </c>
      <c r="DB182" s="667">
        <v>0.24529659451183142</v>
      </c>
      <c r="DC182" s="667">
        <v>0.24529659451183142</v>
      </c>
      <c r="DD182" s="667">
        <v>0.24529659451183142</v>
      </c>
      <c r="DE182" s="667">
        <v>0.24529659451183142</v>
      </c>
      <c r="DF182" s="390">
        <f t="shared" si="7"/>
        <v>0.73588978353549428</v>
      </c>
      <c r="DG182" s="667">
        <v>0</v>
      </c>
      <c r="DH182" s="667">
        <v>0.11311467044966637</v>
      </c>
      <c r="DI182" s="667">
        <v>0</v>
      </c>
      <c r="DJ182" s="667">
        <v>0</v>
      </c>
      <c r="DK182" s="667">
        <v>0</v>
      </c>
      <c r="DL182" s="667">
        <v>0</v>
      </c>
      <c r="DM182" s="667">
        <v>0</v>
      </c>
      <c r="DN182" s="667">
        <v>0</v>
      </c>
      <c r="DO182" s="667">
        <v>0</v>
      </c>
      <c r="DP182" s="667">
        <v>0</v>
      </c>
      <c r="DQ182" s="667">
        <v>0</v>
      </c>
      <c r="DR182" s="667">
        <v>0</v>
      </c>
      <c r="FT182" s="667">
        <v>72.300000000000011</v>
      </c>
      <c r="FU182" s="667">
        <v>249.62600000000006</v>
      </c>
      <c r="FV182" s="667">
        <v>7.1574999999999998</v>
      </c>
      <c r="FW182" s="667">
        <v>-177.32600000000005</v>
      </c>
      <c r="FY182" s="667">
        <v>1.1538286040000001</v>
      </c>
      <c r="FZ182" s="667">
        <v>2.9647348296285179</v>
      </c>
      <c r="GA182" s="667">
        <v>0.11311467044966637</v>
      </c>
      <c r="GH182" s="667">
        <v>0</v>
      </c>
      <c r="GI182" s="667">
        <v>20.658000000000001</v>
      </c>
      <c r="GJ182" s="667">
        <v>0</v>
      </c>
      <c r="GM182" s="667">
        <v>0</v>
      </c>
      <c r="GN182" s="667">
        <v>0.24529659451183142</v>
      </c>
      <c r="GO182" s="667">
        <v>0</v>
      </c>
      <c r="GV182" s="213"/>
    </row>
    <row r="183" spans="1:204" ht="12.75" customHeight="1">
      <c r="A183" s="213"/>
      <c r="B183" s="213"/>
      <c r="C183" s="213"/>
      <c r="D183" s="206" t="s">
        <v>21</v>
      </c>
      <c r="G183" s="665">
        <v>57.84</v>
      </c>
      <c r="H183" s="665">
        <v>14.46</v>
      </c>
      <c r="I183" s="665">
        <v>0</v>
      </c>
      <c r="J183" s="665">
        <v>0</v>
      </c>
      <c r="K183" s="665">
        <v>0</v>
      </c>
      <c r="L183" s="665">
        <v>0</v>
      </c>
      <c r="M183" s="665">
        <v>0</v>
      </c>
      <c r="N183" s="665">
        <v>0</v>
      </c>
      <c r="O183" s="665">
        <v>0</v>
      </c>
      <c r="P183" s="665">
        <v>0</v>
      </c>
      <c r="Q183" s="665">
        <v>0</v>
      </c>
      <c r="R183" s="207">
        <v>0</v>
      </c>
      <c r="T183" s="665">
        <v>21.568000000000001</v>
      </c>
      <c r="U183" s="665">
        <v>20.568000000000001</v>
      </c>
      <c r="V183" s="665">
        <v>21.568000000000001</v>
      </c>
      <c r="W183" s="665">
        <v>20.658000000000001</v>
      </c>
      <c r="X183" s="665">
        <v>20.658000000000001</v>
      </c>
      <c r="Y183" s="665">
        <v>20.658000000000001</v>
      </c>
      <c r="Z183" s="665">
        <v>20.658000000000001</v>
      </c>
      <c r="AA183" s="665">
        <v>20.658000000000001</v>
      </c>
      <c r="AB183" s="665">
        <v>20.658000000000001</v>
      </c>
      <c r="AC183" s="665">
        <v>20.658000000000001</v>
      </c>
      <c r="AD183" s="665">
        <v>20.658000000000001</v>
      </c>
      <c r="AE183" s="665">
        <v>20.658000000000001</v>
      </c>
      <c r="AG183" s="665">
        <v>0</v>
      </c>
      <c r="AH183" s="665">
        <v>7.1574999999999998</v>
      </c>
      <c r="AI183" s="665">
        <v>0</v>
      </c>
      <c r="AJ183" s="665">
        <v>0</v>
      </c>
      <c r="AK183" s="665">
        <v>0</v>
      </c>
      <c r="AL183" s="665">
        <v>0</v>
      </c>
      <c r="AM183" s="665">
        <v>0</v>
      </c>
      <c r="AN183" s="665">
        <v>0</v>
      </c>
      <c r="AO183" s="665">
        <v>0</v>
      </c>
      <c r="AP183" s="665">
        <v>0</v>
      </c>
      <c r="AQ183" s="665">
        <v>0</v>
      </c>
      <c r="AR183" s="665">
        <v>0</v>
      </c>
      <c r="CG183" s="667">
        <v>0.91994108000000008</v>
      </c>
      <c r="CH183" s="667">
        <v>0.233739536</v>
      </c>
      <c r="CI183" s="667">
        <v>0</v>
      </c>
      <c r="CJ183" s="667">
        <v>1.4798799999999999E-4</v>
      </c>
      <c r="CK183" s="667">
        <v>0</v>
      </c>
      <c r="CL183" s="667">
        <v>0</v>
      </c>
      <c r="CM183" s="667">
        <v>0</v>
      </c>
      <c r="CN183" s="667">
        <v>0</v>
      </c>
      <c r="CO183" s="667">
        <v>0</v>
      </c>
      <c r="CP183" s="667">
        <v>0</v>
      </c>
      <c r="CQ183" s="667">
        <v>0</v>
      </c>
      <c r="CR183" s="667">
        <v>0</v>
      </c>
      <c r="CT183" s="667">
        <v>0.25643525514348031</v>
      </c>
      <c r="CU183" s="667">
        <v>0.24419496873507496</v>
      </c>
      <c r="CV183" s="667">
        <v>0.25643525514348031</v>
      </c>
      <c r="CW183" s="667">
        <v>0.24529659451183142</v>
      </c>
      <c r="CX183" s="667">
        <v>0.24529659451183142</v>
      </c>
      <c r="CY183" s="667">
        <v>0.24529659451183142</v>
      </c>
      <c r="CZ183" s="667">
        <v>0.24529659451183142</v>
      </c>
      <c r="DA183" s="667">
        <v>0.24529659451183142</v>
      </c>
      <c r="DB183" s="667">
        <v>0.24529659451183142</v>
      </c>
      <c r="DC183" s="667">
        <v>0.24529659451183142</v>
      </c>
      <c r="DD183" s="667">
        <v>0.24529659451183142</v>
      </c>
      <c r="DE183" s="667">
        <v>0.24529659451183142</v>
      </c>
      <c r="DF183" s="390">
        <f t="shared" si="7"/>
        <v>0.73588978353549428</v>
      </c>
      <c r="DG183" s="667">
        <v>0</v>
      </c>
      <c r="DH183" s="667">
        <v>0.11311467044966637</v>
      </c>
      <c r="DI183" s="667">
        <v>0</v>
      </c>
      <c r="DJ183" s="667">
        <v>0</v>
      </c>
      <c r="DK183" s="667">
        <v>0</v>
      </c>
      <c r="DL183" s="667">
        <v>0</v>
      </c>
      <c r="DM183" s="667">
        <v>0</v>
      </c>
      <c r="DN183" s="667">
        <v>0</v>
      </c>
      <c r="DO183" s="667">
        <v>0</v>
      </c>
      <c r="DP183" s="667">
        <v>0</v>
      </c>
      <c r="DQ183" s="667">
        <v>0</v>
      </c>
      <c r="DR183" s="667">
        <v>0</v>
      </c>
      <c r="FT183" s="667">
        <v>72.300000000000011</v>
      </c>
      <c r="FU183" s="667">
        <v>249.62600000000006</v>
      </c>
      <c r="FV183" s="667">
        <v>7.1574999999999998</v>
      </c>
      <c r="FW183" s="667">
        <v>-177.32600000000005</v>
      </c>
      <c r="FY183" s="667">
        <v>1.1538286040000001</v>
      </c>
      <c r="FZ183" s="667">
        <v>2.9647348296285179</v>
      </c>
      <c r="GA183" s="667">
        <v>0.11311467044966637</v>
      </c>
      <c r="GH183" s="667">
        <v>0</v>
      </c>
      <c r="GI183" s="667">
        <v>20.658000000000001</v>
      </c>
      <c r="GJ183" s="667">
        <v>0</v>
      </c>
      <c r="GM183" s="667">
        <v>0</v>
      </c>
      <c r="GN183" s="667">
        <v>0.24529659451183142</v>
      </c>
      <c r="GO183" s="667">
        <v>0</v>
      </c>
      <c r="GV183" s="213"/>
    </row>
    <row r="184" spans="1:204" s="381" customFormat="1" ht="12.75" customHeight="1">
      <c r="D184" s="649" t="s">
        <v>272</v>
      </c>
      <c r="E184" s="649"/>
      <c r="F184" s="352"/>
      <c r="G184" s="665">
        <v>4887.8999999999996</v>
      </c>
      <c r="H184" s="665">
        <v>6277.6829999999991</v>
      </c>
      <c r="I184" s="665">
        <v>7109.7089999999998</v>
      </c>
      <c r="J184" s="665">
        <v>5831.5010000000011</v>
      </c>
      <c r="K184" s="665">
        <v>5091.2729999999983</v>
      </c>
      <c r="L184" s="665"/>
      <c r="M184" s="665"/>
      <c r="N184" s="665"/>
      <c r="O184" s="665"/>
      <c r="P184" s="665"/>
      <c r="Q184" s="665"/>
      <c r="R184" s="352"/>
      <c r="S184" s="360"/>
      <c r="T184" s="665"/>
      <c r="U184" s="665"/>
      <c r="V184" s="665"/>
      <c r="W184" s="665"/>
      <c r="X184" s="665"/>
      <c r="Y184" s="665"/>
      <c r="Z184" s="665"/>
      <c r="AA184" s="665"/>
      <c r="AB184" s="665"/>
      <c r="AC184" s="665"/>
      <c r="AD184" s="665"/>
      <c r="AE184" s="665"/>
      <c r="AF184" s="360"/>
      <c r="AG184" s="665"/>
      <c r="AH184" s="665"/>
      <c r="AI184" s="665"/>
      <c r="AJ184" s="665"/>
      <c r="AK184" s="665"/>
      <c r="AL184" s="665"/>
      <c r="AM184" s="665"/>
      <c r="AN184" s="665"/>
      <c r="AO184" s="665"/>
      <c r="AP184" s="665"/>
      <c r="AQ184" s="665"/>
      <c r="AR184" s="665"/>
      <c r="AS184" s="600"/>
      <c r="AT184" s="666"/>
      <c r="AU184" s="352"/>
      <c r="AV184" s="352"/>
      <c r="AW184" s="352"/>
      <c r="AX184" s="352"/>
      <c r="AY184" s="352"/>
      <c r="AZ184" s="352"/>
      <c r="BA184" s="352"/>
      <c r="BB184" s="352"/>
      <c r="BC184" s="352"/>
      <c r="BD184" s="352"/>
      <c r="BE184" s="352"/>
      <c r="BF184" s="360"/>
      <c r="BG184" s="666"/>
      <c r="BH184" s="352"/>
      <c r="BI184" s="352"/>
      <c r="BJ184" s="352"/>
      <c r="BK184" s="352"/>
      <c r="BL184" s="352"/>
      <c r="BM184" s="352"/>
      <c r="BN184" s="352"/>
      <c r="BO184" s="352"/>
      <c r="BP184" s="352"/>
      <c r="BQ184" s="352"/>
      <c r="BR184" s="352"/>
      <c r="BS184" s="360"/>
      <c r="BT184" s="352"/>
      <c r="BU184" s="352"/>
      <c r="BV184" s="352"/>
      <c r="BW184" s="352"/>
      <c r="BX184" s="352"/>
      <c r="BY184" s="352"/>
      <c r="BZ184" s="352"/>
      <c r="CA184" s="352"/>
      <c r="CB184" s="352"/>
      <c r="CC184" s="352"/>
      <c r="CD184" s="352"/>
      <c r="CE184" s="352"/>
      <c r="CF184" s="360"/>
      <c r="CG184" s="667">
        <v>60.721633556000008</v>
      </c>
      <c r="CH184" s="667">
        <v>76.438380939999988</v>
      </c>
      <c r="CI184" s="667">
        <v>83.365956566999998</v>
      </c>
      <c r="CJ184" s="667">
        <v>75.306329164999994</v>
      </c>
      <c r="CK184" s="667">
        <v>295.83230022800001</v>
      </c>
      <c r="CL184" s="667"/>
      <c r="CM184" s="667"/>
      <c r="CN184" s="667"/>
      <c r="CO184" s="667"/>
      <c r="CP184" s="667"/>
      <c r="CQ184" s="667"/>
      <c r="CR184" s="667"/>
      <c r="CS184" s="360"/>
      <c r="CT184" s="667"/>
      <c r="CU184" s="667"/>
      <c r="CV184" s="667"/>
      <c r="CW184" s="667"/>
      <c r="CX184" s="667"/>
      <c r="CY184" s="667"/>
      <c r="CZ184" s="667"/>
      <c r="DA184" s="667"/>
      <c r="DB184" s="667"/>
      <c r="DC184" s="667"/>
      <c r="DD184" s="667"/>
      <c r="DE184" s="667"/>
      <c r="DF184" s="390">
        <f t="shared" si="7"/>
        <v>0</v>
      </c>
      <c r="DG184" s="667"/>
      <c r="DH184" s="667"/>
      <c r="DI184" s="667"/>
      <c r="DJ184" s="667"/>
      <c r="DK184" s="667"/>
      <c r="DL184" s="667"/>
      <c r="DM184" s="667"/>
      <c r="DN184" s="667"/>
      <c r="DO184" s="667"/>
      <c r="DP184" s="667"/>
      <c r="DQ184" s="667"/>
      <c r="DR184" s="667"/>
      <c r="DS184" s="360"/>
      <c r="DT184" s="352"/>
      <c r="DU184" s="352"/>
      <c r="DV184" s="352"/>
      <c r="DW184" s="352"/>
      <c r="DX184" s="352"/>
      <c r="DY184" s="352"/>
      <c r="DZ184" s="352"/>
      <c r="EA184" s="352"/>
      <c r="EB184" s="352"/>
      <c r="EC184" s="352"/>
      <c r="ED184" s="352"/>
      <c r="EE184" s="352"/>
      <c r="EF184" s="360"/>
      <c r="EG184" s="352"/>
      <c r="EH184" s="352"/>
      <c r="EI184" s="352"/>
      <c r="EJ184" s="352"/>
      <c r="EK184" s="352"/>
      <c r="EL184" s="352"/>
      <c r="EM184" s="352"/>
      <c r="EN184" s="352"/>
      <c r="EO184" s="352"/>
      <c r="EP184" s="352"/>
      <c r="EQ184" s="352"/>
      <c r="ER184" s="352"/>
      <c r="ES184" s="361"/>
      <c r="ET184" s="352"/>
      <c r="EU184" s="352"/>
      <c r="EV184" s="352"/>
      <c r="EW184" s="352"/>
      <c r="EX184" s="352"/>
      <c r="EY184" s="352"/>
      <c r="EZ184" s="352"/>
      <c r="FA184" s="352"/>
      <c r="FB184" s="352"/>
      <c r="FC184" s="352"/>
      <c r="FD184" s="352"/>
      <c r="FE184" s="352"/>
      <c r="FF184" s="360"/>
      <c r="FG184" s="352"/>
      <c r="FH184" s="352"/>
      <c r="FI184" s="352"/>
      <c r="FJ184" s="352"/>
      <c r="FK184" s="352"/>
      <c r="FL184" s="352"/>
      <c r="FM184" s="352"/>
      <c r="FN184" s="352"/>
      <c r="FO184" s="352"/>
      <c r="FP184" s="352"/>
      <c r="FQ184" s="352"/>
      <c r="FR184" s="352"/>
      <c r="FS184" s="361"/>
      <c r="FT184" s="667"/>
      <c r="FU184" s="667"/>
      <c r="FV184" s="667"/>
      <c r="FW184" s="667"/>
      <c r="FY184" s="667"/>
      <c r="FZ184" s="667"/>
      <c r="GA184" s="667"/>
      <c r="GG184" s="376"/>
      <c r="GH184" s="667"/>
      <c r="GI184" s="667"/>
      <c r="GJ184" s="667"/>
      <c r="GK184" s="352"/>
      <c r="GM184" s="667"/>
      <c r="GN184" s="667"/>
      <c r="GO184" s="667"/>
    </row>
    <row r="185" spans="1:204" ht="12.75" customHeight="1">
      <c r="A185" s="213"/>
      <c r="B185" s="213"/>
      <c r="C185" s="213"/>
      <c r="D185" s="206" t="s">
        <v>350</v>
      </c>
      <c r="G185" s="665"/>
      <c r="H185" s="665"/>
      <c r="I185" s="665"/>
      <c r="J185" s="665"/>
      <c r="K185" s="665"/>
      <c r="L185" s="665"/>
      <c r="M185" s="665"/>
      <c r="N185" s="665"/>
      <c r="O185" s="665"/>
      <c r="P185" s="665"/>
      <c r="Q185" s="665"/>
      <c r="T185" s="665"/>
      <c r="U185" s="665"/>
      <c r="V185" s="665"/>
      <c r="W185" s="665"/>
      <c r="X185" s="665"/>
      <c r="Y185" s="665"/>
      <c r="Z185" s="665"/>
      <c r="AA185" s="665"/>
      <c r="AB185" s="665"/>
      <c r="AC185" s="665"/>
      <c r="AD185" s="665"/>
      <c r="AE185" s="665"/>
      <c r="AG185" s="665"/>
      <c r="AH185" s="665"/>
      <c r="AI185" s="665"/>
      <c r="AJ185" s="665"/>
      <c r="AK185" s="665"/>
      <c r="AL185" s="665"/>
      <c r="AM185" s="665"/>
      <c r="AN185" s="665"/>
      <c r="AO185" s="665"/>
      <c r="AP185" s="665"/>
      <c r="AQ185" s="665"/>
      <c r="AR185" s="665"/>
      <c r="CG185" s="667"/>
      <c r="CH185" s="667"/>
      <c r="CI185" s="667"/>
      <c r="CJ185" s="667"/>
      <c r="CK185" s="667"/>
      <c r="CL185" s="667"/>
      <c r="CM185" s="667"/>
      <c r="CN185" s="667"/>
      <c r="CO185" s="667"/>
      <c r="CP185" s="667"/>
      <c r="CQ185" s="667"/>
      <c r="CR185" s="667"/>
      <c r="CT185" s="667"/>
      <c r="CU185" s="667"/>
      <c r="CV185" s="667"/>
      <c r="CW185" s="667"/>
      <c r="CX185" s="667"/>
      <c r="CY185" s="667"/>
      <c r="CZ185" s="667"/>
      <c r="DA185" s="667"/>
      <c r="DB185" s="667"/>
      <c r="DC185" s="667"/>
      <c r="DD185" s="667"/>
      <c r="DE185" s="667"/>
      <c r="DF185" s="390">
        <f t="shared" si="7"/>
        <v>0</v>
      </c>
      <c r="DG185" s="667"/>
      <c r="DH185" s="667"/>
      <c r="DI185" s="667"/>
      <c r="DJ185" s="667"/>
      <c r="DK185" s="667"/>
      <c r="DL185" s="667"/>
      <c r="DM185" s="667"/>
      <c r="DN185" s="667"/>
      <c r="DO185" s="667"/>
      <c r="DP185" s="667"/>
      <c r="DQ185" s="667"/>
      <c r="DR185" s="667"/>
      <c r="FT185" s="667"/>
      <c r="FU185" s="667"/>
      <c r="FV185" s="667"/>
      <c r="FW185" s="667"/>
      <c r="FY185" s="667"/>
      <c r="FZ185" s="667"/>
      <c r="GA185" s="667"/>
      <c r="GH185" s="667"/>
      <c r="GI185" s="667"/>
      <c r="GJ185" s="667"/>
      <c r="GM185" s="667"/>
      <c r="GN185" s="667"/>
      <c r="GO185" s="667"/>
      <c r="GV185" s="213"/>
    </row>
    <row r="186" spans="1:204" ht="12.75" customHeight="1">
      <c r="A186" s="213"/>
      <c r="B186" s="213"/>
      <c r="C186" s="213"/>
      <c r="D186" s="206" t="s">
        <v>354</v>
      </c>
      <c r="G186" s="665">
        <v>0</v>
      </c>
      <c r="H186" s="665">
        <v>0</v>
      </c>
      <c r="I186" s="665">
        <v>0</v>
      </c>
      <c r="J186" s="665">
        <v>16.358000000000001</v>
      </c>
      <c r="K186" s="665">
        <v>89.97</v>
      </c>
      <c r="L186" s="665">
        <v>0</v>
      </c>
      <c r="M186" s="665">
        <v>16.358000000000001</v>
      </c>
      <c r="N186" s="665">
        <v>0</v>
      </c>
      <c r="O186" s="665">
        <v>32.716000000000001</v>
      </c>
      <c r="P186" s="665">
        <v>65.432000000000002</v>
      </c>
      <c r="Q186" s="665">
        <v>0</v>
      </c>
      <c r="R186" s="207">
        <v>0</v>
      </c>
      <c r="S186" s="209">
        <v>0</v>
      </c>
      <c r="T186" s="665">
        <v>0</v>
      </c>
      <c r="U186" s="665">
        <v>0</v>
      </c>
      <c r="V186" s="665">
        <v>67.275542857142867</v>
      </c>
      <c r="W186" s="665">
        <v>0</v>
      </c>
      <c r="X186" s="665">
        <v>0</v>
      </c>
      <c r="Y186" s="665">
        <v>68.249257142857147</v>
      </c>
      <c r="Z186" s="665">
        <v>0.97371428571428564</v>
      </c>
      <c r="AA186" s="665">
        <v>68.249257142857147</v>
      </c>
      <c r="AB186" s="665">
        <v>40.733714285714285</v>
      </c>
      <c r="AC186" s="665">
        <v>107.03554285714287</v>
      </c>
      <c r="AD186" s="665">
        <v>39.76</v>
      </c>
      <c r="AE186" s="665">
        <v>108.00925714285715</v>
      </c>
      <c r="AF186" s="209">
        <v>0</v>
      </c>
      <c r="AG186" s="665">
        <v>0</v>
      </c>
      <c r="AH186" s="665">
        <v>125</v>
      </c>
      <c r="AI186" s="665">
        <v>127</v>
      </c>
      <c r="AJ186" s="665">
        <v>127</v>
      </c>
      <c r="AK186" s="665">
        <v>92</v>
      </c>
      <c r="AL186" s="665">
        <v>16.350000000000001</v>
      </c>
      <c r="AM186" s="665">
        <v>16</v>
      </c>
      <c r="AN186" s="665">
        <v>0</v>
      </c>
      <c r="AO186" s="665">
        <v>98</v>
      </c>
      <c r="AP186" s="665">
        <v>65</v>
      </c>
      <c r="AQ186" s="665">
        <v>0</v>
      </c>
      <c r="AR186" s="665">
        <v>0</v>
      </c>
      <c r="CG186" s="667">
        <v>0</v>
      </c>
      <c r="CH186" s="667">
        <v>0</v>
      </c>
      <c r="CI186" s="667">
        <v>0</v>
      </c>
      <c r="CJ186" s="667">
        <v>0.15202371100000001</v>
      </c>
      <c r="CK186" s="667">
        <v>0.83109244399999993</v>
      </c>
      <c r="CL186" s="667">
        <v>0</v>
      </c>
      <c r="CM186" s="667">
        <v>0.15691561299999998</v>
      </c>
      <c r="CN186" s="667">
        <v>0</v>
      </c>
      <c r="CO186" s="667">
        <v>0.33679151600000001</v>
      </c>
      <c r="CP186" s="667">
        <v>0.6755383880000001</v>
      </c>
      <c r="CQ186" s="667">
        <v>0</v>
      </c>
      <c r="CR186" s="667">
        <v>0</v>
      </c>
      <c r="CS186" s="209">
        <v>0</v>
      </c>
      <c r="CT186" s="667">
        <v>0</v>
      </c>
      <c r="CU186" s="667">
        <v>0</v>
      </c>
      <c r="CV186" s="667">
        <v>0.72508729260537952</v>
      </c>
      <c r="CW186" s="667">
        <v>0</v>
      </c>
      <c r="CX186" s="667">
        <v>0</v>
      </c>
      <c r="CY186" s="667">
        <v>0.73557482890371084</v>
      </c>
      <c r="CZ186" s="667">
        <v>1.0487536298331332E-2</v>
      </c>
      <c r="DA186" s="667">
        <v>0.73557482890371084</v>
      </c>
      <c r="DB186" s="667">
        <v>0.42653318865925088</v>
      </c>
      <c r="DC186" s="667">
        <v>1.141132944966299</v>
      </c>
      <c r="DD186" s="667">
        <v>0.41604565236091956</v>
      </c>
      <c r="DE186" s="667">
        <v>1.1516204812646305</v>
      </c>
      <c r="DF186" s="390">
        <f t="shared" si="7"/>
        <v>2.708799078591849</v>
      </c>
      <c r="DG186" s="667">
        <v>0</v>
      </c>
      <c r="DH186" s="667">
        <v>1.3735485123365718</v>
      </c>
      <c r="DI186" s="667">
        <v>1.3955252885339571</v>
      </c>
      <c r="DJ186" s="667">
        <v>1.3955252885339571</v>
      </c>
      <c r="DK186" s="667">
        <v>0.85099999999999998</v>
      </c>
      <c r="DL186" s="667">
        <v>0.15123750000000002</v>
      </c>
      <c r="DM186" s="667">
        <v>0.14799999999999999</v>
      </c>
      <c r="DN186" s="667">
        <v>0</v>
      </c>
      <c r="DO186" s="667">
        <v>0.90649999999999997</v>
      </c>
      <c r="DP186" s="667">
        <v>0.60124999999999995</v>
      </c>
      <c r="DQ186" s="667">
        <v>0</v>
      </c>
      <c r="DR186" s="667">
        <v>0</v>
      </c>
      <c r="FT186" s="667">
        <v>220.834</v>
      </c>
      <c r="FU186" s="667">
        <v>500.28628571428578</v>
      </c>
      <c r="FV186" s="667">
        <v>666.35</v>
      </c>
      <c r="FW186" s="667">
        <v>-279.45228571428572</v>
      </c>
      <c r="FY186" s="667">
        <v>2.1523616720000001</v>
      </c>
      <c r="FZ186" s="667">
        <v>5.3420567539622335</v>
      </c>
      <c r="GA186" s="667">
        <v>6.8225865894044855</v>
      </c>
      <c r="GH186" s="667">
        <v>0</v>
      </c>
      <c r="GI186" s="667">
        <v>108.00925714285715</v>
      </c>
      <c r="GJ186" s="667">
        <v>0</v>
      </c>
      <c r="GK186" s="207">
        <v>-108.00925714285715</v>
      </c>
      <c r="GL186" s="213">
        <v>-5</v>
      </c>
      <c r="GM186" s="667">
        <v>0</v>
      </c>
      <c r="GN186" s="667">
        <v>1.1516204812646305</v>
      </c>
      <c r="GO186" s="667">
        <v>0</v>
      </c>
      <c r="GV186" s="213"/>
    </row>
    <row r="187" spans="1:204" ht="12.75" customHeight="1">
      <c r="A187" s="213"/>
      <c r="B187" s="213"/>
      <c r="C187" s="213"/>
      <c r="D187" s="206" t="s">
        <v>21</v>
      </c>
      <c r="G187" s="665">
        <v>0</v>
      </c>
      <c r="H187" s="665">
        <v>0</v>
      </c>
      <c r="I187" s="665">
        <v>0</v>
      </c>
      <c r="J187" s="665">
        <v>16.358000000000001</v>
      </c>
      <c r="K187" s="665">
        <v>89.97</v>
      </c>
      <c r="L187" s="665">
        <v>0</v>
      </c>
      <c r="M187" s="665">
        <v>16.358000000000001</v>
      </c>
      <c r="N187" s="665">
        <v>0</v>
      </c>
      <c r="O187" s="665">
        <v>32.716000000000001</v>
      </c>
      <c r="P187" s="665">
        <v>65.432000000000002</v>
      </c>
      <c r="Q187" s="665">
        <v>0</v>
      </c>
      <c r="R187" s="207">
        <v>0</v>
      </c>
      <c r="S187" s="209">
        <v>0</v>
      </c>
      <c r="T187" s="665">
        <v>0</v>
      </c>
      <c r="U187" s="665">
        <v>0</v>
      </c>
      <c r="V187" s="665">
        <v>67.275542857142867</v>
      </c>
      <c r="W187" s="665">
        <v>0</v>
      </c>
      <c r="X187" s="665">
        <v>0</v>
      </c>
      <c r="Y187" s="665">
        <v>68.249257142857147</v>
      </c>
      <c r="Z187" s="665">
        <v>0.97371428571428564</v>
      </c>
      <c r="AA187" s="665">
        <v>68.249257142857147</v>
      </c>
      <c r="AB187" s="665">
        <v>40.733714285714285</v>
      </c>
      <c r="AC187" s="665">
        <v>107.03554285714287</v>
      </c>
      <c r="AD187" s="665">
        <v>39.76</v>
      </c>
      <c r="AE187" s="665">
        <v>108.00925714285715</v>
      </c>
      <c r="AF187" s="209">
        <v>0</v>
      </c>
      <c r="AG187" s="665">
        <v>0</v>
      </c>
      <c r="AH187" s="665">
        <v>125</v>
      </c>
      <c r="AI187" s="665">
        <v>127</v>
      </c>
      <c r="AJ187" s="665">
        <v>127</v>
      </c>
      <c r="AK187" s="665">
        <v>92</v>
      </c>
      <c r="AL187" s="665">
        <v>16.350000000000001</v>
      </c>
      <c r="AM187" s="665">
        <v>16</v>
      </c>
      <c r="AN187" s="665">
        <v>0</v>
      </c>
      <c r="AO187" s="665">
        <v>98</v>
      </c>
      <c r="AP187" s="665">
        <v>65</v>
      </c>
      <c r="AQ187" s="665">
        <v>0</v>
      </c>
      <c r="AR187" s="665">
        <v>0</v>
      </c>
      <c r="CG187" s="667">
        <v>0</v>
      </c>
      <c r="CH187" s="667">
        <v>0</v>
      </c>
      <c r="CI187" s="667">
        <v>0</v>
      </c>
      <c r="CJ187" s="667">
        <v>0.15202371100000001</v>
      </c>
      <c r="CK187" s="667">
        <v>0.83109244399999993</v>
      </c>
      <c r="CL187" s="667">
        <v>0</v>
      </c>
      <c r="CM187" s="667">
        <v>0.15691561299999998</v>
      </c>
      <c r="CN187" s="667">
        <v>0</v>
      </c>
      <c r="CO187" s="667">
        <v>0.33679151600000001</v>
      </c>
      <c r="CP187" s="667">
        <v>0.6755383880000001</v>
      </c>
      <c r="CQ187" s="667">
        <v>0</v>
      </c>
      <c r="CR187" s="667">
        <v>0</v>
      </c>
      <c r="CS187" s="209">
        <v>0</v>
      </c>
      <c r="CT187" s="667">
        <v>0</v>
      </c>
      <c r="CU187" s="667">
        <v>0</v>
      </c>
      <c r="CV187" s="667">
        <v>0.72508729260537952</v>
      </c>
      <c r="CW187" s="667">
        <v>0</v>
      </c>
      <c r="CX187" s="667">
        <v>0</v>
      </c>
      <c r="CY187" s="667">
        <v>0.73557482890371084</v>
      </c>
      <c r="CZ187" s="667">
        <v>1.0487536298331332E-2</v>
      </c>
      <c r="DA187" s="667">
        <v>0.73557482890371084</v>
      </c>
      <c r="DB187" s="667">
        <v>0.42653318865925088</v>
      </c>
      <c r="DC187" s="667">
        <v>1.141132944966299</v>
      </c>
      <c r="DD187" s="667">
        <v>0.41604565236091956</v>
      </c>
      <c r="DE187" s="667">
        <v>1.1516204812646305</v>
      </c>
      <c r="DF187" s="390">
        <f t="shared" si="7"/>
        <v>2.708799078591849</v>
      </c>
      <c r="DG187" s="667">
        <v>0</v>
      </c>
      <c r="DH187" s="667">
        <v>1.3735485123365718</v>
      </c>
      <c r="DI187" s="667">
        <v>1.3955252885339571</v>
      </c>
      <c r="DJ187" s="667">
        <v>1.3955252885339571</v>
      </c>
      <c r="DK187" s="667">
        <v>0.85099999999999998</v>
      </c>
      <c r="DL187" s="667">
        <v>0.15123750000000002</v>
      </c>
      <c r="DM187" s="667">
        <v>0.14799999999999999</v>
      </c>
      <c r="DN187" s="667">
        <v>0</v>
      </c>
      <c r="DO187" s="667">
        <v>0.90649999999999997</v>
      </c>
      <c r="DP187" s="667">
        <v>0.60124999999999995</v>
      </c>
      <c r="DQ187" s="667">
        <v>0</v>
      </c>
      <c r="DR187" s="667">
        <v>0</v>
      </c>
      <c r="FT187" s="667">
        <v>220.834</v>
      </c>
      <c r="FU187" s="667">
        <v>500.28628571428578</v>
      </c>
      <c r="FV187" s="667">
        <v>666.35</v>
      </c>
      <c r="FW187" s="667">
        <v>-279.45228571428572</v>
      </c>
      <c r="FY187" s="667">
        <v>2.1523616720000001</v>
      </c>
      <c r="FZ187" s="667">
        <v>5.3420567539622335</v>
      </c>
      <c r="GA187" s="667">
        <v>6.8225865894044855</v>
      </c>
      <c r="GH187" s="667">
        <v>0</v>
      </c>
      <c r="GI187" s="667">
        <v>108.00925714285715</v>
      </c>
      <c r="GJ187" s="667">
        <v>0</v>
      </c>
      <c r="GK187" s="207">
        <v>-108.00925714285715</v>
      </c>
      <c r="GL187" s="213">
        <v>-5</v>
      </c>
      <c r="GM187" s="667">
        <v>0</v>
      </c>
      <c r="GN187" s="667">
        <v>1.1516204812646305</v>
      </c>
      <c r="GO187" s="667">
        <v>0</v>
      </c>
      <c r="GV187" s="213"/>
    </row>
    <row r="188" spans="1:204" ht="12.75" customHeight="1">
      <c r="A188" s="213"/>
      <c r="B188" s="213"/>
      <c r="C188" s="213"/>
      <c r="D188" s="649" t="s">
        <v>312</v>
      </c>
      <c r="Q188" s="207"/>
      <c r="AR188" s="207"/>
      <c r="CG188" s="636"/>
      <c r="CH188" s="636"/>
      <c r="CI188" s="636"/>
      <c r="CJ188" s="636"/>
      <c r="CK188" s="636"/>
      <c r="CL188" s="636"/>
      <c r="CN188" s="636"/>
      <c r="CO188" s="636"/>
      <c r="CP188" s="636"/>
      <c r="CQ188" s="636"/>
      <c r="CR188" s="636"/>
      <c r="CT188" s="636"/>
      <c r="CU188" s="636"/>
      <c r="CV188" s="636"/>
      <c r="CW188" s="636"/>
      <c r="CX188" s="636"/>
      <c r="CY188" s="636"/>
      <c r="CZ188" s="636"/>
      <c r="DA188" s="636"/>
      <c r="DB188" s="636"/>
      <c r="DC188" s="636"/>
      <c r="DD188" s="636"/>
      <c r="DE188" s="636"/>
      <c r="DF188" s="390">
        <f t="shared" si="7"/>
        <v>0</v>
      </c>
      <c r="DG188" s="636"/>
      <c r="DH188" s="636"/>
      <c r="DI188" s="636"/>
      <c r="DJ188" s="636"/>
      <c r="DK188" s="636"/>
      <c r="DL188" s="636"/>
      <c r="DM188" s="636"/>
      <c r="DN188" s="636"/>
      <c r="DO188" s="636"/>
      <c r="DP188" s="636"/>
      <c r="DQ188" s="636"/>
      <c r="DR188" s="636"/>
      <c r="FT188" s="636"/>
      <c r="FU188" s="636"/>
      <c r="FV188" s="636"/>
      <c r="FW188" s="636"/>
      <c r="FY188" s="636"/>
      <c r="FZ188" s="636"/>
      <c r="GA188" s="636"/>
      <c r="GH188" s="636"/>
      <c r="GI188" s="636"/>
      <c r="GJ188" s="636"/>
      <c r="GM188" s="636"/>
      <c r="GN188" s="636"/>
      <c r="GO188" s="636"/>
      <c r="GV188" s="213"/>
    </row>
    <row r="189" spans="1:204" ht="12.75" customHeight="1">
      <c r="A189" s="213"/>
      <c r="B189" s="213"/>
      <c r="C189" s="213"/>
      <c r="D189" s="206" t="s">
        <v>350</v>
      </c>
      <c r="G189" s="639">
        <v>1818.5800000000008</v>
      </c>
      <c r="H189" s="639">
        <v>1513.79</v>
      </c>
      <c r="I189" s="639">
        <v>1308.4599999999998</v>
      </c>
      <c r="J189" s="639">
        <v>1507.61</v>
      </c>
      <c r="K189" s="639">
        <v>1000.3000000000001</v>
      </c>
      <c r="L189" s="639">
        <v>0</v>
      </c>
      <c r="M189" s="639">
        <v>88.71</v>
      </c>
      <c r="N189" s="639">
        <v>355.35000000000008</v>
      </c>
      <c r="O189" s="639">
        <v>1531.8100000000006</v>
      </c>
      <c r="P189" s="639">
        <v>1170.4149999999997</v>
      </c>
      <c r="Q189" s="639">
        <v>1554.598</v>
      </c>
      <c r="R189" s="207">
        <v>2025.9500000000012</v>
      </c>
      <c r="T189" s="639">
        <v>1400</v>
      </c>
      <c r="U189" s="639">
        <v>1500</v>
      </c>
      <c r="V189" s="639">
        <v>1400</v>
      </c>
      <c r="W189" s="639">
        <v>800</v>
      </c>
      <c r="X189" s="639">
        <v>1300</v>
      </c>
      <c r="Y189" s="639">
        <v>1200</v>
      </c>
      <c r="Z189" s="639">
        <v>1300</v>
      </c>
      <c r="AA189" s="639">
        <v>800</v>
      </c>
      <c r="AB189" s="639">
        <v>1300</v>
      </c>
      <c r="AC189" s="639">
        <v>1300</v>
      </c>
      <c r="AD189" s="639">
        <v>1500</v>
      </c>
      <c r="AE189" s="639">
        <v>1300</v>
      </c>
      <c r="AG189" s="639">
        <v>0</v>
      </c>
      <c r="AH189" s="639">
        <v>1200</v>
      </c>
      <c r="AI189" s="639">
        <v>1400</v>
      </c>
      <c r="AJ189" s="639">
        <v>1500</v>
      </c>
      <c r="AK189" s="639">
        <v>990</v>
      </c>
      <c r="AL189" s="639">
        <v>0</v>
      </c>
      <c r="AM189" s="639">
        <v>0</v>
      </c>
      <c r="AN189" s="639">
        <v>350</v>
      </c>
      <c r="AO189" s="639">
        <v>1500</v>
      </c>
      <c r="AP189" s="639">
        <v>1031</v>
      </c>
      <c r="AQ189" s="639">
        <v>2000</v>
      </c>
      <c r="AR189" s="639">
        <v>2000</v>
      </c>
      <c r="CG189" s="636">
        <v>11.127279593999994</v>
      </c>
      <c r="CH189" s="636">
        <v>9.4547226499999972</v>
      </c>
      <c r="CI189" s="636">
        <v>7.4942635000000015</v>
      </c>
      <c r="CJ189" s="636">
        <v>8.6734651000000014</v>
      </c>
      <c r="CK189" s="636">
        <v>5.8786057999999999</v>
      </c>
      <c r="CL189" s="636">
        <v>0</v>
      </c>
      <c r="CM189" s="636">
        <v>0.42580800000000002</v>
      </c>
      <c r="CN189" s="636">
        <v>1.7056800000000001</v>
      </c>
      <c r="CO189" s="636">
        <v>7.3614853</v>
      </c>
      <c r="CP189" s="636">
        <v>5.961018546</v>
      </c>
      <c r="CQ189" s="636">
        <v>8.000386160999998</v>
      </c>
      <c r="CR189" s="636">
        <v>10.643767009999996</v>
      </c>
      <c r="CT189" s="636">
        <v>8.5314999999999994</v>
      </c>
      <c r="CU189" s="636">
        <v>9.4014999999999986</v>
      </c>
      <c r="CV189" s="636">
        <v>8.5314999999999994</v>
      </c>
      <c r="CW189" s="636">
        <v>5.0476812518837226</v>
      </c>
      <c r="CX189" s="636">
        <v>8.2120174243547002</v>
      </c>
      <c r="CY189" s="636">
        <v>7.5842357312171194</v>
      </c>
      <c r="CZ189" s="636">
        <v>8.2120174243547002</v>
      </c>
      <c r="DA189" s="636">
        <v>5.0476812518837226</v>
      </c>
      <c r="DB189" s="636">
        <v>8.2120174243547002</v>
      </c>
      <c r="DC189" s="636">
        <v>8.2120174243547002</v>
      </c>
      <c r="DD189" s="636">
        <v>9.4777518933430915</v>
      </c>
      <c r="DE189" s="636">
        <v>8.2120174243547002</v>
      </c>
      <c r="DF189" s="390">
        <f t="shared" si="7"/>
        <v>25.901786742052494</v>
      </c>
      <c r="DG189" s="636">
        <v>0</v>
      </c>
      <c r="DH189" s="636">
        <v>7.5610000000000008</v>
      </c>
      <c r="DI189" s="636">
        <v>8.5015000000000001</v>
      </c>
      <c r="DJ189" s="636">
        <v>8.5709999999999997</v>
      </c>
      <c r="DK189" s="636">
        <v>5.7896999999999998</v>
      </c>
      <c r="DL189" s="636">
        <v>0</v>
      </c>
      <c r="DM189" s="636">
        <v>0</v>
      </c>
      <c r="DN189" s="636">
        <v>1.68</v>
      </c>
      <c r="DO189" s="636">
        <v>7.2349999999999994</v>
      </c>
      <c r="DP189" s="636">
        <v>5.0167700000000002</v>
      </c>
      <c r="DQ189" s="636">
        <v>9.6875</v>
      </c>
      <c r="DR189" s="636">
        <v>9.6875</v>
      </c>
      <c r="FT189" s="636">
        <v>13875.573000000004</v>
      </c>
      <c r="FU189" s="636">
        <v>15100</v>
      </c>
      <c r="FV189" s="636">
        <v>11971</v>
      </c>
      <c r="FW189" s="636">
        <v>-1224.426999999996</v>
      </c>
      <c r="FY189" s="636">
        <v>76.72648166099998</v>
      </c>
      <c r="FZ189" s="636">
        <v>94.681937250101157</v>
      </c>
      <c r="GA189" s="636">
        <v>63.729970000000002</v>
      </c>
      <c r="GH189" s="636">
        <v>2025.9500000000012</v>
      </c>
      <c r="GI189" s="636">
        <v>1300</v>
      </c>
      <c r="GJ189" s="636">
        <v>2000</v>
      </c>
      <c r="GM189" s="636">
        <v>10.643767009999996</v>
      </c>
      <c r="GN189" s="636">
        <v>8.2120174243547002</v>
      </c>
      <c r="GO189" s="636">
        <v>9.6875</v>
      </c>
      <c r="GV189" s="213"/>
    </row>
    <row r="190" spans="1:204" ht="12.75" customHeight="1">
      <c r="A190" s="213"/>
      <c r="B190" s="213"/>
      <c r="C190" s="213"/>
      <c r="D190" s="206" t="s">
        <v>354</v>
      </c>
      <c r="G190" s="639">
        <v>67.97999999999999</v>
      </c>
      <c r="H190" s="639">
        <v>167.99999999999983</v>
      </c>
      <c r="I190" s="639">
        <v>84.000000000000114</v>
      </c>
      <c r="J190" s="639">
        <v>167.84999999999985</v>
      </c>
      <c r="K190" s="639">
        <v>0</v>
      </c>
      <c r="L190" s="639">
        <v>0</v>
      </c>
      <c r="M190" s="639">
        <v>0</v>
      </c>
      <c r="N190" s="639">
        <v>0</v>
      </c>
      <c r="O190" s="639">
        <v>0</v>
      </c>
      <c r="P190" s="639">
        <v>0</v>
      </c>
      <c r="Q190" s="639">
        <v>0</v>
      </c>
      <c r="R190" s="207">
        <v>0</v>
      </c>
      <c r="T190" s="639">
        <v>100</v>
      </c>
      <c r="U190" s="639">
        <v>100</v>
      </c>
      <c r="V190" s="639">
        <v>100</v>
      </c>
      <c r="W190" s="639">
        <v>100</v>
      </c>
      <c r="X190" s="639">
        <v>150</v>
      </c>
      <c r="Y190" s="639">
        <v>250</v>
      </c>
      <c r="Z190" s="639">
        <v>200</v>
      </c>
      <c r="AA190" s="639">
        <v>300</v>
      </c>
      <c r="AB190" s="639">
        <v>200</v>
      </c>
      <c r="AC190" s="639">
        <v>100</v>
      </c>
      <c r="AD190" s="639">
        <v>300</v>
      </c>
      <c r="AE190" s="639">
        <v>100</v>
      </c>
      <c r="AG190" s="639">
        <v>0</v>
      </c>
      <c r="AH190" s="639">
        <v>160</v>
      </c>
      <c r="AI190" s="639">
        <v>136</v>
      </c>
      <c r="AJ190" s="639">
        <v>165</v>
      </c>
      <c r="AK190" s="639">
        <v>0</v>
      </c>
      <c r="AL190" s="639">
        <v>0</v>
      </c>
      <c r="AM190" s="639">
        <v>0</v>
      </c>
      <c r="AN190" s="639">
        <v>0</v>
      </c>
      <c r="AO190" s="639">
        <v>0</v>
      </c>
      <c r="AP190" s="639">
        <v>0</v>
      </c>
      <c r="AQ190" s="639">
        <v>0</v>
      </c>
      <c r="AR190" s="639">
        <v>0</v>
      </c>
      <c r="CG190" s="636">
        <v>0.95967954799999999</v>
      </c>
      <c r="CH190" s="636">
        <v>2.3869199590000028</v>
      </c>
      <c r="CI190" s="636">
        <v>1.1966870990000009</v>
      </c>
      <c r="CJ190" s="636">
        <v>2.3776526620000022</v>
      </c>
      <c r="CK190" s="636">
        <v>0</v>
      </c>
      <c r="CL190" s="636">
        <v>0</v>
      </c>
      <c r="CM190" s="636">
        <v>0</v>
      </c>
      <c r="CN190" s="636">
        <v>0</v>
      </c>
      <c r="CO190" s="636">
        <v>0</v>
      </c>
      <c r="CP190" s="636">
        <v>0</v>
      </c>
      <c r="CQ190" s="636">
        <v>0</v>
      </c>
      <c r="CR190" s="636">
        <v>0</v>
      </c>
      <c r="CT190" s="636">
        <v>1.379503699425616</v>
      </c>
      <c r="CU190" s="636">
        <v>1.379503699425616</v>
      </c>
      <c r="CV190" s="636">
        <v>1.379503699425616</v>
      </c>
      <c r="CW190" s="636">
        <v>1.379503699425616</v>
      </c>
      <c r="CX190" s="636">
        <v>2.0692555491384241</v>
      </c>
      <c r="CY190" s="636">
        <v>3.969255549138424</v>
      </c>
      <c r="CZ190" s="636">
        <v>2.759007398851232</v>
      </c>
      <c r="DA190" s="636">
        <v>4.6590073988512319</v>
      </c>
      <c r="DB190" s="636">
        <v>2.759007398851232</v>
      </c>
      <c r="DC190" s="636">
        <v>1.379503699425616</v>
      </c>
      <c r="DD190" s="636">
        <v>4.6590073988512319</v>
      </c>
      <c r="DE190" s="636">
        <v>1.379503699425616</v>
      </c>
      <c r="DF190" s="390">
        <f t="shared" si="7"/>
        <v>7.4180147977024635</v>
      </c>
      <c r="DG190" s="636">
        <v>0</v>
      </c>
      <c r="DH190" s="636">
        <v>2.2448160000000001</v>
      </c>
      <c r="DI190" s="636">
        <v>1.9176</v>
      </c>
      <c r="DJ190" s="636">
        <v>2.32705275</v>
      </c>
      <c r="DK190" s="636">
        <v>0</v>
      </c>
      <c r="DL190" s="636">
        <v>0</v>
      </c>
      <c r="DM190" s="636">
        <v>0</v>
      </c>
      <c r="DN190" s="636">
        <v>0</v>
      </c>
      <c r="DO190" s="636">
        <v>0</v>
      </c>
      <c r="DP190" s="636">
        <v>0</v>
      </c>
      <c r="DQ190" s="636">
        <v>0</v>
      </c>
      <c r="DR190" s="636">
        <v>0</v>
      </c>
      <c r="FT190" s="636">
        <v>487.82999999999976</v>
      </c>
      <c r="FU190" s="636">
        <v>2000</v>
      </c>
      <c r="FV190" s="636">
        <v>461</v>
      </c>
      <c r="FW190" s="636">
        <v>-1512.1700000000003</v>
      </c>
      <c r="FY190" s="636">
        <v>6.9209392680000068</v>
      </c>
      <c r="FZ190" s="636">
        <v>29.151562890235471</v>
      </c>
      <c r="GA190" s="636">
        <v>6.4894687500000003</v>
      </c>
      <c r="GH190" s="636">
        <v>0</v>
      </c>
      <c r="GI190" s="636">
        <v>100</v>
      </c>
      <c r="GJ190" s="636">
        <v>0</v>
      </c>
      <c r="GM190" s="636">
        <v>0</v>
      </c>
      <c r="GN190" s="636">
        <v>1.379503699425616</v>
      </c>
      <c r="GO190" s="636">
        <v>0</v>
      </c>
      <c r="GV190" s="213"/>
    </row>
    <row r="191" spans="1:204" ht="12.75" customHeight="1">
      <c r="A191" s="213"/>
      <c r="B191" s="213"/>
      <c r="C191" s="213"/>
      <c r="D191" s="206" t="s">
        <v>21</v>
      </c>
      <c r="G191" s="665">
        <v>1886.5600000000009</v>
      </c>
      <c r="H191" s="665">
        <v>1681.7899999999997</v>
      </c>
      <c r="I191" s="665">
        <v>1392.46</v>
      </c>
      <c r="J191" s="665">
        <v>1675.4599999999998</v>
      </c>
      <c r="K191" s="665">
        <v>1000.3000000000001</v>
      </c>
      <c r="L191" s="665">
        <v>0</v>
      </c>
      <c r="M191" s="665">
        <v>88.71</v>
      </c>
      <c r="N191" s="665">
        <v>355.35000000000008</v>
      </c>
      <c r="O191" s="665">
        <v>1531.8100000000006</v>
      </c>
      <c r="P191" s="665">
        <v>1170.4149999999997</v>
      </c>
      <c r="Q191" s="665">
        <v>1554.598</v>
      </c>
      <c r="R191" s="207">
        <v>2025.9500000000012</v>
      </c>
      <c r="T191" s="665">
        <v>1500</v>
      </c>
      <c r="U191" s="665">
        <v>1600</v>
      </c>
      <c r="V191" s="665">
        <v>1500</v>
      </c>
      <c r="W191" s="665">
        <v>900</v>
      </c>
      <c r="X191" s="665">
        <v>1450</v>
      </c>
      <c r="Y191" s="665">
        <v>1450</v>
      </c>
      <c r="Z191" s="665">
        <v>1500</v>
      </c>
      <c r="AA191" s="665">
        <v>1100</v>
      </c>
      <c r="AB191" s="665">
        <v>1500</v>
      </c>
      <c r="AC191" s="665">
        <v>1400</v>
      </c>
      <c r="AD191" s="665">
        <v>1800</v>
      </c>
      <c r="AE191" s="665">
        <v>1400</v>
      </c>
      <c r="AG191" s="665">
        <v>0</v>
      </c>
      <c r="AH191" s="665">
        <v>1360</v>
      </c>
      <c r="AI191" s="665">
        <v>1536</v>
      </c>
      <c r="AJ191" s="665">
        <v>1665</v>
      </c>
      <c r="AK191" s="665">
        <v>990</v>
      </c>
      <c r="AL191" s="665">
        <v>0</v>
      </c>
      <c r="AM191" s="665">
        <v>0</v>
      </c>
      <c r="AN191" s="665">
        <v>350</v>
      </c>
      <c r="AO191" s="665">
        <v>1500</v>
      </c>
      <c r="AP191" s="665">
        <v>1031</v>
      </c>
      <c r="AQ191" s="665">
        <v>2000</v>
      </c>
      <c r="AR191" s="665">
        <v>2000</v>
      </c>
      <c r="CG191" s="667">
        <v>12.086959141999994</v>
      </c>
      <c r="CH191" s="667">
        <v>11.841642609000001</v>
      </c>
      <c r="CI191" s="667">
        <v>8.6909505990000024</v>
      </c>
      <c r="CJ191" s="667">
        <v>11.051117762000004</v>
      </c>
      <c r="CK191" s="667">
        <v>5.8786057999999999</v>
      </c>
      <c r="CL191" s="667">
        <v>0</v>
      </c>
      <c r="CM191" s="667">
        <v>0.42580800000000002</v>
      </c>
      <c r="CN191" s="667">
        <v>1.7056800000000001</v>
      </c>
      <c r="CO191" s="667">
        <v>7.3614853</v>
      </c>
      <c r="CP191" s="667">
        <v>5.961018546</v>
      </c>
      <c r="CQ191" s="667">
        <v>8.000386160999998</v>
      </c>
      <c r="CR191" s="667">
        <v>10.643767009999996</v>
      </c>
      <c r="CT191" s="667">
        <v>9.9110036994256152</v>
      </c>
      <c r="CU191" s="667">
        <v>10.781003699425614</v>
      </c>
      <c r="CV191" s="667">
        <v>9.9110036994256152</v>
      </c>
      <c r="CW191" s="667">
        <v>6.4271849513093384</v>
      </c>
      <c r="CX191" s="667">
        <v>10.281272973493124</v>
      </c>
      <c r="CY191" s="667">
        <v>11.553491280355544</v>
      </c>
      <c r="CZ191" s="667">
        <v>10.971024823205932</v>
      </c>
      <c r="DA191" s="667">
        <v>9.7066886507349537</v>
      </c>
      <c r="DB191" s="667">
        <v>10.971024823205932</v>
      </c>
      <c r="DC191" s="667">
        <v>9.591521123780316</v>
      </c>
      <c r="DD191" s="667">
        <v>14.136759292194323</v>
      </c>
      <c r="DE191" s="667">
        <v>9.591521123780316</v>
      </c>
      <c r="DF191" s="390">
        <f t="shared" si="7"/>
        <v>33.319801539754955</v>
      </c>
      <c r="DG191" s="667">
        <v>0</v>
      </c>
      <c r="DH191" s="667">
        <v>9.8058160000000001</v>
      </c>
      <c r="DI191" s="667">
        <v>10.4191</v>
      </c>
      <c r="DJ191" s="667">
        <v>10.89805275</v>
      </c>
      <c r="DK191" s="667">
        <v>5.7896999999999998</v>
      </c>
      <c r="DL191" s="667">
        <v>0</v>
      </c>
      <c r="DM191" s="667">
        <v>0</v>
      </c>
      <c r="DN191" s="667">
        <v>1.68</v>
      </c>
      <c r="DO191" s="667">
        <v>7.2349999999999994</v>
      </c>
      <c r="DP191" s="667">
        <v>5.0167700000000002</v>
      </c>
      <c r="DQ191" s="667">
        <v>9.6875</v>
      </c>
      <c r="DR191" s="667">
        <v>9.6875</v>
      </c>
      <c r="FT191" s="667">
        <v>14363.403000000004</v>
      </c>
      <c r="FU191" s="667">
        <v>17100</v>
      </c>
      <c r="FV191" s="667">
        <v>12432</v>
      </c>
      <c r="FW191" s="667">
        <v>-2736.5969999999961</v>
      </c>
      <c r="FY191" s="667">
        <v>83.647420928999992</v>
      </c>
      <c r="FZ191" s="667">
        <v>123.83350014033662</v>
      </c>
      <c r="GA191" s="667">
        <v>70.219438749999995</v>
      </c>
      <c r="GH191" s="667">
        <v>2025.9500000000012</v>
      </c>
      <c r="GI191" s="667">
        <v>1400</v>
      </c>
      <c r="GJ191" s="667">
        <v>2000</v>
      </c>
      <c r="GM191" s="667">
        <v>10.643767009999996</v>
      </c>
      <c r="GN191" s="667">
        <v>9.591521123780316</v>
      </c>
      <c r="GO191" s="667">
        <v>9.6875</v>
      </c>
      <c r="GV191" s="213"/>
    </row>
    <row r="192" spans="1:204" ht="12.75" customHeight="1">
      <c r="A192" s="213"/>
      <c r="B192" s="213"/>
      <c r="C192" s="213"/>
      <c r="D192" s="649" t="s">
        <v>136</v>
      </c>
      <c r="E192" s="649" t="s">
        <v>26</v>
      </c>
      <c r="G192" s="208">
        <v>704.28899999999987</v>
      </c>
      <c r="H192" s="208">
        <v>1069.52</v>
      </c>
      <c r="I192" s="208">
        <v>974.27900000000011</v>
      </c>
      <c r="J192" s="208">
        <v>918.60699999999997</v>
      </c>
      <c r="K192" s="208">
        <v>1094.9559999999994</v>
      </c>
      <c r="L192" s="208">
        <v>547.26100000000008</v>
      </c>
      <c r="M192" s="208">
        <v>603.02599999999995</v>
      </c>
      <c r="N192" s="208">
        <v>563.74799999999993</v>
      </c>
      <c r="O192" s="208">
        <v>584.86400000000003</v>
      </c>
      <c r="P192" s="208">
        <v>650.40600000000006</v>
      </c>
      <c r="Q192" s="208">
        <v>752.053</v>
      </c>
      <c r="R192" s="208">
        <v>698.48599999999988</v>
      </c>
      <c r="S192" s="208">
        <v>2036.6838065591014</v>
      </c>
      <c r="T192" s="208">
        <v>679.65619447751465</v>
      </c>
      <c r="U192" s="208">
        <v>1445.7960860207015</v>
      </c>
      <c r="V192" s="208">
        <v>1003.6166218394511</v>
      </c>
      <c r="W192" s="208">
        <v>1169.8923928695042</v>
      </c>
      <c r="X192" s="208">
        <v>880.16487269143477</v>
      </c>
      <c r="Y192" s="208">
        <v>892.28493466812733</v>
      </c>
      <c r="Z192" s="208">
        <v>710.62611041949503</v>
      </c>
      <c r="AA192" s="208">
        <v>918.81448883686369</v>
      </c>
      <c r="AB192" s="208">
        <v>700.46344918632576</v>
      </c>
      <c r="AC192" s="208">
        <v>862.47775351303221</v>
      </c>
      <c r="AD192" s="208">
        <v>761.18201093026357</v>
      </c>
      <c r="AE192" s="208">
        <v>830.02508454728786</v>
      </c>
      <c r="AF192" s="208">
        <v>0</v>
      </c>
      <c r="AG192" s="208">
        <v>0</v>
      </c>
      <c r="AH192" s="208">
        <v>1154.4045999999998</v>
      </c>
      <c r="AI192" s="208">
        <v>1156.2402</v>
      </c>
      <c r="AJ192" s="208">
        <v>916.67870000000005</v>
      </c>
      <c r="AK192" s="208">
        <v>1079.7955999999999</v>
      </c>
      <c r="AL192" s="208">
        <v>737.72249999999997</v>
      </c>
      <c r="AM192" s="208">
        <v>721.03769999999997</v>
      </c>
      <c r="AN192" s="208">
        <v>520</v>
      </c>
      <c r="AO192" s="208">
        <v>567</v>
      </c>
      <c r="AP192" s="208">
        <v>558</v>
      </c>
      <c r="AQ192" s="208">
        <v>635</v>
      </c>
      <c r="AR192" s="208">
        <v>644.55999999999995</v>
      </c>
      <c r="AS192" s="671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208"/>
      <c r="BT192" s="208"/>
      <c r="BU192" s="208"/>
      <c r="BV192" s="208"/>
      <c r="BW192" s="208"/>
      <c r="BX192" s="208"/>
      <c r="BY192" s="208"/>
      <c r="BZ192" s="208"/>
      <c r="CA192" s="208"/>
      <c r="CB192" s="208"/>
      <c r="CC192" s="208"/>
      <c r="CD192" s="208"/>
      <c r="CE192" s="208"/>
      <c r="CF192" s="208"/>
      <c r="CG192" s="636">
        <v>9.0299543930000006</v>
      </c>
      <c r="CH192" s="636">
        <v>13.460395742000001</v>
      </c>
      <c r="CI192" s="636">
        <v>12.113087945999998</v>
      </c>
      <c r="CJ192" s="636">
        <v>11.515752967999999</v>
      </c>
      <c r="CK192" s="636">
        <v>13.238176803</v>
      </c>
      <c r="CL192" s="636">
        <v>7.3334805990000014</v>
      </c>
      <c r="CM192" s="636">
        <v>7.8476563090000022</v>
      </c>
      <c r="CN192" s="636">
        <v>7.2799011490000005</v>
      </c>
      <c r="CO192" s="636">
        <v>7.5032249719999999</v>
      </c>
      <c r="CP192" s="636">
        <v>8.3825466999999989</v>
      </c>
      <c r="CQ192" s="636">
        <v>9.7635681339999998</v>
      </c>
      <c r="CR192" s="636">
        <v>8.9841293479999997</v>
      </c>
      <c r="CS192" s="208"/>
      <c r="CT192" s="636">
        <v>8.1720856440432854</v>
      </c>
      <c r="CU192" s="636">
        <v>17.378920556819025</v>
      </c>
      <c r="CV192" s="636">
        <v>12.014539535101669</v>
      </c>
      <c r="CW192" s="636">
        <v>14.277650744396086</v>
      </c>
      <c r="CX192" s="636">
        <v>10.669417548640176</v>
      </c>
      <c r="CY192" s="636">
        <v>10.496023407065683</v>
      </c>
      <c r="CZ192" s="636">
        <v>8.5490298810525847</v>
      </c>
      <c r="DA192" s="636">
        <v>11.494751635808917</v>
      </c>
      <c r="DB192" s="636">
        <v>8.4975428281041143</v>
      </c>
      <c r="DC192" s="636">
        <v>10.350382688761623</v>
      </c>
      <c r="DD192" s="636">
        <v>9.2344119238465279</v>
      </c>
      <c r="DE192" s="636">
        <v>10.272292868858177</v>
      </c>
      <c r="DF192" s="390">
        <f t="shared" si="7"/>
        <v>29.857087481466326</v>
      </c>
      <c r="DG192" s="636">
        <v>0</v>
      </c>
      <c r="DH192" s="636">
        <v>14.543755789136139</v>
      </c>
      <c r="DI192" s="636">
        <v>14.339136978881351</v>
      </c>
      <c r="DJ192" s="636">
        <v>11.905781096823047</v>
      </c>
      <c r="DK192" s="636">
        <v>13.152903439215908</v>
      </c>
      <c r="DL192" s="636">
        <v>9.5546337566248294</v>
      </c>
      <c r="DM192" s="636">
        <v>9.4238308147088112</v>
      </c>
      <c r="DN192" s="636">
        <v>6.7807233937392706</v>
      </c>
      <c r="DO192" s="636">
        <v>7.4963136672754507</v>
      </c>
      <c r="DP192" s="636">
        <v>7.3955810162936473</v>
      </c>
      <c r="DQ192" s="636">
        <v>8.3527432201606597</v>
      </c>
      <c r="DR192" s="636">
        <v>8.234025750932604</v>
      </c>
      <c r="FT192" s="636">
        <v>9161.4950000000008</v>
      </c>
      <c r="FU192" s="636">
        <v>10855.000000000002</v>
      </c>
      <c r="FV192" s="636">
        <v>8690.4393000000018</v>
      </c>
      <c r="FW192" s="636">
        <v>-1693.5050000000022</v>
      </c>
      <c r="FX192" s="208"/>
      <c r="FY192" s="636">
        <v>116.451875063</v>
      </c>
      <c r="FZ192" s="636">
        <v>131.40704926249788</v>
      </c>
      <c r="GA192" s="636">
        <v>111.1794289237917</v>
      </c>
      <c r="GB192" s="208"/>
      <c r="GC192" s="208"/>
      <c r="GD192" s="208"/>
      <c r="GE192" s="208"/>
      <c r="GF192" s="208"/>
      <c r="GG192" s="208"/>
      <c r="GH192" s="636">
        <v>698.48599999999988</v>
      </c>
      <c r="GI192" s="636">
        <v>830.02508454728786</v>
      </c>
      <c r="GJ192" s="636">
        <v>644.55999999999995</v>
      </c>
      <c r="GK192" s="208"/>
      <c r="GL192" s="208"/>
      <c r="GM192" s="636">
        <v>8.9841293479999997</v>
      </c>
      <c r="GN192" s="636">
        <v>10.272292868858177</v>
      </c>
      <c r="GO192" s="636">
        <v>8.234025750932604</v>
      </c>
      <c r="GP192" s="208"/>
      <c r="GQ192" s="208"/>
      <c r="GR192" s="208"/>
      <c r="GS192" s="208"/>
      <c r="GT192" s="208"/>
      <c r="GU192" s="208"/>
      <c r="GV192" s="213"/>
    </row>
    <row r="193" spans="1:204" ht="12.75" customHeight="1">
      <c r="A193" s="213"/>
      <c r="B193" s="213"/>
      <c r="C193" s="213"/>
      <c r="D193" s="649" t="s">
        <v>216</v>
      </c>
      <c r="E193" s="649" t="s">
        <v>216</v>
      </c>
      <c r="G193" s="208">
        <v>0</v>
      </c>
      <c r="H193" s="208">
        <v>0</v>
      </c>
      <c r="I193" s="208">
        <v>140.64999999999998</v>
      </c>
      <c r="J193" s="208">
        <v>0</v>
      </c>
      <c r="K193" s="208">
        <v>0</v>
      </c>
      <c r="L193" s="208">
        <v>0</v>
      </c>
      <c r="M193" s="208">
        <v>0</v>
      </c>
      <c r="N193" s="208">
        <v>0</v>
      </c>
      <c r="O193" s="208">
        <v>0</v>
      </c>
      <c r="P193" s="208">
        <v>0</v>
      </c>
      <c r="Q193" s="208">
        <v>0</v>
      </c>
      <c r="R193" s="208">
        <v>0</v>
      </c>
      <c r="S193" s="208">
        <v>0</v>
      </c>
      <c r="T193" s="208">
        <v>0</v>
      </c>
      <c r="U193" s="208">
        <v>0</v>
      </c>
      <c r="V193" s="208">
        <v>0</v>
      </c>
      <c r="W193" s="208">
        <v>0</v>
      </c>
      <c r="X193" s="208">
        <v>0</v>
      </c>
      <c r="Y193" s="208">
        <v>0</v>
      </c>
      <c r="Z193" s="208">
        <v>0</v>
      </c>
      <c r="AA193" s="208">
        <v>0</v>
      </c>
      <c r="AB193" s="208">
        <v>0</v>
      </c>
      <c r="AC193" s="208">
        <v>0</v>
      </c>
      <c r="AD193" s="208">
        <v>0</v>
      </c>
      <c r="AE193" s="208">
        <v>0</v>
      </c>
      <c r="AF193" s="208">
        <v>0</v>
      </c>
      <c r="AG193" s="208">
        <v>0</v>
      </c>
      <c r="AH193" s="208">
        <v>0</v>
      </c>
      <c r="AI193" s="208">
        <v>140</v>
      </c>
      <c r="AJ193" s="208">
        <v>0.27810000000000001</v>
      </c>
      <c r="AK193" s="208">
        <v>0</v>
      </c>
      <c r="AL193" s="208">
        <v>0</v>
      </c>
      <c r="AM193" s="208">
        <v>0</v>
      </c>
      <c r="AN193" s="208">
        <v>0</v>
      </c>
      <c r="AO193" s="208">
        <v>0</v>
      </c>
      <c r="AP193" s="208">
        <v>0</v>
      </c>
      <c r="AQ193" s="208">
        <v>0</v>
      </c>
      <c r="AR193" s="208">
        <v>0</v>
      </c>
      <c r="AS193" s="671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H193" s="208"/>
      <c r="BI193" s="208"/>
      <c r="BJ193" s="208"/>
      <c r="BK193" s="208"/>
      <c r="BL193" s="208"/>
      <c r="BM193" s="208"/>
      <c r="BN193" s="208"/>
      <c r="BO193" s="208"/>
      <c r="BP193" s="208"/>
      <c r="BQ193" s="208"/>
      <c r="BR193" s="208"/>
      <c r="BS193" s="208"/>
      <c r="BT193" s="208"/>
      <c r="BU193" s="208"/>
      <c r="BV193" s="208"/>
      <c r="BW193" s="208"/>
      <c r="BX193" s="208"/>
      <c r="BY193" s="208"/>
      <c r="BZ193" s="208"/>
      <c r="CA193" s="208"/>
      <c r="CB193" s="208"/>
      <c r="CC193" s="208"/>
      <c r="CD193" s="208"/>
      <c r="CE193" s="208"/>
      <c r="CF193" s="208"/>
      <c r="CG193" s="636">
        <v>0</v>
      </c>
      <c r="CH193" s="636">
        <v>0</v>
      </c>
      <c r="CI193" s="636">
        <v>1.22892588</v>
      </c>
      <c r="CJ193" s="636">
        <v>0</v>
      </c>
      <c r="CK193" s="636">
        <v>0</v>
      </c>
      <c r="CL193" s="636">
        <v>0</v>
      </c>
      <c r="CM193" s="636">
        <v>0</v>
      </c>
      <c r="CN193" s="636">
        <v>0</v>
      </c>
      <c r="CO193" s="636">
        <v>0</v>
      </c>
      <c r="CP193" s="636">
        <v>0</v>
      </c>
      <c r="CQ193" s="636">
        <v>0</v>
      </c>
      <c r="CR193" s="636">
        <v>0</v>
      </c>
      <c r="CS193" s="208"/>
      <c r="CT193" s="636">
        <v>0</v>
      </c>
      <c r="CU193" s="636">
        <v>0</v>
      </c>
      <c r="CV193" s="636">
        <v>0</v>
      </c>
      <c r="CW193" s="636">
        <v>0</v>
      </c>
      <c r="CX193" s="636">
        <v>0</v>
      </c>
      <c r="CY193" s="636">
        <v>0</v>
      </c>
      <c r="CZ193" s="636">
        <v>0</v>
      </c>
      <c r="DA193" s="636">
        <v>0</v>
      </c>
      <c r="DB193" s="636">
        <v>0</v>
      </c>
      <c r="DC193" s="636">
        <v>0</v>
      </c>
      <c r="DD193" s="636">
        <v>0</v>
      </c>
      <c r="DE193" s="636">
        <v>0</v>
      </c>
      <c r="DF193" s="390">
        <f t="shared" si="7"/>
        <v>0</v>
      </c>
      <c r="DG193" s="636">
        <v>0</v>
      </c>
      <c r="DH193" s="636">
        <v>0</v>
      </c>
      <c r="DI193" s="636">
        <v>1.2232541385769591</v>
      </c>
      <c r="DJ193" s="636">
        <v>2.7156346208126792E-3</v>
      </c>
      <c r="DK193" s="636">
        <v>0</v>
      </c>
      <c r="DL193" s="636">
        <v>0</v>
      </c>
      <c r="DM193" s="636">
        <v>0</v>
      </c>
      <c r="DN193" s="636">
        <v>0</v>
      </c>
      <c r="DO193" s="636">
        <v>0</v>
      </c>
      <c r="DP193" s="636">
        <v>0</v>
      </c>
      <c r="DQ193" s="636">
        <v>0</v>
      </c>
      <c r="DR193" s="636">
        <v>0</v>
      </c>
      <c r="FT193" s="636">
        <v>140.64999999999998</v>
      </c>
      <c r="FU193" s="636">
        <v>0</v>
      </c>
      <c r="FV193" s="636">
        <v>140.27809999999999</v>
      </c>
      <c r="FW193" s="636">
        <v>140.64999999999998</v>
      </c>
      <c r="FX193" s="208"/>
      <c r="FY193" s="636">
        <v>1.22892588</v>
      </c>
      <c r="FZ193" s="636">
        <v>0</v>
      </c>
      <c r="GA193" s="636">
        <v>1.2259697731977717</v>
      </c>
      <c r="GB193" s="208"/>
      <c r="GC193" s="208"/>
      <c r="GD193" s="208"/>
      <c r="GE193" s="208"/>
      <c r="GF193" s="208"/>
      <c r="GG193" s="208"/>
      <c r="GH193" s="636">
        <v>0</v>
      </c>
      <c r="GI193" s="636">
        <v>0</v>
      </c>
      <c r="GJ193" s="636">
        <v>0</v>
      </c>
      <c r="GK193" s="208"/>
      <c r="GL193" s="208"/>
      <c r="GM193" s="636">
        <v>0</v>
      </c>
      <c r="GN193" s="636">
        <v>0</v>
      </c>
      <c r="GO193" s="636">
        <v>0</v>
      </c>
      <c r="GP193" s="208"/>
      <c r="GQ193" s="208"/>
      <c r="GR193" s="208"/>
      <c r="GS193" s="208"/>
      <c r="GT193" s="208"/>
      <c r="GU193" s="208"/>
      <c r="GV193" s="213"/>
    </row>
    <row r="194" spans="1:204" ht="12.75" customHeight="1">
      <c r="A194" s="213"/>
      <c r="B194" s="213"/>
      <c r="C194" s="213"/>
      <c r="D194" s="649" t="s">
        <v>27</v>
      </c>
      <c r="E194" s="649" t="s">
        <v>356</v>
      </c>
      <c r="G194" s="208">
        <v>150.76600000000002</v>
      </c>
      <c r="H194" s="208">
        <v>85.460999999999999</v>
      </c>
      <c r="I194" s="208">
        <v>88.311999999999983</v>
      </c>
      <c r="J194" s="208">
        <v>187.98700000000002</v>
      </c>
      <c r="K194" s="208">
        <v>240.745</v>
      </c>
      <c r="L194" s="208">
        <v>121.273</v>
      </c>
      <c r="M194" s="208">
        <v>62.294999999999987</v>
      </c>
      <c r="N194" s="208">
        <v>0</v>
      </c>
      <c r="O194" s="208">
        <v>0</v>
      </c>
      <c r="P194" s="208">
        <v>0</v>
      </c>
      <c r="Q194" s="208">
        <v>0</v>
      </c>
      <c r="R194" s="208">
        <v>0</v>
      </c>
      <c r="S194" s="208">
        <v>368.64908761691208</v>
      </c>
      <c r="T194" s="208">
        <v>112.5</v>
      </c>
      <c r="U194" s="208">
        <v>78</v>
      </c>
      <c r="V194" s="208">
        <v>67.5</v>
      </c>
      <c r="W194" s="208">
        <v>50</v>
      </c>
      <c r="X194" s="208">
        <v>250</v>
      </c>
      <c r="Y194" s="208">
        <v>100</v>
      </c>
      <c r="Z194" s="208">
        <v>100</v>
      </c>
      <c r="AA194" s="208">
        <v>50</v>
      </c>
      <c r="AB194" s="208">
        <v>50</v>
      </c>
      <c r="AC194" s="208">
        <v>50</v>
      </c>
      <c r="AD194" s="208">
        <v>50</v>
      </c>
      <c r="AE194" s="208">
        <v>50</v>
      </c>
      <c r="AF194" s="208">
        <v>0</v>
      </c>
      <c r="AG194" s="208">
        <v>0</v>
      </c>
      <c r="AH194" s="208">
        <v>110.2727</v>
      </c>
      <c r="AI194" s="208">
        <v>92</v>
      </c>
      <c r="AJ194" s="208">
        <v>199.91</v>
      </c>
      <c r="AK194" s="208">
        <v>242.25880000000001</v>
      </c>
      <c r="AL194" s="208">
        <v>100.4752</v>
      </c>
      <c r="AM194" s="208">
        <v>61</v>
      </c>
      <c r="AN194" s="208">
        <v>80</v>
      </c>
      <c r="AO194" s="208">
        <v>0</v>
      </c>
      <c r="AP194" s="208">
        <v>148.66649999999998</v>
      </c>
      <c r="AQ194" s="208">
        <v>151</v>
      </c>
      <c r="AR194" s="208">
        <v>360</v>
      </c>
      <c r="AS194" s="671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H194" s="208"/>
      <c r="BI194" s="208"/>
      <c r="BJ194" s="208"/>
      <c r="BK194" s="208"/>
      <c r="BL194" s="208"/>
      <c r="BM194" s="208"/>
      <c r="BN194" s="208"/>
      <c r="BO194" s="208"/>
      <c r="BP194" s="208"/>
      <c r="BQ194" s="208"/>
      <c r="BR194" s="208"/>
      <c r="BS194" s="208"/>
      <c r="BT194" s="208"/>
      <c r="BU194" s="208"/>
      <c r="BV194" s="208"/>
      <c r="BW194" s="208"/>
      <c r="BX194" s="208"/>
      <c r="BY194" s="208"/>
      <c r="BZ194" s="208"/>
      <c r="CA194" s="208"/>
      <c r="CB194" s="208"/>
      <c r="CC194" s="208"/>
      <c r="CD194" s="208"/>
      <c r="CE194" s="208"/>
      <c r="CF194" s="208"/>
      <c r="CG194" s="636">
        <v>2.0146652159999996</v>
      </c>
      <c r="CH194" s="636">
        <v>1.139472</v>
      </c>
      <c r="CI194" s="636">
        <v>1.1774880000000001</v>
      </c>
      <c r="CJ194" s="636">
        <v>2.4343271999999998</v>
      </c>
      <c r="CK194" s="636">
        <v>3.089915424</v>
      </c>
      <c r="CL194" s="636">
        <v>1.5474460320000001</v>
      </c>
      <c r="CM194" s="636">
        <v>0.82406563199999994</v>
      </c>
      <c r="CN194" s="636">
        <v>0</v>
      </c>
      <c r="CO194" s="636">
        <v>0</v>
      </c>
      <c r="CP194" s="636">
        <v>0</v>
      </c>
      <c r="CQ194" s="636">
        <v>0</v>
      </c>
      <c r="CR194" s="636">
        <v>0</v>
      </c>
      <c r="CS194" s="208"/>
      <c r="CT194" s="636">
        <v>1.6131538890266401</v>
      </c>
      <c r="CU194" s="636">
        <v>1.1184533630584705</v>
      </c>
      <c r="CV194" s="636">
        <v>0.96789233341598413</v>
      </c>
      <c r="CW194" s="636">
        <v>0.71695728401184011</v>
      </c>
      <c r="CX194" s="636">
        <v>3.5847864200592006</v>
      </c>
      <c r="CY194" s="636">
        <v>1.4339145680236802</v>
      </c>
      <c r="CZ194" s="636">
        <v>1.4339145680236802</v>
      </c>
      <c r="DA194" s="636">
        <v>0.71695728401184011</v>
      </c>
      <c r="DB194" s="636">
        <v>0.71695728401184011</v>
      </c>
      <c r="DC194" s="636">
        <v>0.71695728401184011</v>
      </c>
      <c r="DD194" s="636">
        <v>0.71695728401184011</v>
      </c>
      <c r="DE194" s="636">
        <v>0.71695728401184011</v>
      </c>
      <c r="DF194" s="390">
        <f t="shared" si="7"/>
        <v>2.1508718520355203</v>
      </c>
      <c r="DG194" s="636">
        <v>0</v>
      </c>
      <c r="DH194" s="636">
        <v>1.5674651654550207</v>
      </c>
      <c r="DI194" s="636">
        <v>1.3077288868583237</v>
      </c>
      <c r="DJ194" s="636">
        <v>2.8416095844766032</v>
      </c>
      <c r="DK194" s="636">
        <v>3.1090482924632821</v>
      </c>
      <c r="DL194" s="636">
        <v>1.2820067181912935</v>
      </c>
      <c r="DM194" s="636">
        <v>0.80759434349882298</v>
      </c>
      <c r="DN194" s="636">
        <v>1.0666666666666669</v>
      </c>
      <c r="DO194" s="636">
        <v>0</v>
      </c>
      <c r="DP194" s="636">
        <v>0.8777270159999998</v>
      </c>
      <c r="DQ194" s="636">
        <v>1.1893144444223731</v>
      </c>
      <c r="DR194" s="636">
        <v>2.8202400000000001</v>
      </c>
      <c r="FT194" s="636">
        <v>936.83900000000006</v>
      </c>
      <c r="FU194" s="636">
        <v>1008</v>
      </c>
      <c r="FV194" s="636">
        <v>1545.5831999999998</v>
      </c>
      <c r="FW194" s="636">
        <v>-71.160999999999945</v>
      </c>
      <c r="FX194" s="208"/>
      <c r="FY194" s="636">
        <v>12.227379503999998</v>
      </c>
      <c r="FZ194" s="636">
        <v>14.453858845678699</v>
      </c>
      <c r="GA194" s="636">
        <v>16.869401118032386</v>
      </c>
      <c r="GB194" s="208"/>
      <c r="GC194" s="208"/>
      <c r="GD194" s="208"/>
      <c r="GE194" s="208"/>
      <c r="GF194" s="208"/>
      <c r="GG194" s="208"/>
      <c r="GH194" s="636">
        <v>0</v>
      </c>
      <c r="GI194" s="636">
        <v>50</v>
      </c>
      <c r="GJ194" s="636">
        <v>360</v>
      </c>
      <c r="GK194" s="208"/>
      <c r="GL194" s="208"/>
      <c r="GM194" s="636">
        <v>0</v>
      </c>
      <c r="GN194" s="636">
        <v>0.71695728401184011</v>
      </c>
      <c r="GO194" s="636">
        <v>2.8202400000000001</v>
      </c>
      <c r="GP194" s="208"/>
      <c r="GQ194" s="208"/>
      <c r="GR194" s="208"/>
      <c r="GS194" s="208"/>
      <c r="GT194" s="208"/>
      <c r="GU194" s="208"/>
      <c r="GV194" s="213"/>
    </row>
    <row r="195" spans="1:204" ht="12.75" customHeight="1">
      <c r="A195" s="213"/>
      <c r="B195" s="213"/>
      <c r="C195" s="213"/>
      <c r="D195" s="649" t="s">
        <v>210</v>
      </c>
      <c r="E195" s="649" t="s">
        <v>357</v>
      </c>
      <c r="G195" s="208">
        <v>62.766999999999996</v>
      </c>
      <c r="H195" s="208">
        <v>29.857000000000003</v>
      </c>
      <c r="I195" s="208">
        <v>209.03900000000002</v>
      </c>
      <c r="J195" s="208">
        <v>116.04499999999999</v>
      </c>
      <c r="K195" s="208">
        <v>45.662999999999997</v>
      </c>
      <c r="L195" s="208">
        <v>120.373</v>
      </c>
      <c r="M195" s="208">
        <v>95.847999999999999</v>
      </c>
      <c r="N195" s="208">
        <v>12.902000000000001</v>
      </c>
      <c r="O195" s="208">
        <v>63.226000000000013</v>
      </c>
      <c r="P195" s="208">
        <v>163.25400000000002</v>
      </c>
      <c r="Q195" s="208">
        <v>15.432</v>
      </c>
      <c r="R195" s="208">
        <v>145.07300000000001</v>
      </c>
      <c r="S195" s="208">
        <v>132.33519181213498</v>
      </c>
      <c r="T195" s="208">
        <v>70.335000000000008</v>
      </c>
      <c r="U195" s="208">
        <v>25.747</v>
      </c>
      <c r="V195" s="208">
        <v>148.41799999999998</v>
      </c>
      <c r="W195" s="208">
        <v>69.391999999999996</v>
      </c>
      <c r="X195" s="208">
        <v>0</v>
      </c>
      <c r="Y195" s="208">
        <v>90.778000000000006</v>
      </c>
      <c r="Z195" s="208">
        <v>148.67199999999997</v>
      </c>
      <c r="AA195" s="208">
        <v>0</v>
      </c>
      <c r="AB195" s="208">
        <v>181.82499999999999</v>
      </c>
      <c r="AC195" s="208">
        <v>239.54000000000005</v>
      </c>
      <c r="AD195" s="208">
        <v>66.7</v>
      </c>
      <c r="AE195" s="208">
        <v>60.150999999999989</v>
      </c>
      <c r="AF195" s="208">
        <v>0</v>
      </c>
      <c r="AG195" s="208">
        <v>0</v>
      </c>
      <c r="AH195" s="208">
        <v>57</v>
      </c>
      <c r="AI195" s="208">
        <v>192.77936</v>
      </c>
      <c r="AJ195" s="208">
        <v>118.09819999999999</v>
      </c>
      <c r="AK195" s="208">
        <v>45.38</v>
      </c>
      <c r="AL195" s="208">
        <v>186.56100000000001</v>
      </c>
      <c r="AM195" s="208">
        <v>94</v>
      </c>
      <c r="AN195" s="208">
        <v>0</v>
      </c>
      <c r="AO195" s="208">
        <v>50</v>
      </c>
      <c r="AP195" s="208">
        <v>176.54</v>
      </c>
      <c r="AQ195" s="208">
        <v>45</v>
      </c>
      <c r="AR195" s="208">
        <v>129.2304</v>
      </c>
      <c r="AS195" s="671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H195" s="208"/>
      <c r="BI195" s="208"/>
      <c r="BJ195" s="208"/>
      <c r="BK195" s="208"/>
      <c r="BL195" s="208"/>
      <c r="BM195" s="208"/>
      <c r="BN195" s="208"/>
      <c r="BO195" s="208"/>
      <c r="BP195" s="208"/>
      <c r="BQ195" s="208"/>
      <c r="BR195" s="208"/>
      <c r="BS195" s="208"/>
      <c r="BT195" s="208"/>
      <c r="BU195" s="208"/>
      <c r="BV195" s="208"/>
      <c r="BW195" s="208"/>
      <c r="BX195" s="208"/>
      <c r="BY195" s="208"/>
      <c r="BZ195" s="208"/>
      <c r="CA195" s="208"/>
      <c r="CB195" s="208"/>
      <c r="CC195" s="208"/>
      <c r="CD195" s="208"/>
      <c r="CE195" s="208"/>
      <c r="CF195" s="208"/>
      <c r="CG195" s="636">
        <v>1.004864448</v>
      </c>
      <c r="CH195" s="636">
        <v>0.47799456000000001</v>
      </c>
      <c r="CI195" s="636">
        <v>3.3478020480000001</v>
      </c>
      <c r="CJ195" s="636">
        <v>1.8590376960000001</v>
      </c>
      <c r="CK195" s="636">
        <v>0.71344123199999987</v>
      </c>
      <c r="CL195" s="636">
        <v>1.9375410419999994</v>
      </c>
      <c r="CM195" s="636">
        <v>1.5507947520000001</v>
      </c>
      <c r="CN195" s="636">
        <v>0.20876083200000001</v>
      </c>
      <c r="CO195" s="636">
        <v>1.022990208</v>
      </c>
      <c r="CP195" s="636">
        <v>2.6415079680000009</v>
      </c>
      <c r="CQ195" s="636">
        <v>0.21639648</v>
      </c>
      <c r="CR195" s="636">
        <v>2.3473167360000002</v>
      </c>
      <c r="CS195" s="208"/>
      <c r="CT195" s="636">
        <v>1.0187159630717459</v>
      </c>
      <c r="CU195" s="636">
        <v>0.37276117020418553</v>
      </c>
      <c r="CV195" s="636">
        <v>2.1487733467730146</v>
      </c>
      <c r="CW195" s="636">
        <v>1.0050633517577074</v>
      </c>
      <c r="CX195" s="636">
        <v>0</v>
      </c>
      <c r="CY195" s="636">
        <v>1.3142701483200201</v>
      </c>
      <c r="CZ195" s="636">
        <v>2.1528671958478083</v>
      </c>
      <c r="DA195" s="636">
        <v>0</v>
      </c>
      <c r="DB195" s="636">
        <v>2.6324348379374696</v>
      </c>
      <c r="DC195" s="636">
        <v>3.4684403505498689</v>
      </c>
      <c r="DD195" s="636">
        <v>0.96567250757832679</v>
      </c>
      <c r="DE195" s="636">
        <v>0.87085707651190292</v>
      </c>
      <c r="DF195" s="390">
        <f t="shared" si="7"/>
        <v>5.3049699346400985</v>
      </c>
      <c r="DG195" s="636">
        <v>0</v>
      </c>
      <c r="DH195" s="636">
        <v>0.91234074092436912</v>
      </c>
      <c r="DI195" s="636">
        <v>3.085622177847819</v>
      </c>
      <c r="DJ195" s="636">
        <v>1.8902771805234093</v>
      </c>
      <c r="DK195" s="636">
        <v>0.72912496116657177</v>
      </c>
      <c r="DL195" s="636">
        <v>3.0078048057576185</v>
      </c>
      <c r="DM195" s="636">
        <v>1.5206345811493915</v>
      </c>
      <c r="DN195" s="636">
        <v>0</v>
      </c>
      <c r="DO195" s="636">
        <v>0.80884818146244231</v>
      </c>
      <c r="DP195" s="636">
        <v>2.8558811591075912</v>
      </c>
      <c r="DQ195" s="636">
        <v>0.70467642715095924</v>
      </c>
      <c r="DR195" s="636">
        <v>2.0762256315546388</v>
      </c>
      <c r="FT195" s="636">
        <v>1079.479</v>
      </c>
      <c r="FU195" s="636">
        <v>1101.558</v>
      </c>
      <c r="FV195" s="636">
        <v>1094.58896</v>
      </c>
      <c r="FW195" s="636">
        <v>-22.078999999999958</v>
      </c>
      <c r="FX195" s="208"/>
      <c r="FY195" s="636">
        <v>17.328448001999998</v>
      </c>
      <c r="FZ195" s="636">
        <v>15.949855948552052</v>
      </c>
      <c r="GA195" s="636">
        <v>17.59143584664481</v>
      </c>
      <c r="GB195" s="208"/>
      <c r="GC195" s="208"/>
      <c r="GD195" s="208"/>
      <c r="GE195" s="208"/>
      <c r="GF195" s="208"/>
      <c r="GG195" s="208"/>
      <c r="GH195" s="636">
        <v>145.07300000000001</v>
      </c>
      <c r="GI195" s="636">
        <v>60.150999999999989</v>
      </c>
      <c r="GJ195" s="636">
        <v>129.2304</v>
      </c>
      <c r="GK195" s="208"/>
      <c r="GL195" s="208"/>
      <c r="GM195" s="636">
        <v>2.3473167360000002</v>
      </c>
      <c r="GN195" s="636">
        <v>0.87085707651190292</v>
      </c>
      <c r="GO195" s="636">
        <v>2.0762256315546388</v>
      </c>
      <c r="GP195" s="208"/>
      <c r="GQ195" s="208"/>
      <c r="GR195" s="208"/>
      <c r="GS195" s="208"/>
      <c r="GT195" s="208"/>
      <c r="GU195" s="208"/>
      <c r="GV195" s="213"/>
    </row>
    <row r="196" spans="1:204" ht="12.75" customHeight="1">
      <c r="A196" s="213"/>
      <c r="B196" s="213"/>
      <c r="C196" s="213"/>
      <c r="D196" s="649" t="s">
        <v>49</v>
      </c>
      <c r="E196" s="649" t="s">
        <v>49</v>
      </c>
      <c r="G196" s="208">
        <v>114.64300000000003</v>
      </c>
      <c r="H196" s="208">
        <v>312.26900000000001</v>
      </c>
      <c r="I196" s="208">
        <v>175.09399999999997</v>
      </c>
      <c r="J196" s="208">
        <v>130.166</v>
      </c>
      <c r="K196" s="208">
        <v>13.079000000000001</v>
      </c>
      <c r="L196" s="208">
        <v>0</v>
      </c>
      <c r="M196" s="208">
        <v>0</v>
      </c>
      <c r="N196" s="208">
        <v>0</v>
      </c>
      <c r="O196" s="208">
        <v>16.276</v>
      </c>
      <c r="P196" s="208">
        <v>28.414999999999999</v>
      </c>
      <c r="Q196" s="208">
        <v>0</v>
      </c>
      <c r="R196" s="208">
        <v>0</v>
      </c>
      <c r="S196" s="208"/>
      <c r="T196" s="208">
        <v>235.58392831692407</v>
      </c>
      <c r="U196" s="208">
        <v>163.40756607139699</v>
      </c>
      <c r="V196" s="208">
        <v>86.764597988827902</v>
      </c>
      <c r="W196" s="208">
        <v>322.38619423305903</v>
      </c>
      <c r="X196" s="208">
        <v>172.62439036249089</v>
      </c>
      <c r="Y196" s="208">
        <v>156.61741271053785</v>
      </c>
      <c r="Z196" s="208">
        <v>90.46125596998256</v>
      </c>
      <c r="AA196" s="208">
        <v>193.90281220322731</v>
      </c>
      <c r="AB196" s="208">
        <v>126.31041512797741</v>
      </c>
      <c r="AC196" s="208">
        <v>142.05937824142731</v>
      </c>
      <c r="AD196" s="208">
        <v>9.8820487741485401</v>
      </c>
      <c r="AE196" s="208">
        <v>0</v>
      </c>
      <c r="AF196" s="208"/>
      <c r="AG196" s="208">
        <v>0</v>
      </c>
      <c r="AH196" s="208">
        <v>332.5181</v>
      </c>
      <c r="AI196" s="208">
        <v>171</v>
      </c>
      <c r="AJ196" s="208">
        <v>133.4023</v>
      </c>
      <c r="AK196" s="208">
        <v>12.0763</v>
      </c>
      <c r="AL196" s="208">
        <v>0</v>
      </c>
      <c r="AM196" s="208">
        <v>0</v>
      </c>
      <c r="AN196" s="208">
        <v>0</v>
      </c>
      <c r="AO196" s="208">
        <v>0</v>
      </c>
      <c r="AP196" s="208">
        <v>29</v>
      </c>
      <c r="AQ196" s="208">
        <v>0</v>
      </c>
      <c r="AR196" s="208">
        <v>0</v>
      </c>
      <c r="AS196" s="671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H196" s="208"/>
      <c r="BI196" s="208"/>
      <c r="BJ196" s="208"/>
      <c r="BK196" s="208"/>
      <c r="BL196" s="208"/>
      <c r="BM196" s="208"/>
      <c r="BN196" s="208"/>
      <c r="BO196" s="208"/>
      <c r="BP196" s="208"/>
      <c r="BQ196" s="208"/>
      <c r="BR196" s="208"/>
      <c r="BS196" s="208"/>
      <c r="BT196" s="208"/>
      <c r="BU196" s="208"/>
      <c r="BV196" s="208"/>
      <c r="BW196" s="208"/>
      <c r="BX196" s="208"/>
      <c r="BY196" s="208"/>
      <c r="BZ196" s="208"/>
      <c r="CA196" s="208"/>
      <c r="CB196" s="208"/>
      <c r="CC196" s="208"/>
      <c r="CD196" s="208"/>
      <c r="CE196" s="208"/>
      <c r="CF196" s="208"/>
      <c r="CG196" s="636">
        <v>1.2706080619999998</v>
      </c>
      <c r="CH196" s="636">
        <v>3.5266612360000003</v>
      </c>
      <c r="CI196" s="636">
        <v>1.9802487209999999</v>
      </c>
      <c r="CJ196" s="636">
        <v>1.5522877530000001</v>
      </c>
      <c r="CK196" s="636">
        <v>0.15618870600000001</v>
      </c>
      <c r="CL196" s="636">
        <v>0</v>
      </c>
      <c r="CM196" s="636">
        <v>0</v>
      </c>
      <c r="CN196" s="636">
        <v>0</v>
      </c>
      <c r="CO196" s="636">
        <v>0.16859110399999999</v>
      </c>
      <c r="CP196" s="636">
        <v>0.294335232</v>
      </c>
      <c r="CQ196" s="636">
        <v>0</v>
      </c>
      <c r="CR196" s="636">
        <v>0</v>
      </c>
      <c r="CS196" s="208"/>
      <c r="CT196" s="636">
        <v>2.3304320786674477</v>
      </c>
      <c r="CU196" s="636">
        <v>1.6411444121457972</v>
      </c>
      <c r="CV196" s="636">
        <v>0.87311668542914567</v>
      </c>
      <c r="CW196" s="636">
        <v>3.1423216412398522</v>
      </c>
      <c r="CX196" s="636">
        <v>1.7289973991185519</v>
      </c>
      <c r="CY196" s="636">
        <v>1.5471615436121979</v>
      </c>
      <c r="CZ196" s="636">
        <v>0.89822135831909322</v>
      </c>
      <c r="DA196" s="636">
        <v>1.8807188584778287</v>
      </c>
      <c r="DB196" s="636">
        <v>1.2817883045327525</v>
      </c>
      <c r="DC196" s="636">
        <v>1.4044333562442257</v>
      </c>
      <c r="DD196" s="636">
        <v>9.3045768310787036E-2</v>
      </c>
      <c r="DE196" s="636">
        <v>0</v>
      </c>
      <c r="DF196" s="390">
        <f t="shared" si="7"/>
        <v>1.4974791245550128</v>
      </c>
      <c r="DG196" s="636">
        <v>0</v>
      </c>
      <c r="DH196" s="636">
        <v>3.7487468241736823</v>
      </c>
      <c r="DI196" s="636">
        <v>1.9144221762075808</v>
      </c>
      <c r="DJ196" s="636">
        <v>1.5449173585561626</v>
      </c>
      <c r="DK196" s="636">
        <v>0.14703975244869213</v>
      </c>
      <c r="DL196" s="636">
        <v>0</v>
      </c>
      <c r="DM196" s="636">
        <v>0</v>
      </c>
      <c r="DN196" s="636">
        <v>0</v>
      </c>
      <c r="DO196" s="636">
        <v>0</v>
      </c>
      <c r="DP196" s="636">
        <v>0.31843607267241836</v>
      </c>
      <c r="DQ196" s="636">
        <v>0</v>
      </c>
      <c r="DR196" s="636">
        <v>0</v>
      </c>
      <c r="FT196" s="636">
        <v>789.94200000000001</v>
      </c>
      <c r="FU196" s="636">
        <v>1699.9999999999998</v>
      </c>
      <c r="FV196" s="636">
        <v>677.99669999999992</v>
      </c>
      <c r="FW196" s="636">
        <v>-910.05799999999977</v>
      </c>
      <c r="FX196" s="208"/>
      <c r="FY196" s="636">
        <v>8.9489208139999992</v>
      </c>
      <c r="FZ196" s="636">
        <v>16.821381406097682</v>
      </c>
      <c r="GA196" s="636">
        <v>7.673562184058536</v>
      </c>
      <c r="GB196" s="208"/>
      <c r="GC196" s="208"/>
      <c r="GD196" s="208"/>
      <c r="GE196" s="208"/>
      <c r="GF196" s="208"/>
      <c r="GG196" s="208"/>
      <c r="GH196" s="636">
        <v>0</v>
      </c>
      <c r="GI196" s="636">
        <v>0</v>
      </c>
      <c r="GJ196" s="636">
        <v>0</v>
      </c>
      <c r="GK196" s="208"/>
      <c r="GL196" s="208"/>
      <c r="GM196" s="636">
        <v>0</v>
      </c>
      <c r="GN196" s="636">
        <v>0</v>
      </c>
      <c r="GO196" s="636">
        <v>0</v>
      </c>
      <c r="GP196" s="208"/>
      <c r="GQ196" s="208"/>
      <c r="GR196" s="208"/>
      <c r="GS196" s="208"/>
      <c r="GT196" s="208"/>
      <c r="GU196" s="208"/>
      <c r="GV196" s="213"/>
    </row>
    <row r="197" spans="1:204" ht="12.75" customHeight="1">
      <c r="A197" s="213"/>
      <c r="B197" s="213"/>
      <c r="C197" s="213"/>
      <c r="D197" s="649" t="s">
        <v>298</v>
      </c>
      <c r="E197" s="649" t="s">
        <v>298</v>
      </c>
      <c r="G197" s="208">
        <v>57.84</v>
      </c>
      <c r="H197" s="208">
        <v>14.46</v>
      </c>
      <c r="I197" s="208">
        <v>0</v>
      </c>
      <c r="J197" s="208">
        <v>0</v>
      </c>
      <c r="K197" s="208">
        <v>0</v>
      </c>
      <c r="L197" s="208">
        <v>0</v>
      </c>
      <c r="M197" s="208">
        <v>0</v>
      </c>
      <c r="N197" s="208">
        <v>0</v>
      </c>
      <c r="O197" s="208">
        <v>0</v>
      </c>
      <c r="P197" s="208">
        <v>0</v>
      </c>
      <c r="Q197" s="208">
        <v>0</v>
      </c>
      <c r="R197" s="208">
        <v>0</v>
      </c>
      <c r="S197" s="208"/>
      <c r="T197" s="208">
        <v>21.568000000000001</v>
      </c>
      <c r="U197" s="208">
        <v>20.568000000000001</v>
      </c>
      <c r="V197" s="208">
        <v>21.568000000000001</v>
      </c>
      <c r="W197" s="208">
        <v>20.658000000000001</v>
      </c>
      <c r="X197" s="208">
        <v>20.658000000000001</v>
      </c>
      <c r="Y197" s="208">
        <v>20.658000000000001</v>
      </c>
      <c r="Z197" s="208">
        <v>20.658000000000001</v>
      </c>
      <c r="AA197" s="208">
        <v>20.658000000000001</v>
      </c>
      <c r="AB197" s="208">
        <v>20.658000000000001</v>
      </c>
      <c r="AC197" s="208">
        <v>20.658000000000001</v>
      </c>
      <c r="AD197" s="208">
        <v>20.658000000000001</v>
      </c>
      <c r="AE197" s="208">
        <v>20.658000000000001</v>
      </c>
      <c r="AF197" s="208"/>
      <c r="AG197" s="208">
        <v>0</v>
      </c>
      <c r="AH197" s="208">
        <v>7.1574999999999998</v>
      </c>
      <c r="AI197" s="208">
        <v>0</v>
      </c>
      <c r="AJ197" s="208">
        <v>0</v>
      </c>
      <c r="AK197" s="208">
        <v>0</v>
      </c>
      <c r="AL197" s="208">
        <v>0</v>
      </c>
      <c r="AM197" s="208">
        <v>0</v>
      </c>
      <c r="AN197" s="208">
        <v>0</v>
      </c>
      <c r="AO197" s="208">
        <v>0</v>
      </c>
      <c r="AP197" s="208">
        <v>0</v>
      </c>
      <c r="AQ197" s="208">
        <v>0</v>
      </c>
      <c r="AR197" s="208">
        <v>0</v>
      </c>
      <c r="AS197" s="671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H197" s="208"/>
      <c r="BI197" s="208"/>
      <c r="BJ197" s="208"/>
      <c r="BK197" s="208"/>
      <c r="BL197" s="208"/>
      <c r="BM197" s="208"/>
      <c r="BN197" s="208"/>
      <c r="BO197" s="208"/>
      <c r="BP197" s="208"/>
      <c r="BQ197" s="208"/>
      <c r="BR197" s="208"/>
      <c r="BS197" s="208"/>
      <c r="BT197" s="208"/>
      <c r="BU197" s="208"/>
      <c r="BV197" s="208"/>
      <c r="BW197" s="208"/>
      <c r="BX197" s="208"/>
      <c r="BY197" s="208"/>
      <c r="BZ197" s="208"/>
      <c r="CA197" s="208"/>
      <c r="CB197" s="208"/>
      <c r="CC197" s="208"/>
      <c r="CD197" s="208"/>
      <c r="CE197" s="208"/>
      <c r="CF197" s="208"/>
      <c r="CG197" s="636">
        <v>0.91994108000000008</v>
      </c>
      <c r="CH197" s="636">
        <v>0.233739536</v>
      </c>
      <c r="CI197" s="636">
        <v>0</v>
      </c>
      <c r="CJ197" s="636">
        <v>1.4798799999999999E-4</v>
      </c>
      <c r="CK197" s="636">
        <v>0</v>
      </c>
      <c r="CL197" s="636">
        <v>0</v>
      </c>
      <c r="CM197" s="636">
        <v>0</v>
      </c>
      <c r="CN197" s="636">
        <v>0</v>
      </c>
      <c r="CO197" s="636">
        <v>0</v>
      </c>
      <c r="CP197" s="636">
        <v>0</v>
      </c>
      <c r="CQ197" s="636">
        <v>0</v>
      </c>
      <c r="CR197" s="636">
        <v>0</v>
      </c>
      <c r="CS197" s="208"/>
      <c r="CT197" s="636">
        <v>0.25643525514348031</v>
      </c>
      <c r="CU197" s="636">
        <v>0.24419496873507496</v>
      </c>
      <c r="CV197" s="636">
        <v>0.25643525514348031</v>
      </c>
      <c r="CW197" s="636">
        <v>0.24529659451183142</v>
      </c>
      <c r="CX197" s="636">
        <v>0.24529659451183142</v>
      </c>
      <c r="CY197" s="636">
        <v>0.24529659451183142</v>
      </c>
      <c r="CZ197" s="636">
        <v>0.24529659451183142</v>
      </c>
      <c r="DA197" s="636">
        <v>0.24529659451183142</v>
      </c>
      <c r="DB197" s="636">
        <v>0.24529659451183142</v>
      </c>
      <c r="DC197" s="636">
        <v>0.24529659451183142</v>
      </c>
      <c r="DD197" s="636">
        <v>0.24529659451183142</v>
      </c>
      <c r="DE197" s="636">
        <v>0.24529659451183142</v>
      </c>
      <c r="DF197" s="390">
        <f t="shared" si="7"/>
        <v>0.73588978353549428</v>
      </c>
      <c r="DG197" s="636">
        <v>0</v>
      </c>
      <c r="DH197" s="636">
        <v>0.11311467044966637</v>
      </c>
      <c r="DI197" s="636">
        <v>0</v>
      </c>
      <c r="DJ197" s="636">
        <v>0</v>
      </c>
      <c r="DK197" s="636">
        <v>0</v>
      </c>
      <c r="DL197" s="636">
        <v>0</v>
      </c>
      <c r="DM197" s="636">
        <v>0</v>
      </c>
      <c r="DN197" s="636">
        <v>0</v>
      </c>
      <c r="DO197" s="636">
        <v>0</v>
      </c>
      <c r="DP197" s="636">
        <v>0</v>
      </c>
      <c r="DQ197" s="636">
        <v>0</v>
      </c>
      <c r="DR197" s="636">
        <v>0</v>
      </c>
      <c r="FT197" s="636">
        <v>72.300000000000011</v>
      </c>
      <c r="FU197" s="636">
        <v>249.62600000000006</v>
      </c>
      <c r="FV197" s="636">
        <v>7.1574999999999998</v>
      </c>
      <c r="FW197" s="636">
        <v>-177.32600000000005</v>
      </c>
      <c r="FX197" s="208"/>
      <c r="FY197" s="636">
        <v>1.1538286040000001</v>
      </c>
      <c r="FZ197" s="636">
        <v>2.9647348296285179</v>
      </c>
      <c r="GA197" s="636">
        <v>0.11311467044966637</v>
      </c>
      <c r="GB197" s="208"/>
      <c r="GC197" s="208"/>
      <c r="GD197" s="208"/>
      <c r="GE197" s="208"/>
      <c r="GF197" s="208"/>
      <c r="GG197" s="208"/>
      <c r="GH197" s="636">
        <v>0</v>
      </c>
      <c r="GI197" s="636">
        <v>20.658000000000001</v>
      </c>
      <c r="GJ197" s="636">
        <v>0</v>
      </c>
      <c r="GK197" s="208"/>
      <c r="GL197" s="208"/>
      <c r="GM197" s="636">
        <v>0</v>
      </c>
      <c r="GN197" s="636">
        <v>0.24529659451183142</v>
      </c>
      <c r="GO197" s="636">
        <v>0</v>
      </c>
      <c r="GP197" s="208"/>
      <c r="GQ197" s="208"/>
      <c r="GR197" s="208"/>
      <c r="GS197" s="208"/>
      <c r="GT197" s="208"/>
      <c r="GU197" s="208"/>
      <c r="GV197" s="213"/>
    </row>
    <row r="198" spans="1:204" ht="12.75" customHeight="1">
      <c r="A198" s="213"/>
      <c r="B198" s="213"/>
      <c r="C198" s="213"/>
      <c r="D198" s="649" t="s">
        <v>272</v>
      </c>
      <c r="E198" s="649"/>
      <c r="G198" s="208">
        <v>0</v>
      </c>
      <c r="H198" s="208">
        <v>0</v>
      </c>
      <c r="I198" s="208">
        <v>0</v>
      </c>
      <c r="J198" s="208">
        <v>16.358000000000001</v>
      </c>
      <c r="K198" s="208">
        <v>89.97</v>
      </c>
      <c r="L198" s="208">
        <v>0</v>
      </c>
      <c r="M198" s="208">
        <v>16.358000000000001</v>
      </c>
      <c r="N198" s="208">
        <v>0</v>
      </c>
      <c r="O198" s="208">
        <v>32.716000000000001</v>
      </c>
      <c r="P198" s="208">
        <v>65.432000000000002</v>
      </c>
      <c r="Q198" s="208">
        <v>0</v>
      </c>
      <c r="R198" s="208">
        <v>0</v>
      </c>
      <c r="S198" s="208">
        <v>0</v>
      </c>
      <c r="T198" s="208">
        <v>0</v>
      </c>
      <c r="U198" s="208">
        <v>0</v>
      </c>
      <c r="V198" s="208">
        <v>67.275542857142867</v>
      </c>
      <c r="W198" s="208">
        <v>0</v>
      </c>
      <c r="X198" s="208">
        <v>0</v>
      </c>
      <c r="Y198" s="208">
        <v>68.249257142857147</v>
      </c>
      <c r="Z198" s="208">
        <v>0.97371428571428564</v>
      </c>
      <c r="AA198" s="208">
        <v>68.249257142857147</v>
      </c>
      <c r="AB198" s="208">
        <v>40.733714285714285</v>
      </c>
      <c r="AC198" s="208">
        <v>107.03554285714287</v>
      </c>
      <c r="AD198" s="208">
        <v>39.76</v>
      </c>
      <c r="AE198" s="208">
        <v>108.00925714285715</v>
      </c>
      <c r="AF198" s="208">
        <v>0</v>
      </c>
      <c r="AG198" s="208">
        <v>0</v>
      </c>
      <c r="AH198" s="208">
        <v>125</v>
      </c>
      <c r="AI198" s="208">
        <v>127</v>
      </c>
      <c r="AJ198" s="208">
        <v>127</v>
      </c>
      <c r="AK198" s="208">
        <v>92</v>
      </c>
      <c r="AL198" s="208">
        <v>16.350000000000001</v>
      </c>
      <c r="AM198" s="208">
        <v>16</v>
      </c>
      <c r="AN198" s="208">
        <v>0</v>
      </c>
      <c r="AO198" s="208">
        <v>98</v>
      </c>
      <c r="AP198" s="208">
        <v>65</v>
      </c>
      <c r="AQ198" s="208">
        <v>0</v>
      </c>
      <c r="AR198" s="208">
        <v>0</v>
      </c>
      <c r="AS198" s="208">
        <v>0</v>
      </c>
      <c r="AT198" s="208">
        <v>0</v>
      </c>
      <c r="AU198" s="208">
        <v>0</v>
      </c>
      <c r="AV198" s="208">
        <v>0</v>
      </c>
      <c r="AW198" s="208">
        <v>92935.390023230226</v>
      </c>
      <c r="AX198" s="208">
        <v>92374.396354340337</v>
      </c>
      <c r="AY198" s="208">
        <v>0</v>
      </c>
      <c r="AZ198" s="208">
        <v>95925.915759872834</v>
      </c>
      <c r="BA198" s="208">
        <v>0</v>
      </c>
      <c r="BB198" s="208">
        <v>102943.97725883361</v>
      </c>
      <c r="BC198" s="208">
        <v>103242.81513632475</v>
      </c>
      <c r="BD198" s="208">
        <v>0</v>
      </c>
      <c r="BE198" s="208">
        <v>0</v>
      </c>
      <c r="BF198" s="208">
        <v>0</v>
      </c>
      <c r="BG198" s="208">
        <v>0</v>
      </c>
      <c r="BH198" s="208">
        <v>0</v>
      </c>
      <c r="BI198" s="208">
        <v>323911.65650261787</v>
      </c>
      <c r="BJ198" s="208">
        <v>92935.390023230226</v>
      </c>
      <c r="BK198" s="208">
        <v>92374.396354340337</v>
      </c>
      <c r="BL198" s="208">
        <v>431618.16191388457</v>
      </c>
      <c r="BM198" s="208">
        <v>203632.42117113946</v>
      </c>
      <c r="BN198" s="208">
        <v>431618.16191388457</v>
      </c>
      <c r="BO198" s="208">
        <v>315289.73125182046</v>
      </c>
      <c r="BP198" s="208">
        <v>428550.90508433816</v>
      </c>
      <c r="BQ198" s="208">
        <v>104639.24858172023</v>
      </c>
      <c r="BR198" s="208">
        <v>536257.41049560474</v>
      </c>
      <c r="BS198" s="208">
        <v>0</v>
      </c>
      <c r="BT198" s="208">
        <v>0</v>
      </c>
      <c r="BU198" s="208">
        <v>109883.88098692575</v>
      </c>
      <c r="BV198" s="208">
        <v>109883.88098692575</v>
      </c>
      <c r="BW198" s="208">
        <v>109883.88098692575</v>
      </c>
      <c r="BX198" s="208">
        <v>92500</v>
      </c>
      <c r="BY198" s="208">
        <v>92500.000000000015</v>
      </c>
      <c r="BZ198" s="208">
        <v>92500</v>
      </c>
      <c r="CA198" s="208">
        <v>0</v>
      </c>
      <c r="CB198" s="208">
        <v>92500</v>
      </c>
      <c r="CC198" s="208">
        <v>92500</v>
      </c>
      <c r="CD198" s="208">
        <v>0</v>
      </c>
      <c r="CE198" s="208">
        <v>0</v>
      </c>
      <c r="CF198" s="208">
        <v>0</v>
      </c>
      <c r="CG198" s="208">
        <v>0</v>
      </c>
      <c r="CH198" s="208">
        <v>0</v>
      </c>
      <c r="CI198" s="208">
        <v>0</v>
      </c>
      <c r="CJ198" s="208">
        <v>0.15202371100000001</v>
      </c>
      <c r="CK198" s="208">
        <v>0.83109244399999993</v>
      </c>
      <c r="CL198" s="208">
        <v>0</v>
      </c>
      <c r="CM198" s="208">
        <v>0.15691561299999998</v>
      </c>
      <c r="CN198" s="208">
        <v>0</v>
      </c>
      <c r="CO198" s="208">
        <v>0.33679151600000001</v>
      </c>
      <c r="CP198" s="208">
        <v>0.6755383880000001</v>
      </c>
      <c r="CQ198" s="208">
        <v>0</v>
      </c>
      <c r="CR198" s="208">
        <v>0</v>
      </c>
      <c r="CS198" s="208">
        <v>0</v>
      </c>
      <c r="CT198" s="208">
        <v>0</v>
      </c>
      <c r="CU198" s="208">
        <v>0</v>
      </c>
      <c r="CV198" s="208">
        <v>0.72508729260537952</v>
      </c>
      <c r="CW198" s="208">
        <v>0</v>
      </c>
      <c r="CX198" s="208">
        <v>0</v>
      </c>
      <c r="CY198" s="208">
        <v>0.73557482890371084</v>
      </c>
      <c r="CZ198" s="208">
        <v>1.0487536298331332E-2</v>
      </c>
      <c r="DA198" s="208">
        <v>0.73557482890371084</v>
      </c>
      <c r="DB198" s="208">
        <v>0.42653318865925088</v>
      </c>
      <c r="DC198" s="208">
        <v>1.141132944966299</v>
      </c>
      <c r="DD198" s="208">
        <v>0.41604565236091956</v>
      </c>
      <c r="DE198" s="208">
        <v>1.1516204812646305</v>
      </c>
      <c r="DF198" s="390">
        <f t="shared" si="7"/>
        <v>2.708799078591849</v>
      </c>
      <c r="DG198" s="208">
        <v>0</v>
      </c>
      <c r="DH198" s="208">
        <v>1.3735485123365718</v>
      </c>
      <c r="DI198" s="208">
        <v>1.3955252885339571</v>
      </c>
      <c r="DJ198" s="208">
        <v>1.3955252885339571</v>
      </c>
      <c r="DK198" s="208">
        <v>0.85099999999999998</v>
      </c>
      <c r="DL198" s="208">
        <v>0.15123750000000002</v>
      </c>
      <c r="DM198" s="208">
        <v>0.14799999999999999</v>
      </c>
      <c r="DN198" s="208">
        <v>0</v>
      </c>
      <c r="DO198" s="208">
        <v>0.90649999999999997</v>
      </c>
      <c r="DP198" s="208">
        <v>0.60124999999999995</v>
      </c>
      <c r="DQ198" s="208">
        <v>0</v>
      </c>
      <c r="DR198" s="208">
        <v>0</v>
      </c>
      <c r="DS198" s="208">
        <v>0</v>
      </c>
      <c r="DT198" s="208">
        <v>0</v>
      </c>
      <c r="DU198" s="208">
        <v>0</v>
      </c>
      <c r="DV198" s="208">
        <v>0</v>
      </c>
      <c r="DW198" s="208">
        <v>0</v>
      </c>
      <c r="DX198" s="208">
        <v>0</v>
      </c>
      <c r="DY198" s="208">
        <v>0</v>
      </c>
      <c r="DZ198" s="208">
        <v>0</v>
      </c>
      <c r="EA198" s="208">
        <v>0</v>
      </c>
      <c r="EB198" s="208">
        <v>0</v>
      </c>
      <c r="EC198" s="208">
        <v>-2.9206818206999805E-2</v>
      </c>
      <c r="ED198" s="208">
        <v>0</v>
      </c>
      <c r="EE198" s="208">
        <v>0</v>
      </c>
      <c r="EF198" s="208">
        <v>0</v>
      </c>
      <c r="EG198" s="208">
        <v>0</v>
      </c>
      <c r="EH198" s="208">
        <v>0</v>
      </c>
      <c r="EI198" s="208">
        <v>-0.72508729260537952</v>
      </c>
      <c r="EJ198" s="208">
        <v>0.15202371100000001</v>
      </c>
      <c r="EK198" s="208">
        <v>0.83109244400000004</v>
      </c>
      <c r="EL198" s="208">
        <v>-0.73557482890371084</v>
      </c>
      <c r="EM198" s="208">
        <v>0.14642807670166866</v>
      </c>
      <c r="EN198" s="208">
        <v>-0.73557482890371084</v>
      </c>
      <c r="EO198" s="208">
        <v>-8.9741672659250871E-2</v>
      </c>
      <c r="EP198" s="208">
        <v>-0.43638773875929909</v>
      </c>
      <c r="EQ198" s="208">
        <v>-0.41604565236091956</v>
      </c>
      <c r="ER198" s="208">
        <v>-1.1516204812646305</v>
      </c>
      <c r="ES198" s="208">
        <v>0</v>
      </c>
      <c r="ET198" s="208">
        <v>0</v>
      </c>
      <c r="EU198" s="208">
        <v>0</v>
      </c>
      <c r="EV198" s="208">
        <v>0</v>
      </c>
      <c r="EW198" s="208">
        <v>0.15202371100000001</v>
      </c>
      <c r="EX198" s="208">
        <v>0.83109244400000004</v>
      </c>
      <c r="EY198" s="208">
        <v>0</v>
      </c>
      <c r="EZ198" s="208">
        <v>0.15691561299999998</v>
      </c>
      <c r="FA198" s="208">
        <v>0</v>
      </c>
      <c r="FB198" s="208">
        <v>0.33679151600000001</v>
      </c>
      <c r="FC198" s="208">
        <v>0.6755383880000001</v>
      </c>
      <c r="FD198" s="208">
        <v>0</v>
      </c>
      <c r="FE198" s="208">
        <v>0</v>
      </c>
      <c r="FF198" s="208">
        <v>0</v>
      </c>
      <c r="FG198" s="208">
        <v>0</v>
      </c>
      <c r="FH198" s="208">
        <v>-1.3735485123365718</v>
      </c>
      <c r="FI198" s="208">
        <v>-1.3955252885339571</v>
      </c>
      <c r="FJ198" s="208">
        <v>-1.3955252885339571</v>
      </c>
      <c r="FK198" s="208">
        <v>-0.85099999999999998</v>
      </c>
      <c r="FL198" s="208">
        <v>-0.15123750000000005</v>
      </c>
      <c r="FM198" s="208">
        <v>-0.14799999999999999</v>
      </c>
      <c r="FN198" s="208">
        <v>0</v>
      </c>
      <c r="FO198" s="208">
        <v>-0.90649999999999997</v>
      </c>
      <c r="FP198" s="208">
        <v>-0.60124999999999995</v>
      </c>
      <c r="FQ198" s="208">
        <v>0</v>
      </c>
      <c r="FR198" s="208">
        <v>0</v>
      </c>
      <c r="FS198" s="208">
        <v>0</v>
      </c>
      <c r="FT198" s="208">
        <v>220.834</v>
      </c>
      <c r="FU198" s="208">
        <v>500.28628571428578</v>
      </c>
      <c r="FV198" s="208">
        <v>666.35</v>
      </c>
      <c r="FW198" s="208">
        <v>-279.45228571428572</v>
      </c>
      <c r="FX198" s="208"/>
      <c r="FY198" s="208">
        <v>2.1523616720000001</v>
      </c>
      <c r="FZ198" s="208">
        <v>5.3420567539622335</v>
      </c>
      <c r="GA198" s="208">
        <v>6.8225865894044855</v>
      </c>
      <c r="GB198" s="208">
        <v>-3.1896950819622329</v>
      </c>
      <c r="GC198" s="208">
        <v>-3.1604882637552327</v>
      </c>
      <c r="GD198" s="208">
        <v>-2.9206818206999805E-2</v>
      </c>
      <c r="GE198" s="208">
        <v>-6.8225865894044855</v>
      </c>
      <c r="GF198" s="208">
        <v>2.1523616720000001</v>
      </c>
      <c r="GG198" s="208">
        <v>0</v>
      </c>
      <c r="GH198" s="208">
        <v>0</v>
      </c>
      <c r="GI198" s="208">
        <v>108.00925714285715</v>
      </c>
      <c r="GJ198" s="208">
        <v>0</v>
      </c>
      <c r="GK198" s="208">
        <v>-108.00925714285715</v>
      </c>
      <c r="GL198" s="208">
        <v>-5</v>
      </c>
      <c r="GM198" s="208">
        <v>0</v>
      </c>
      <c r="GN198" s="208">
        <v>1.1516204812646305</v>
      </c>
      <c r="GO198" s="208">
        <v>0</v>
      </c>
      <c r="GP198" s="208"/>
      <c r="GQ198" s="208"/>
      <c r="GR198" s="208"/>
      <c r="GS198" s="208"/>
      <c r="GT198" s="208"/>
      <c r="GU198" s="208"/>
      <c r="GV198" s="213"/>
    </row>
    <row r="199" spans="1:204" ht="12.75" customHeight="1">
      <c r="A199" s="213"/>
      <c r="B199" s="213"/>
      <c r="C199" s="213"/>
      <c r="D199" s="649" t="s">
        <v>28</v>
      </c>
      <c r="E199" s="649" t="s">
        <v>358</v>
      </c>
      <c r="G199" s="208">
        <v>101.18100000000001</v>
      </c>
      <c r="H199" s="208">
        <v>144.732</v>
      </c>
      <c r="I199" s="208">
        <v>191.52100000000002</v>
      </c>
      <c r="J199" s="208">
        <v>312.11</v>
      </c>
      <c r="K199" s="208">
        <v>206.50400000000002</v>
      </c>
      <c r="L199" s="208">
        <v>212.85400000000004</v>
      </c>
      <c r="M199" s="208">
        <v>288.14199999999994</v>
      </c>
      <c r="N199" s="208">
        <v>242.21100000000001</v>
      </c>
      <c r="O199" s="208">
        <v>319.76</v>
      </c>
      <c r="P199" s="208">
        <v>121.34</v>
      </c>
      <c r="Q199" s="208">
        <v>15.891000000000002</v>
      </c>
      <c r="R199" s="208">
        <v>251.785</v>
      </c>
      <c r="S199" s="208">
        <v>282.74084508158057</v>
      </c>
      <c r="T199" s="208">
        <v>169.83333333333331</v>
      </c>
      <c r="U199" s="208">
        <v>191.83333333333331</v>
      </c>
      <c r="V199" s="208">
        <v>212.83333333333331</v>
      </c>
      <c r="W199" s="208">
        <v>268.83333333333337</v>
      </c>
      <c r="X199" s="208">
        <v>280.83333333333337</v>
      </c>
      <c r="Y199" s="208">
        <v>291.33333333333337</v>
      </c>
      <c r="Z199" s="208">
        <v>293.83333333333337</v>
      </c>
      <c r="AA199" s="208">
        <v>272.83333333333337</v>
      </c>
      <c r="AB199" s="208">
        <v>245.83333333333334</v>
      </c>
      <c r="AC199" s="208">
        <v>273.83333333333337</v>
      </c>
      <c r="AD199" s="208">
        <v>207.83333333333334</v>
      </c>
      <c r="AE199" s="208">
        <v>267.83333333333337</v>
      </c>
      <c r="AF199" s="208"/>
      <c r="AG199" s="208">
        <v>0</v>
      </c>
      <c r="AH199" s="208">
        <v>141.69290000000001</v>
      </c>
      <c r="AI199" s="208">
        <v>179.75</v>
      </c>
      <c r="AJ199" s="208">
        <v>451.93470000000002</v>
      </c>
      <c r="AK199" s="208">
        <v>280.18269999999995</v>
      </c>
      <c r="AL199" s="208">
        <v>245.72049999999999</v>
      </c>
      <c r="AM199" s="208">
        <v>332.255</v>
      </c>
      <c r="AN199" s="208">
        <v>264.31887700000004</v>
      </c>
      <c r="AO199" s="208">
        <v>394.267</v>
      </c>
      <c r="AP199" s="208">
        <v>177.5127</v>
      </c>
      <c r="AQ199" s="208">
        <v>22.511900000000001</v>
      </c>
      <c r="AR199" s="208">
        <v>276.10730000000001</v>
      </c>
      <c r="AS199" s="671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H199" s="208"/>
      <c r="BI199" s="208"/>
      <c r="BJ199" s="208"/>
      <c r="BK199" s="208"/>
      <c r="BL199" s="208"/>
      <c r="BM199" s="208"/>
      <c r="BN199" s="208"/>
      <c r="BO199" s="208"/>
      <c r="BP199" s="208"/>
      <c r="BQ199" s="208"/>
      <c r="BR199" s="208"/>
      <c r="BS199" s="208"/>
      <c r="BT199" s="208"/>
      <c r="BU199" s="208"/>
      <c r="BV199" s="208"/>
      <c r="BW199" s="208"/>
      <c r="BX199" s="208"/>
      <c r="BY199" s="208"/>
      <c r="BZ199" s="208"/>
      <c r="CA199" s="208"/>
      <c r="CB199" s="208"/>
      <c r="CC199" s="208"/>
      <c r="CD199" s="208"/>
      <c r="CE199" s="208"/>
      <c r="CF199" s="208"/>
      <c r="CG199" s="636">
        <v>1.6893734250000001</v>
      </c>
      <c r="CH199" s="636">
        <v>2.130774975</v>
      </c>
      <c r="CI199" s="636">
        <v>3.3139851120000001</v>
      </c>
      <c r="CJ199" s="636">
        <v>5.1028657939999995</v>
      </c>
      <c r="CK199" s="636">
        <v>3.3104140100000001</v>
      </c>
      <c r="CL199" s="636">
        <v>3.6994046100000002</v>
      </c>
      <c r="CM199" s="636">
        <v>5.1179457299999997</v>
      </c>
      <c r="CN199" s="636">
        <v>4.1219987079999996</v>
      </c>
      <c r="CO199" s="636">
        <v>5.9947185940000001</v>
      </c>
      <c r="CP199" s="636">
        <v>1.7053343519999999</v>
      </c>
      <c r="CQ199" s="636">
        <v>0.34329254399999998</v>
      </c>
      <c r="CR199" s="636">
        <v>4.8728362020000002</v>
      </c>
      <c r="CS199" s="208"/>
      <c r="CT199" s="636">
        <v>2.7428213730522053</v>
      </c>
      <c r="CU199" s="636">
        <v>2.9629989164607924</v>
      </c>
      <c r="CV199" s="636">
        <v>3.2201599231741573</v>
      </c>
      <c r="CW199" s="636">
        <v>3.9599649558030023</v>
      </c>
      <c r="CX199" s="636">
        <v>4.2349333723495555</v>
      </c>
      <c r="CY199" s="636">
        <v>4.3506533555084133</v>
      </c>
      <c r="CZ199" s="636">
        <v>4.3631275153914242</v>
      </c>
      <c r="DA199" s="636">
        <v>4.1463463287040252</v>
      </c>
      <c r="DB199" s="636">
        <v>3.8018910846325102</v>
      </c>
      <c r="DC199" s="636">
        <v>3.9795216458775329</v>
      </c>
      <c r="DD199" s="636">
        <v>3.2905963953417166</v>
      </c>
      <c r="DE199" s="636">
        <v>3.8649444113892644</v>
      </c>
      <c r="DF199" s="208" t="e">
        <v>#REF!</v>
      </c>
      <c r="DG199" s="636">
        <v>0</v>
      </c>
      <c r="DH199" s="636">
        <v>2.2128970769944809</v>
      </c>
      <c r="DI199" s="636">
        <v>3.215445491334969</v>
      </c>
      <c r="DJ199" s="636">
        <v>5.5059067641678361</v>
      </c>
      <c r="DK199" s="636">
        <v>3.1121159056613212</v>
      </c>
      <c r="DL199" s="636">
        <v>4.0790380063302871</v>
      </c>
      <c r="DM199" s="636">
        <v>5.5813105779987104</v>
      </c>
      <c r="DN199" s="636">
        <v>4.5855204683120512</v>
      </c>
      <c r="DO199" s="636">
        <v>5.6807938910791158</v>
      </c>
      <c r="DP199" s="636">
        <v>1.5830473275832566</v>
      </c>
      <c r="DQ199" s="636">
        <v>0.44206673915793243</v>
      </c>
      <c r="DR199" s="636">
        <v>5.2057329261555969</v>
      </c>
      <c r="FT199" s="636">
        <v>2485.2219999999998</v>
      </c>
      <c r="FU199" s="636">
        <v>3037.5</v>
      </c>
      <c r="FV199" s="636">
        <v>2457.4610769999999</v>
      </c>
      <c r="FW199" s="636">
        <v>-552.27799999999979</v>
      </c>
      <c r="FX199" s="208"/>
      <c r="FY199" s="636">
        <v>43.076651952000006</v>
      </c>
      <c r="FZ199" s="636">
        <v>46.417959277684588</v>
      </c>
      <c r="GA199" s="636">
        <v>43.514899378425561</v>
      </c>
      <c r="GB199" s="208"/>
      <c r="GC199" s="208"/>
      <c r="GD199" s="208"/>
      <c r="GE199" s="208"/>
      <c r="GF199" s="208"/>
      <c r="GG199" s="208"/>
      <c r="GH199" s="636">
        <v>271.02300000000002</v>
      </c>
      <c r="GI199" s="636">
        <v>282.83333333333337</v>
      </c>
      <c r="GJ199" s="636">
        <v>296.10730000000001</v>
      </c>
      <c r="GK199" s="208"/>
      <c r="GL199" s="208"/>
      <c r="GM199" s="636">
        <v>5.2735720740000005</v>
      </c>
      <c r="GN199" s="636">
        <v>4.2399444113892644</v>
      </c>
      <c r="GO199" s="636">
        <v>5.6533629261555971</v>
      </c>
      <c r="GP199" s="208"/>
      <c r="GQ199" s="208"/>
      <c r="GR199" s="208"/>
      <c r="GS199" s="208"/>
      <c r="GT199" s="208"/>
      <c r="GU199" s="208"/>
      <c r="GV199" s="213"/>
    </row>
    <row r="200" spans="1:204" ht="12.75" customHeight="1">
      <c r="A200" s="213"/>
      <c r="B200" s="213"/>
      <c r="C200" s="213"/>
      <c r="D200" s="649"/>
      <c r="E200" s="649"/>
      <c r="Q200" s="207"/>
      <c r="S200" s="207"/>
      <c r="AF200" s="207"/>
      <c r="AR200" s="207"/>
      <c r="AS200" s="671"/>
      <c r="AT200" s="207"/>
      <c r="BF200" s="207"/>
      <c r="BG200" s="207"/>
      <c r="BS200" s="207"/>
      <c r="CF200" s="207"/>
      <c r="CG200" s="636"/>
      <c r="CH200" s="636"/>
      <c r="CI200" s="636"/>
      <c r="CJ200" s="636"/>
      <c r="CK200" s="636"/>
      <c r="CL200" s="636"/>
      <c r="CN200" s="636"/>
      <c r="CO200" s="636"/>
      <c r="CP200" s="636"/>
      <c r="CQ200" s="636"/>
      <c r="CR200" s="636"/>
      <c r="CS200" s="207"/>
      <c r="CT200" s="636"/>
      <c r="CU200" s="636"/>
      <c r="CV200" s="636"/>
      <c r="CW200" s="636"/>
      <c r="CX200" s="636"/>
      <c r="CY200" s="636"/>
      <c r="CZ200" s="636"/>
      <c r="DA200" s="636"/>
      <c r="DB200" s="636"/>
      <c r="DC200" s="636"/>
      <c r="DD200" s="636"/>
      <c r="DE200" s="636"/>
      <c r="DF200" s="207"/>
      <c r="DG200" s="636"/>
      <c r="DH200" s="636"/>
      <c r="DI200" s="636"/>
      <c r="DJ200" s="636"/>
      <c r="DK200" s="636"/>
      <c r="DL200" s="636"/>
      <c r="DM200" s="636"/>
      <c r="DN200" s="636"/>
      <c r="DO200" s="636"/>
      <c r="DP200" s="636"/>
      <c r="DQ200" s="636"/>
      <c r="DR200" s="636"/>
      <c r="FT200" s="636"/>
      <c r="FU200" s="636"/>
      <c r="FV200" s="636"/>
      <c r="FW200" s="636"/>
      <c r="FX200" s="207"/>
      <c r="FY200" s="636"/>
      <c r="FZ200" s="636"/>
      <c r="GA200" s="636"/>
      <c r="GB200" s="207"/>
      <c r="GC200" s="207"/>
      <c r="GD200" s="207"/>
      <c r="GE200" s="207"/>
      <c r="GF200" s="207"/>
      <c r="GG200" s="207"/>
      <c r="GH200" s="636"/>
      <c r="GI200" s="636"/>
      <c r="GJ200" s="636"/>
      <c r="GL200" s="207"/>
      <c r="GM200" s="636"/>
      <c r="GN200" s="636"/>
      <c r="GO200" s="636"/>
      <c r="GP200" s="207"/>
      <c r="GQ200" s="207"/>
      <c r="GR200" s="207"/>
      <c r="GS200" s="207"/>
      <c r="GT200" s="207"/>
      <c r="GU200" s="207"/>
      <c r="GV200" s="213"/>
    </row>
    <row r="201" spans="1:204" ht="12.75" customHeight="1">
      <c r="A201" s="213"/>
      <c r="B201" s="213"/>
      <c r="C201" s="213"/>
      <c r="D201" s="649" t="s">
        <v>359</v>
      </c>
      <c r="E201" s="649" t="s">
        <v>49</v>
      </c>
      <c r="G201" s="639"/>
      <c r="H201" s="639"/>
      <c r="I201" s="639"/>
      <c r="J201" s="639"/>
      <c r="K201" s="639"/>
      <c r="L201" s="639"/>
      <c r="M201" s="639"/>
      <c r="N201" s="639"/>
      <c r="O201" s="639"/>
      <c r="P201" s="639"/>
      <c r="Q201" s="639"/>
      <c r="R201" s="639"/>
      <c r="S201" s="639"/>
      <c r="T201" s="639"/>
      <c r="U201" s="639"/>
      <c r="V201" s="639"/>
      <c r="W201" s="639"/>
      <c r="X201" s="639"/>
      <c r="Y201" s="639"/>
      <c r="Z201" s="639"/>
      <c r="AA201" s="639"/>
      <c r="AB201" s="639"/>
      <c r="AC201" s="639"/>
      <c r="AD201" s="639"/>
      <c r="AE201" s="639"/>
      <c r="AF201" s="639"/>
      <c r="AG201" s="639"/>
      <c r="AH201" s="639"/>
      <c r="AI201" s="639"/>
      <c r="AJ201" s="639"/>
      <c r="AK201" s="639"/>
      <c r="AL201" s="639"/>
      <c r="AM201" s="639"/>
      <c r="AN201" s="639"/>
      <c r="AO201" s="639"/>
      <c r="AP201" s="639"/>
      <c r="AQ201" s="639"/>
      <c r="AR201" s="639"/>
      <c r="AS201" s="671"/>
      <c r="AT201" s="639"/>
      <c r="AU201" s="639"/>
      <c r="AV201" s="639"/>
      <c r="AW201" s="639"/>
      <c r="AX201" s="639"/>
      <c r="AY201" s="639"/>
      <c r="AZ201" s="639"/>
      <c r="BA201" s="639"/>
      <c r="BB201" s="639"/>
      <c r="BC201" s="639"/>
      <c r="BD201" s="639"/>
      <c r="BE201" s="639"/>
      <c r="BF201" s="639"/>
      <c r="BG201" s="639"/>
      <c r="BH201" s="639"/>
      <c r="BI201" s="639"/>
      <c r="BJ201" s="639"/>
      <c r="BK201" s="639"/>
      <c r="BL201" s="639"/>
      <c r="BM201" s="639"/>
      <c r="BN201" s="639"/>
      <c r="BO201" s="639"/>
      <c r="BP201" s="639"/>
      <c r="BQ201" s="639"/>
      <c r="BR201" s="639"/>
      <c r="BS201" s="639"/>
      <c r="BT201" s="639"/>
      <c r="BU201" s="639"/>
      <c r="BV201" s="639"/>
      <c r="BW201" s="639"/>
      <c r="BX201" s="639"/>
      <c r="BY201" s="639"/>
      <c r="BZ201" s="639"/>
      <c r="CA201" s="639"/>
      <c r="CB201" s="639"/>
      <c r="CC201" s="639"/>
      <c r="CD201" s="639"/>
      <c r="CE201" s="639"/>
      <c r="CF201" s="639"/>
      <c r="CG201" s="636"/>
      <c r="CH201" s="636"/>
      <c r="CI201" s="636"/>
      <c r="CJ201" s="636"/>
      <c r="CK201" s="636"/>
      <c r="CL201" s="636"/>
      <c r="CN201" s="636"/>
      <c r="CO201" s="636"/>
      <c r="CP201" s="636"/>
      <c r="CQ201" s="636"/>
      <c r="CR201" s="636"/>
      <c r="CS201" s="639"/>
      <c r="CT201" s="636"/>
      <c r="CU201" s="636"/>
      <c r="CV201" s="636"/>
      <c r="CW201" s="636"/>
      <c r="CX201" s="636"/>
      <c r="CY201" s="636"/>
      <c r="CZ201" s="636"/>
      <c r="DA201" s="636"/>
      <c r="DB201" s="636"/>
      <c r="DC201" s="636"/>
      <c r="DD201" s="636"/>
      <c r="DE201" s="636"/>
      <c r="DF201" s="639" t="e">
        <v>#REF!</v>
      </c>
      <c r="DG201" s="636"/>
      <c r="DH201" s="636"/>
      <c r="DI201" s="636"/>
      <c r="DJ201" s="636"/>
      <c r="DK201" s="636"/>
      <c r="DL201" s="636"/>
      <c r="DM201" s="636"/>
      <c r="DN201" s="636"/>
      <c r="DO201" s="636"/>
      <c r="DP201" s="636"/>
      <c r="DQ201" s="636"/>
      <c r="DR201" s="636"/>
      <c r="FT201" s="636"/>
      <c r="FU201" s="636"/>
      <c r="FV201" s="636"/>
      <c r="FW201" s="636"/>
      <c r="FX201" s="639"/>
      <c r="FY201" s="636"/>
      <c r="FZ201" s="636"/>
      <c r="GA201" s="636"/>
      <c r="GB201" s="639"/>
      <c r="GC201" s="639"/>
      <c r="GD201" s="639"/>
      <c r="GE201" s="639"/>
      <c r="GF201" s="639"/>
      <c r="GG201" s="639"/>
      <c r="GH201" s="636"/>
      <c r="GI201" s="636"/>
      <c r="GJ201" s="636"/>
      <c r="GK201" s="639"/>
      <c r="GL201" s="639"/>
      <c r="GM201" s="636"/>
      <c r="GN201" s="636"/>
      <c r="GO201" s="636"/>
      <c r="GP201" s="639"/>
      <c r="GQ201" s="639"/>
      <c r="GR201" s="639"/>
      <c r="GS201" s="639"/>
      <c r="GT201" s="639"/>
      <c r="GU201" s="639"/>
      <c r="GV201" s="213"/>
    </row>
    <row r="202" spans="1:204" ht="12.75" customHeight="1">
      <c r="A202" s="213"/>
      <c r="B202" s="213"/>
      <c r="C202" s="213"/>
      <c r="D202" s="649"/>
      <c r="E202" s="649" t="s">
        <v>356</v>
      </c>
      <c r="G202" s="207">
        <v>0</v>
      </c>
      <c r="H202" s="207">
        <v>0</v>
      </c>
      <c r="I202" s="207">
        <v>0</v>
      </c>
      <c r="J202" s="207">
        <v>0</v>
      </c>
      <c r="K202" s="207">
        <v>0</v>
      </c>
      <c r="L202" s="207">
        <v>0</v>
      </c>
      <c r="M202" s="207">
        <v>0</v>
      </c>
      <c r="N202" s="207">
        <v>0</v>
      </c>
      <c r="O202" s="207">
        <v>0</v>
      </c>
      <c r="P202" s="639">
        <v>154.73159999999999</v>
      </c>
      <c r="Q202" s="207"/>
      <c r="S202" s="207"/>
      <c r="T202" s="207">
        <v>0</v>
      </c>
      <c r="U202" s="207">
        <v>0</v>
      </c>
      <c r="V202" s="207">
        <v>0</v>
      </c>
      <c r="W202" s="207">
        <v>0</v>
      </c>
      <c r="X202" s="207">
        <v>0</v>
      </c>
      <c r="Y202" s="207">
        <v>0</v>
      </c>
      <c r="Z202" s="207">
        <v>0</v>
      </c>
      <c r="AA202" s="207">
        <v>0</v>
      </c>
      <c r="AB202" s="207">
        <v>0</v>
      </c>
      <c r="AC202" s="207">
        <v>0</v>
      </c>
      <c r="AD202" s="207">
        <v>0</v>
      </c>
      <c r="AF202" s="207"/>
      <c r="AG202" s="207">
        <v>0</v>
      </c>
      <c r="AH202" s="207">
        <v>0</v>
      </c>
      <c r="AI202" s="207">
        <v>0</v>
      </c>
      <c r="AJ202" s="207">
        <v>0</v>
      </c>
      <c r="AK202" s="207">
        <v>0</v>
      </c>
      <c r="AL202" s="207">
        <v>0</v>
      </c>
      <c r="AM202" s="207">
        <v>0</v>
      </c>
      <c r="AN202" s="207">
        <v>0</v>
      </c>
      <c r="AO202" s="207">
        <v>0</v>
      </c>
      <c r="AP202" s="207">
        <v>0</v>
      </c>
      <c r="AQ202" s="207">
        <v>0</v>
      </c>
      <c r="AR202" s="207">
        <v>0</v>
      </c>
      <c r="AS202" s="671"/>
      <c r="AT202" s="207"/>
      <c r="BF202" s="207"/>
      <c r="BG202" s="207"/>
      <c r="BS202" s="207"/>
      <c r="CF202" s="207"/>
      <c r="CG202" s="636">
        <v>0</v>
      </c>
      <c r="CH202" s="636">
        <v>0</v>
      </c>
      <c r="CI202" s="636">
        <v>0</v>
      </c>
      <c r="CJ202" s="636">
        <v>0</v>
      </c>
      <c r="CK202" s="636">
        <v>0</v>
      </c>
      <c r="CL202" s="636">
        <v>0</v>
      </c>
      <c r="CM202" s="636">
        <v>0</v>
      </c>
      <c r="CN202" s="636">
        <v>0</v>
      </c>
      <c r="CO202" s="636">
        <v>0</v>
      </c>
      <c r="CP202" s="636">
        <v>0.29914775999999993</v>
      </c>
      <c r="CQ202" s="636">
        <v>0.27162791999999997</v>
      </c>
      <c r="CR202" s="636">
        <v>0.56248631999999998</v>
      </c>
      <c r="CS202" s="207">
        <v>0</v>
      </c>
      <c r="CT202" s="636">
        <v>0</v>
      </c>
      <c r="CU202" s="636">
        <v>0</v>
      </c>
      <c r="CV202" s="636">
        <v>0</v>
      </c>
      <c r="CW202" s="636">
        <v>0</v>
      </c>
      <c r="CX202" s="636">
        <v>0</v>
      </c>
      <c r="CY202" s="636">
        <v>0</v>
      </c>
      <c r="CZ202" s="636">
        <v>0</v>
      </c>
      <c r="DA202" s="636">
        <v>0</v>
      </c>
      <c r="DB202" s="636">
        <v>0</v>
      </c>
      <c r="DC202" s="636">
        <v>0</v>
      </c>
      <c r="DD202" s="636">
        <v>0</v>
      </c>
      <c r="DE202" s="636">
        <v>0</v>
      </c>
      <c r="DF202" s="207">
        <v>0</v>
      </c>
      <c r="DG202" s="636">
        <v>0</v>
      </c>
      <c r="DH202" s="636">
        <v>0</v>
      </c>
      <c r="DI202" s="636">
        <v>0</v>
      </c>
      <c r="DJ202" s="636">
        <v>0</v>
      </c>
      <c r="DK202" s="636">
        <v>0</v>
      </c>
      <c r="DL202" s="636">
        <v>0</v>
      </c>
      <c r="DM202" s="636">
        <v>0</v>
      </c>
      <c r="DN202" s="636">
        <v>0</v>
      </c>
      <c r="DO202" s="636">
        <v>0</v>
      </c>
      <c r="DP202" s="636">
        <v>0</v>
      </c>
      <c r="DQ202" s="636">
        <v>0</v>
      </c>
      <c r="DR202" s="636">
        <v>0</v>
      </c>
      <c r="DS202" s="209">
        <v>0</v>
      </c>
      <c r="DT202" s="207">
        <v>0</v>
      </c>
      <c r="DU202" s="207">
        <v>0</v>
      </c>
      <c r="DV202" s="207">
        <v>0</v>
      </c>
      <c r="DW202" s="207">
        <v>0</v>
      </c>
      <c r="DX202" s="207">
        <v>0</v>
      </c>
      <c r="DY202" s="207">
        <v>0</v>
      </c>
      <c r="DZ202" s="207">
        <v>0</v>
      </c>
      <c r="EA202" s="207">
        <v>0</v>
      </c>
      <c r="EB202" s="207">
        <v>0</v>
      </c>
      <c r="EC202" s="207">
        <v>0</v>
      </c>
      <c r="ED202" s="207">
        <v>0</v>
      </c>
      <c r="EE202" s="207">
        <v>0</v>
      </c>
      <c r="EF202" s="209">
        <v>0</v>
      </c>
      <c r="EG202" s="207">
        <v>0</v>
      </c>
      <c r="EH202" s="207">
        <v>0</v>
      </c>
      <c r="EI202" s="207">
        <v>0</v>
      </c>
      <c r="EJ202" s="207">
        <v>0</v>
      </c>
      <c r="EK202" s="207">
        <v>0</v>
      </c>
      <c r="EL202" s="207">
        <v>0</v>
      </c>
      <c r="EM202" s="207">
        <v>0</v>
      </c>
      <c r="EN202" s="207">
        <v>0</v>
      </c>
      <c r="EO202" s="207">
        <v>0</v>
      </c>
      <c r="EP202" s="207">
        <v>0.29914775999999998</v>
      </c>
      <c r="EQ202" s="207">
        <v>0.27162791999999997</v>
      </c>
      <c r="ER202" s="207">
        <v>0.56248631999999998</v>
      </c>
      <c r="ES202" s="212">
        <v>0</v>
      </c>
      <c r="ET202" s="207">
        <v>0</v>
      </c>
      <c r="EU202" s="207">
        <v>0</v>
      </c>
      <c r="EV202" s="207">
        <v>0</v>
      </c>
      <c r="EW202" s="207">
        <v>0</v>
      </c>
      <c r="EX202" s="207">
        <v>0</v>
      </c>
      <c r="EY202" s="207">
        <v>0</v>
      </c>
      <c r="EZ202" s="207">
        <v>0</v>
      </c>
      <c r="FA202" s="207">
        <v>0</v>
      </c>
      <c r="FB202" s="207">
        <v>0</v>
      </c>
      <c r="FC202" s="207">
        <v>0.29914775999999998</v>
      </c>
      <c r="FD202" s="207">
        <v>0.27162791999999997</v>
      </c>
      <c r="FE202" s="207">
        <v>0.56248631999999998</v>
      </c>
      <c r="FF202" s="209">
        <v>0</v>
      </c>
      <c r="FG202" s="207">
        <v>0</v>
      </c>
      <c r="FH202" s="207">
        <v>0</v>
      </c>
      <c r="FI202" s="207">
        <v>0</v>
      </c>
      <c r="FJ202" s="207">
        <v>0</v>
      </c>
      <c r="FK202" s="207">
        <v>0</v>
      </c>
      <c r="FL202" s="207">
        <v>0</v>
      </c>
      <c r="FM202" s="207">
        <v>0</v>
      </c>
      <c r="FN202" s="207">
        <v>0</v>
      </c>
      <c r="FO202" s="207">
        <v>0</v>
      </c>
      <c r="FP202" s="207">
        <v>0</v>
      </c>
      <c r="FQ202" s="207">
        <v>0</v>
      </c>
      <c r="FR202" s="207">
        <v>0</v>
      </c>
      <c r="FS202" s="212">
        <v>0</v>
      </c>
      <c r="FT202" s="636">
        <v>867.16760000000011</v>
      </c>
      <c r="FU202" s="636">
        <v>0</v>
      </c>
      <c r="FV202" s="636">
        <v>0</v>
      </c>
      <c r="FW202" s="636">
        <v>867.16760000000011</v>
      </c>
      <c r="FX202" s="207">
        <v>0</v>
      </c>
      <c r="FY202" s="636">
        <v>1.1332619999999998</v>
      </c>
      <c r="FZ202" s="636">
        <v>0</v>
      </c>
      <c r="GA202" s="636">
        <v>0</v>
      </c>
      <c r="GB202" s="207">
        <v>1.1332619999999998</v>
      </c>
      <c r="GC202" s="207">
        <v>1.1332619999999998</v>
      </c>
      <c r="GD202" s="207">
        <v>0</v>
      </c>
      <c r="GE202" s="207">
        <v>0</v>
      </c>
      <c r="GF202" s="207">
        <v>1.1332619999999998</v>
      </c>
      <c r="GG202" s="207">
        <v>0</v>
      </c>
      <c r="GH202" s="636">
        <v>290.94200000000001</v>
      </c>
      <c r="GI202" s="636">
        <v>0</v>
      </c>
      <c r="GJ202" s="636">
        <v>0</v>
      </c>
      <c r="GK202" s="207">
        <v>290.94200000000001</v>
      </c>
      <c r="GL202" s="207">
        <v>0</v>
      </c>
      <c r="GM202" s="636">
        <v>0.56248631999999998</v>
      </c>
      <c r="GN202" s="636">
        <v>0</v>
      </c>
      <c r="GO202" s="636">
        <v>0</v>
      </c>
      <c r="GP202" s="207">
        <v>0.56248631999999998</v>
      </c>
      <c r="GQ202" s="207">
        <v>0.56248631999999998</v>
      </c>
      <c r="GR202" s="207">
        <v>0</v>
      </c>
      <c r="GS202" s="207">
        <v>0</v>
      </c>
      <c r="GT202" s="207">
        <v>0.56248631999999998</v>
      </c>
      <c r="GU202" s="207"/>
      <c r="GV202" s="213"/>
    </row>
    <row r="203" spans="1:204" ht="12.75" customHeight="1">
      <c r="A203" s="213"/>
      <c r="B203" s="213"/>
      <c r="C203" s="213"/>
      <c r="D203" s="649" t="s">
        <v>360</v>
      </c>
      <c r="E203" s="649" t="s">
        <v>26</v>
      </c>
      <c r="G203" s="639">
        <v>384.029</v>
      </c>
      <c r="H203" s="639">
        <v>365.846</v>
      </c>
      <c r="I203" s="639">
        <v>572.28800000000001</v>
      </c>
      <c r="J203" s="639">
        <v>273.46600000000001</v>
      </c>
      <c r="K203" s="639">
        <v>28.713999999999999</v>
      </c>
      <c r="L203" s="639">
        <v>145.88999999999999</v>
      </c>
      <c r="M203" s="639">
        <v>336.19</v>
      </c>
      <c r="N203" s="639">
        <v>293.89800000000008</v>
      </c>
      <c r="O203" s="639">
        <v>229.06300000000005</v>
      </c>
      <c r="P203" s="639">
        <v>160.78399999999999</v>
      </c>
      <c r="Q203" s="639">
        <v>295.14600000000007</v>
      </c>
      <c r="R203" s="639">
        <v>405.94000000000017</v>
      </c>
      <c r="S203" s="639">
        <v>358.29619240633713</v>
      </c>
      <c r="T203" s="639">
        <v>312.16603351495235</v>
      </c>
      <c r="U203" s="639">
        <v>480.01093583803413</v>
      </c>
      <c r="V203" s="639">
        <v>325.17145045330466</v>
      </c>
      <c r="W203" s="639">
        <v>560.51126560669297</v>
      </c>
      <c r="X203" s="639">
        <v>441.19229585476455</v>
      </c>
      <c r="Y203" s="639">
        <v>469.44050085886784</v>
      </c>
      <c r="Z203" s="639">
        <v>327.50788052685562</v>
      </c>
      <c r="AA203" s="639">
        <v>529.13610899396645</v>
      </c>
      <c r="AB203" s="639">
        <v>252.13691606130769</v>
      </c>
      <c r="AC203" s="639">
        <v>560.45880449338097</v>
      </c>
      <c r="AD203" s="639">
        <v>202.32576754879838</v>
      </c>
      <c r="AE203" s="639">
        <v>463.94204024907452</v>
      </c>
      <c r="AF203" s="639">
        <v>0</v>
      </c>
      <c r="AG203" s="639">
        <v>0</v>
      </c>
      <c r="AH203" s="639">
        <v>489.44400000000002</v>
      </c>
      <c r="AI203" s="639">
        <v>599.64679999999998</v>
      </c>
      <c r="AJ203" s="639">
        <v>227.13</v>
      </c>
      <c r="AK203" s="639">
        <v>27.02</v>
      </c>
      <c r="AL203" s="639">
        <v>115</v>
      </c>
      <c r="AM203" s="639">
        <v>305.88</v>
      </c>
      <c r="AN203" s="639">
        <v>187</v>
      </c>
      <c r="AO203" s="639">
        <v>250</v>
      </c>
      <c r="AP203" s="639">
        <v>284.78999999999996</v>
      </c>
      <c r="AQ203" s="639">
        <v>347.94</v>
      </c>
      <c r="AR203" s="639">
        <v>349.89</v>
      </c>
      <c r="AS203" s="671"/>
      <c r="AT203" s="639"/>
      <c r="AU203" s="639"/>
      <c r="AV203" s="639"/>
      <c r="AW203" s="639"/>
      <c r="AX203" s="639"/>
      <c r="AY203" s="639"/>
      <c r="AZ203" s="639"/>
      <c r="BA203" s="639"/>
      <c r="BB203" s="639"/>
      <c r="BC203" s="639"/>
      <c r="BD203" s="639"/>
      <c r="BE203" s="639"/>
      <c r="BF203" s="639"/>
      <c r="BG203" s="639"/>
      <c r="BH203" s="639"/>
      <c r="BI203" s="639"/>
      <c r="BJ203" s="639"/>
      <c r="BK203" s="639"/>
      <c r="BL203" s="639"/>
      <c r="BM203" s="639"/>
      <c r="BN203" s="639"/>
      <c r="BO203" s="639"/>
      <c r="BP203" s="639"/>
      <c r="BQ203" s="639"/>
      <c r="BR203" s="639"/>
      <c r="BS203" s="639"/>
      <c r="BT203" s="639"/>
      <c r="BU203" s="639"/>
      <c r="BV203" s="639"/>
      <c r="BW203" s="639"/>
      <c r="BX203" s="639"/>
      <c r="BY203" s="639"/>
      <c r="BZ203" s="639"/>
      <c r="CA203" s="639"/>
      <c r="CB203" s="639"/>
      <c r="CC203" s="639"/>
      <c r="CD203" s="639"/>
      <c r="CE203" s="639"/>
      <c r="CF203" s="639"/>
      <c r="CG203" s="636">
        <v>3.2890729289999991</v>
      </c>
      <c r="CH203" s="636">
        <v>3.1592463709999983</v>
      </c>
      <c r="CI203" s="636">
        <v>4.4245627820000006</v>
      </c>
      <c r="CJ203" s="636">
        <v>2.5871144110000004</v>
      </c>
      <c r="CK203" s="636">
        <v>0.36451785600000003</v>
      </c>
      <c r="CL203" s="636">
        <v>1.1701554709999999</v>
      </c>
      <c r="CM203" s="636">
        <v>2.6603468120000016</v>
      </c>
      <c r="CN203" s="636">
        <v>2.7644119659999999</v>
      </c>
      <c r="CO203" s="636">
        <v>2.1116632380000002</v>
      </c>
      <c r="CP203" s="636">
        <v>1.2473713019999999</v>
      </c>
      <c r="CQ203" s="636">
        <v>2.3456477799999997</v>
      </c>
      <c r="CR203" s="636">
        <v>3.0318784449999985</v>
      </c>
      <c r="CS203" s="639"/>
      <c r="CT203" s="636">
        <v>2.8583546863622016</v>
      </c>
      <c r="CU203" s="636">
        <v>4.0162973734687206</v>
      </c>
      <c r="CV203" s="636">
        <v>2.9415535757448947</v>
      </c>
      <c r="CW203" s="636">
        <v>4.8702825024942227</v>
      </c>
      <c r="CX203" s="636">
        <v>3.7401307249404532</v>
      </c>
      <c r="CY203" s="636">
        <v>4.0915019420269738</v>
      </c>
      <c r="CZ203" s="636">
        <v>2.9721422905101185</v>
      </c>
      <c r="DA203" s="636">
        <v>4.6085254600142402</v>
      </c>
      <c r="DB203" s="636">
        <v>2.4542060051587722</v>
      </c>
      <c r="DC203" s="636">
        <v>4.7816056961532825</v>
      </c>
      <c r="DD203" s="636">
        <v>1.8460153605429881</v>
      </c>
      <c r="DE203" s="636">
        <v>3.9420444635447005</v>
      </c>
      <c r="DF203" s="639">
        <v>0</v>
      </c>
      <c r="DG203" s="636">
        <v>0</v>
      </c>
      <c r="DH203" s="636">
        <v>4.3679795727137574</v>
      </c>
      <c r="DI203" s="636">
        <v>4.920720298729889</v>
      </c>
      <c r="DJ203" s="636">
        <v>2.1086760577332111</v>
      </c>
      <c r="DK203" s="636">
        <v>0.3377368418965952</v>
      </c>
      <c r="DL203" s="636">
        <v>0.95300234761966929</v>
      </c>
      <c r="DM203" s="636">
        <v>2.4586093006768142</v>
      </c>
      <c r="DN203" s="636">
        <v>1.4723882149032721</v>
      </c>
      <c r="DO203" s="636">
        <v>2.1347141777637142</v>
      </c>
      <c r="DP203" s="636">
        <v>2.3914944617849563</v>
      </c>
      <c r="DQ203" s="636">
        <v>2.7644692119762517</v>
      </c>
      <c r="DR203" s="636">
        <v>2.6487038373483527</v>
      </c>
      <c r="FT203" s="636">
        <v>3491.2539999999999</v>
      </c>
      <c r="FU203" s="636">
        <v>4924</v>
      </c>
      <c r="FV203" s="636">
        <v>3183.7407999999996</v>
      </c>
      <c r="FW203" s="636">
        <v>-1432.7459999999996</v>
      </c>
      <c r="FX203" s="639"/>
      <c r="FY203" s="636">
        <v>29.155989362999996</v>
      </c>
      <c r="FZ203" s="636">
        <v>43.122660080961566</v>
      </c>
      <c r="GA203" s="636">
        <v>26.558494323146483</v>
      </c>
      <c r="GB203" s="639"/>
      <c r="GC203" s="639"/>
      <c r="GD203" s="639"/>
      <c r="GE203" s="639"/>
      <c r="GF203" s="639"/>
      <c r="GG203" s="639"/>
      <c r="GH203" s="636">
        <v>405.94000000000017</v>
      </c>
      <c r="GI203" s="636">
        <v>463.94204024907452</v>
      </c>
      <c r="GJ203" s="636">
        <v>349.89</v>
      </c>
      <c r="GK203" s="639"/>
      <c r="GL203" s="639"/>
      <c r="GM203" s="636">
        <v>3.0318784449999985</v>
      </c>
      <c r="GN203" s="636">
        <v>3.9420444635447005</v>
      </c>
      <c r="GO203" s="636">
        <v>2.6487038373483527</v>
      </c>
      <c r="GP203" s="639"/>
      <c r="GQ203" s="639"/>
      <c r="GR203" s="639"/>
      <c r="GS203" s="639"/>
      <c r="GT203" s="639"/>
      <c r="GU203" s="639"/>
      <c r="GV203" s="213"/>
    </row>
    <row r="204" spans="1:204" ht="12.75" customHeight="1">
      <c r="A204" s="213"/>
      <c r="B204" s="213"/>
      <c r="C204" s="213"/>
      <c r="D204" s="649" t="s">
        <v>361</v>
      </c>
      <c r="E204" s="649" t="s">
        <v>49</v>
      </c>
      <c r="G204" s="639">
        <v>81.972000000000008</v>
      </c>
      <c r="H204" s="207">
        <v>87.832000000000022</v>
      </c>
      <c r="I204" s="207">
        <v>0</v>
      </c>
      <c r="J204" s="207">
        <v>0</v>
      </c>
      <c r="K204" s="207">
        <v>0</v>
      </c>
      <c r="L204" s="207">
        <v>0</v>
      </c>
      <c r="M204" s="207">
        <v>0</v>
      </c>
      <c r="N204" s="207">
        <v>0</v>
      </c>
      <c r="O204" s="207">
        <v>0</v>
      </c>
      <c r="P204" s="207">
        <v>69.039000000000001</v>
      </c>
      <c r="Q204" s="207">
        <v>0</v>
      </c>
      <c r="R204" s="207">
        <v>66.77300000000001</v>
      </c>
      <c r="S204" s="207"/>
      <c r="T204" s="207">
        <v>81.972000000000008</v>
      </c>
      <c r="U204" s="207">
        <v>87.832000000000022</v>
      </c>
      <c r="V204" s="207">
        <v>0</v>
      </c>
      <c r="W204" s="207">
        <v>0</v>
      </c>
      <c r="X204" s="207">
        <v>0</v>
      </c>
      <c r="Y204" s="207">
        <v>0</v>
      </c>
      <c r="Z204" s="207">
        <v>0</v>
      </c>
      <c r="AA204" s="207">
        <v>0</v>
      </c>
      <c r="AB204" s="207">
        <v>0</v>
      </c>
      <c r="AC204" s="207">
        <v>122.6</v>
      </c>
      <c r="AD204" s="207">
        <v>164</v>
      </c>
      <c r="AE204" s="207">
        <v>120</v>
      </c>
      <c r="AF204" s="207"/>
      <c r="AG204" s="207">
        <v>0</v>
      </c>
      <c r="AH204" s="207">
        <v>76.609999999999985</v>
      </c>
      <c r="AI204" s="207">
        <v>0</v>
      </c>
      <c r="AJ204" s="207">
        <v>0</v>
      </c>
      <c r="AK204" s="207">
        <v>0</v>
      </c>
      <c r="AL204" s="207">
        <v>0</v>
      </c>
      <c r="AM204" s="207">
        <v>0</v>
      </c>
      <c r="AN204" s="207">
        <v>0</v>
      </c>
      <c r="AO204" s="207">
        <v>0</v>
      </c>
      <c r="AP204" s="207">
        <v>80</v>
      </c>
      <c r="AQ204" s="207">
        <v>76.900000000000006</v>
      </c>
      <c r="AR204" s="207">
        <v>80.722999999999999</v>
      </c>
      <c r="AS204" s="671"/>
      <c r="AT204" s="207"/>
      <c r="BF204" s="207"/>
      <c r="BG204" s="207"/>
      <c r="BS204" s="207"/>
      <c r="CF204" s="207"/>
      <c r="CG204" s="636">
        <v>1.5211075650000005</v>
      </c>
      <c r="CH204" s="636">
        <v>1.6248945800000003</v>
      </c>
      <c r="CI204" s="636">
        <v>0</v>
      </c>
      <c r="CJ204" s="636">
        <v>0</v>
      </c>
      <c r="CK204" s="636">
        <v>0</v>
      </c>
      <c r="CL204" s="636">
        <v>0</v>
      </c>
      <c r="CM204" s="636">
        <v>0</v>
      </c>
      <c r="CN204" s="636">
        <v>0</v>
      </c>
      <c r="CO204" s="636">
        <v>0</v>
      </c>
      <c r="CP204" s="636">
        <v>1.2209541879999999</v>
      </c>
      <c r="CQ204" s="636">
        <v>0</v>
      </c>
      <c r="CR204" s="636">
        <v>0.18055033100000001</v>
      </c>
      <c r="CS204" s="207"/>
      <c r="CT204" s="636">
        <v>1.5433887917627747</v>
      </c>
      <c r="CU204" s="636">
        <v>1.655878718755009</v>
      </c>
      <c r="CV204" s="636">
        <v>0</v>
      </c>
      <c r="CW204" s="636">
        <v>0</v>
      </c>
      <c r="CX204" s="636">
        <v>0</v>
      </c>
      <c r="CY204" s="636">
        <v>0</v>
      </c>
      <c r="CZ204" s="636">
        <v>0</v>
      </c>
      <c r="DA204" s="636">
        <v>0</v>
      </c>
      <c r="DB204" s="636">
        <v>0</v>
      </c>
      <c r="DC204" s="636">
        <v>2.2192622103601756</v>
      </c>
      <c r="DD204" s="636">
        <v>3.0309682800781506</v>
      </c>
      <c r="DE204" s="636">
        <v>2.1944824464659884</v>
      </c>
      <c r="DF204" s="207"/>
      <c r="DG204" s="636">
        <v>0</v>
      </c>
      <c r="DH204" s="636">
        <v>1.3800060194405819</v>
      </c>
      <c r="DI204" s="636">
        <v>0</v>
      </c>
      <c r="DJ204" s="636">
        <v>0</v>
      </c>
      <c r="DK204" s="636">
        <v>0</v>
      </c>
      <c r="DL204" s="636">
        <v>0</v>
      </c>
      <c r="DM204" s="636">
        <v>0</v>
      </c>
      <c r="DN204" s="636">
        <v>0</v>
      </c>
      <c r="DO204" s="636">
        <v>0</v>
      </c>
      <c r="DP204" s="636">
        <v>1.435367986990427</v>
      </c>
      <c r="DQ204" s="636">
        <v>0.204482</v>
      </c>
      <c r="DR204" s="636">
        <v>0.21445545590000001</v>
      </c>
      <c r="FT204" s="636">
        <v>305.61599999999999</v>
      </c>
      <c r="FU204" s="636">
        <v>576.40400000000011</v>
      </c>
      <c r="FV204" s="636">
        <v>314.233</v>
      </c>
      <c r="FW204" s="636">
        <v>-270.78799999999995</v>
      </c>
      <c r="FX204" s="207"/>
      <c r="FY204" s="636">
        <v>4.5475066640000001</v>
      </c>
      <c r="FZ204" s="636">
        <v>10.643980447422097</v>
      </c>
      <c r="GA204" s="636">
        <v>3.2343114623310085</v>
      </c>
      <c r="GB204" s="207"/>
      <c r="GC204" s="207"/>
      <c r="GD204" s="207"/>
      <c r="GE204" s="207"/>
      <c r="GF204" s="207"/>
      <c r="GG204" s="207"/>
      <c r="GH204" s="636">
        <v>66.77300000000001</v>
      </c>
      <c r="GI204" s="636">
        <v>120</v>
      </c>
      <c r="GJ204" s="636">
        <v>80.722999999999999</v>
      </c>
      <c r="GL204" s="207"/>
      <c r="GM204" s="636">
        <v>0.18055033100000001</v>
      </c>
      <c r="GN204" s="636">
        <v>2.1944824464659884</v>
      </c>
      <c r="GO204" s="636">
        <v>0.21445545590000001</v>
      </c>
      <c r="GP204" s="207"/>
      <c r="GQ204" s="207"/>
      <c r="GR204" s="207"/>
      <c r="GS204" s="207"/>
      <c r="GT204" s="207"/>
      <c r="GU204" s="207"/>
      <c r="GV204" s="213"/>
    </row>
    <row r="205" spans="1:204" ht="12.75" customHeight="1">
      <c r="A205" s="213"/>
      <c r="B205" s="213"/>
      <c r="C205" s="213"/>
      <c r="D205" s="649" t="s">
        <v>207</v>
      </c>
      <c r="E205" s="649"/>
      <c r="G205" s="639"/>
      <c r="Q205" s="207"/>
      <c r="S205" s="207"/>
      <c r="AF205" s="207"/>
      <c r="AR205" s="207"/>
      <c r="AS205" s="671"/>
      <c r="AT205" s="207"/>
      <c r="BF205" s="207"/>
      <c r="BG205" s="207"/>
      <c r="BS205" s="207"/>
      <c r="CF205" s="207"/>
      <c r="CG205" s="636"/>
      <c r="CH205" s="636"/>
      <c r="CI205" s="636"/>
      <c r="CJ205" s="636"/>
      <c r="CK205" s="636"/>
      <c r="CL205" s="636"/>
      <c r="CN205" s="636"/>
      <c r="CO205" s="636"/>
      <c r="CP205" s="636"/>
      <c r="CQ205" s="636"/>
      <c r="CR205" s="636"/>
      <c r="CS205" s="207"/>
      <c r="CT205" s="636"/>
      <c r="CU205" s="636"/>
      <c r="CV205" s="636"/>
      <c r="CW205" s="636"/>
      <c r="CX205" s="636"/>
      <c r="CY205" s="636"/>
      <c r="CZ205" s="636"/>
      <c r="DA205" s="636"/>
      <c r="DB205" s="636"/>
      <c r="DC205" s="636"/>
      <c r="DD205" s="636"/>
      <c r="DE205" s="636"/>
      <c r="DF205" s="207"/>
      <c r="DG205" s="636"/>
      <c r="DH205" s="636"/>
      <c r="DI205" s="636"/>
      <c r="DJ205" s="636"/>
      <c r="DK205" s="636"/>
      <c r="DL205" s="636"/>
      <c r="DM205" s="636"/>
      <c r="DN205" s="636"/>
      <c r="DO205" s="636"/>
      <c r="DP205" s="636"/>
      <c r="DQ205" s="636"/>
      <c r="DR205" s="636"/>
      <c r="FT205" s="636">
        <v>46.494000000000007</v>
      </c>
      <c r="FU205" s="636">
        <v>0</v>
      </c>
      <c r="FV205" s="636">
        <v>40.03</v>
      </c>
      <c r="FW205" s="636">
        <v>46.494000000000007</v>
      </c>
      <c r="FX205" s="207"/>
      <c r="FY205" s="636">
        <v>0.65580582399999998</v>
      </c>
      <c r="FZ205" s="636">
        <v>0</v>
      </c>
      <c r="GA205" s="636">
        <v>0.51921225571452334</v>
      </c>
      <c r="GB205" s="207"/>
      <c r="GC205" s="207"/>
      <c r="GD205" s="207"/>
      <c r="GE205" s="207"/>
      <c r="GF205" s="207"/>
      <c r="GG205" s="207"/>
      <c r="GH205" s="636">
        <v>17.437000000000005</v>
      </c>
      <c r="GI205" s="636">
        <v>0</v>
      </c>
      <c r="GJ205" s="636">
        <v>17.53</v>
      </c>
      <c r="GL205" s="207"/>
      <c r="GM205" s="636">
        <v>0.24788966400000001</v>
      </c>
      <c r="GN205" s="636">
        <v>0</v>
      </c>
      <c r="GO205" s="636">
        <v>0.25649101955730386</v>
      </c>
      <c r="GP205" s="207"/>
      <c r="GQ205" s="207"/>
      <c r="GR205" s="207"/>
      <c r="GS205" s="207"/>
      <c r="GT205" s="207"/>
      <c r="GU205" s="207"/>
      <c r="GV205" s="213"/>
    </row>
    <row r="206" spans="1:204" ht="12.75" customHeight="1">
      <c r="A206" s="213"/>
      <c r="B206" s="213"/>
      <c r="C206" s="213"/>
      <c r="D206" s="649" t="s">
        <v>362</v>
      </c>
      <c r="E206" s="649" t="s">
        <v>73</v>
      </c>
      <c r="G206" s="639">
        <v>1787.4800000000009</v>
      </c>
      <c r="H206" s="639">
        <v>1413.79</v>
      </c>
      <c r="I206" s="639">
        <v>1307.9599999999998</v>
      </c>
      <c r="J206" s="639">
        <v>1507.61</v>
      </c>
      <c r="K206" s="639">
        <v>1000.3000000000001</v>
      </c>
      <c r="L206" s="639">
        <v>0</v>
      </c>
      <c r="M206" s="639">
        <v>88.71</v>
      </c>
      <c r="N206" s="639">
        <v>355.35000000000008</v>
      </c>
      <c r="O206" s="639">
        <v>1531.0100000000007</v>
      </c>
      <c r="P206" s="639">
        <v>1035.2599999999998</v>
      </c>
      <c r="Q206" s="639">
        <v>1414.96</v>
      </c>
      <c r="R206" s="639">
        <v>1764.6700000000012</v>
      </c>
      <c r="S206" s="639">
        <v>2048.0504867606223</v>
      </c>
      <c r="T206" s="639">
        <v>1400</v>
      </c>
      <c r="U206" s="639">
        <v>1400</v>
      </c>
      <c r="V206" s="639">
        <v>1400</v>
      </c>
      <c r="W206" s="639">
        <v>800</v>
      </c>
      <c r="X206" s="639">
        <v>1300</v>
      </c>
      <c r="Y206" s="639">
        <v>1300</v>
      </c>
      <c r="Z206" s="639">
        <v>1300</v>
      </c>
      <c r="AA206" s="639">
        <v>900</v>
      </c>
      <c r="AB206" s="639">
        <v>1300</v>
      </c>
      <c r="AC206" s="639">
        <v>1300</v>
      </c>
      <c r="AD206" s="639">
        <v>1600</v>
      </c>
      <c r="AE206" s="639">
        <v>1300</v>
      </c>
      <c r="AF206" s="639">
        <v>0</v>
      </c>
      <c r="AG206" s="639">
        <v>0</v>
      </c>
      <c r="AH206" s="639">
        <v>1100</v>
      </c>
      <c r="AI206" s="639">
        <v>1400</v>
      </c>
      <c r="AJ206" s="639">
        <v>1500</v>
      </c>
      <c r="AK206" s="639">
        <v>990</v>
      </c>
      <c r="AL206" s="639">
        <v>0</v>
      </c>
      <c r="AM206" s="639">
        <v>0</v>
      </c>
      <c r="AN206" s="639">
        <v>350</v>
      </c>
      <c r="AO206" s="639">
        <v>1500</v>
      </c>
      <c r="AP206" s="639">
        <v>1031</v>
      </c>
      <c r="AQ206" s="639">
        <v>2000</v>
      </c>
      <c r="AR206" s="639">
        <v>2000</v>
      </c>
      <c r="AS206" s="671"/>
      <c r="AT206" s="639"/>
      <c r="AU206" s="639"/>
      <c r="AV206" s="639"/>
      <c r="AW206" s="639"/>
      <c r="AX206" s="639"/>
      <c r="AY206" s="639"/>
      <c r="AZ206" s="639"/>
      <c r="BA206" s="639"/>
      <c r="BB206" s="639"/>
      <c r="BC206" s="639"/>
      <c r="BD206" s="639"/>
      <c r="BE206" s="639"/>
      <c r="BF206" s="639"/>
      <c r="BG206" s="639"/>
      <c r="BH206" s="639"/>
      <c r="BI206" s="639"/>
      <c r="BJ206" s="639"/>
      <c r="BK206" s="639"/>
      <c r="BL206" s="639"/>
      <c r="BM206" s="639"/>
      <c r="BN206" s="639"/>
      <c r="BO206" s="639"/>
      <c r="BP206" s="639"/>
      <c r="BQ206" s="639"/>
      <c r="BR206" s="639"/>
      <c r="BS206" s="639"/>
      <c r="BT206" s="639"/>
      <c r="BU206" s="639"/>
      <c r="BV206" s="639"/>
      <c r="BW206" s="639"/>
      <c r="BX206" s="639"/>
      <c r="BY206" s="639"/>
      <c r="BZ206" s="639"/>
      <c r="CA206" s="639"/>
      <c r="CB206" s="639"/>
      <c r="CC206" s="639"/>
      <c r="CD206" s="639"/>
      <c r="CE206" s="639"/>
      <c r="CF206" s="639"/>
      <c r="CG206" s="636">
        <v>10.900174299999994</v>
      </c>
      <c r="CH206" s="636">
        <v>8.584722649999998</v>
      </c>
      <c r="CI206" s="636">
        <v>7.4867635000000012</v>
      </c>
      <c r="CJ206" s="636">
        <v>8.6734651000000014</v>
      </c>
      <c r="CK206" s="636">
        <v>5.8786057999999999</v>
      </c>
      <c r="CL206" s="636">
        <v>0</v>
      </c>
      <c r="CM206" s="636">
        <v>0.42580800000000002</v>
      </c>
      <c r="CN206" s="636">
        <v>1.7056800000000001</v>
      </c>
      <c r="CO206" s="636">
        <v>7.3509053</v>
      </c>
      <c r="CP206" s="636">
        <v>5.0479101499999999</v>
      </c>
      <c r="CQ206" s="636">
        <v>7.0216091999999986</v>
      </c>
      <c r="CR206" s="636">
        <v>8.674499649999996</v>
      </c>
      <c r="CS206" s="639"/>
      <c r="CT206" s="636">
        <v>8.5314999999999994</v>
      </c>
      <c r="CU206" s="636">
        <v>8.5314999999999994</v>
      </c>
      <c r="CV206" s="636">
        <v>8.5314999999999994</v>
      </c>
      <c r="CW206" s="636">
        <v>5.0476812518837226</v>
      </c>
      <c r="CX206" s="636">
        <v>8.2120174243547002</v>
      </c>
      <c r="CY206" s="636">
        <v>9.4842357312171188</v>
      </c>
      <c r="CZ206" s="636">
        <v>8.2120174243547002</v>
      </c>
      <c r="DA206" s="636">
        <v>6.9476812518837221</v>
      </c>
      <c r="DB206" s="636">
        <v>8.2120174243547002</v>
      </c>
      <c r="DC206" s="636">
        <v>8.2120174243547002</v>
      </c>
      <c r="DD206" s="636">
        <v>11.377751893343092</v>
      </c>
      <c r="DE206" s="636">
        <v>8.2120174243547002</v>
      </c>
      <c r="DF206" s="639">
        <v>0</v>
      </c>
      <c r="DG206" s="636">
        <v>0</v>
      </c>
      <c r="DH206" s="636">
        <v>6.6910000000000007</v>
      </c>
      <c r="DI206" s="636">
        <v>8.5015000000000001</v>
      </c>
      <c r="DJ206" s="636">
        <v>8.5709999999999997</v>
      </c>
      <c r="DK206" s="636">
        <v>5.7896999999999998</v>
      </c>
      <c r="DL206" s="636">
        <v>0</v>
      </c>
      <c r="DM206" s="636">
        <v>0</v>
      </c>
      <c r="DN206" s="636">
        <v>1.68</v>
      </c>
      <c r="DO206" s="636">
        <v>7.2349999999999994</v>
      </c>
      <c r="DP206" s="636">
        <v>5.0167700000000002</v>
      </c>
      <c r="DQ206" s="636">
        <v>9.6875</v>
      </c>
      <c r="DR206" s="636">
        <v>9.6875</v>
      </c>
      <c r="FT206" s="636">
        <v>13207.100000000002</v>
      </c>
      <c r="FU206" s="636">
        <v>15300</v>
      </c>
      <c r="FV206" s="636">
        <v>11871</v>
      </c>
      <c r="FW206" s="636">
        <v>-2092.8999999999978</v>
      </c>
      <c r="FX206" s="639"/>
      <c r="FY206" s="636">
        <v>71.750143649999984</v>
      </c>
      <c r="FZ206" s="636">
        <v>99.511937250101155</v>
      </c>
      <c r="GA206" s="636">
        <v>62.859970000000004</v>
      </c>
      <c r="GB206" s="639"/>
      <c r="GC206" s="639"/>
      <c r="GD206" s="639"/>
      <c r="GE206" s="639"/>
      <c r="GF206" s="639"/>
      <c r="GG206" s="639"/>
      <c r="GH206" s="636">
        <v>1764.6700000000012</v>
      </c>
      <c r="GI206" s="636">
        <v>1300</v>
      </c>
      <c r="GJ206" s="636">
        <v>2000</v>
      </c>
      <c r="GK206" s="639"/>
      <c r="GL206" s="639"/>
      <c r="GM206" s="636">
        <v>8.674499649999996</v>
      </c>
      <c r="GN206" s="636">
        <v>8.2120174243547002</v>
      </c>
      <c r="GO206" s="636">
        <v>9.6875</v>
      </c>
      <c r="GP206" s="639"/>
      <c r="GQ206" s="639"/>
      <c r="GR206" s="639"/>
      <c r="GS206" s="639"/>
      <c r="GT206" s="639"/>
      <c r="GU206" s="639"/>
      <c r="GV206" s="213"/>
    </row>
    <row r="207" spans="1:204" ht="12.75" customHeight="1">
      <c r="A207" s="213"/>
      <c r="B207" s="213"/>
      <c r="C207" s="213"/>
      <c r="D207" s="649"/>
      <c r="E207" s="649" t="s">
        <v>49</v>
      </c>
      <c r="G207" s="639">
        <v>0</v>
      </c>
      <c r="H207" s="639">
        <v>100</v>
      </c>
      <c r="I207" s="639">
        <v>0</v>
      </c>
      <c r="J207" s="639">
        <v>0</v>
      </c>
      <c r="K207" s="639">
        <v>0</v>
      </c>
      <c r="L207" s="639">
        <v>0</v>
      </c>
      <c r="M207" s="639">
        <v>0</v>
      </c>
      <c r="N207" s="639">
        <v>0</v>
      </c>
      <c r="O207" s="639">
        <v>0.2</v>
      </c>
      <c r="P207" s="639">
        <v>0</v>
      </c>
      <c r="Q207" s="639">
        <v>0</v>
      </c>
      <c r="R207" s="639">
        <v>0</v>
      </c>
      <c r="S207" s="639">
        <v>0</v>
      </c>
      <c r="T207" s="639">
        <v>0</v>
      </c>
      <c r="U207" s="639">
        <v>100</v>
      </c>
      <c r="V207" s="639">
        <v>0</v>
      </c>
      <c r="W207" s="639">
        <v>0</v>
      </c>
      <c r="X207" s="639">
        <v>0</v>
      </c>
      <c r="Y207" s="639">
        <v>0</v>
      </c>
      <c r="Z207" s="639">
        <v>0</v>
      </c>
      <c r="AA207" s="639">
        <v>0</v>
      </c>
      <c r="AB207" s="639">
        <v>0</v>
      </c>
      <c r="AC207" s="639">
        <v>0</v>
      </c>
      <c r="AD207" s="639">
        <v>0</v>
      </c>
      <c r="AE207" s="639">
        <v>0</v>
      </c>
      <c r="AF207" s="639">
        <v>0</v>
      </c>
      <c r="AG207" s="639">
        <v>0</v>
      </c>
      <c r="AH207" s="639">
        <v>100</v>
      </c>
      <c r="AI207" s="639">
        <v>0</v>
      </c>
      <c r="AJ207" s="639">
        <v>0</v>
      </c>
      <c r="AK207" s="639">
        <v>0</v>
      </c>
      <c r="AL207" s="639">
        <v>0</v>
      </c>
      <c r="AM207" s="639">
        <v>0</v>
      </c>
      <c r="AN207" s="639">
        <v>0</v>
      </c>
      <c r="AO207" s="639">
        <v>0</v>
      </c>
      <c r="AP207" s="639">
        <v>0</v>
      </c>
      <c r="AQ207" s="639">
        <v>0</v>
      </c>
      <c r="AR207" s="639">
        <v>0</v>
      </c>
      <c r="AS207" s="671"/>
      <c r="AT207" s="639"/>
      <c r="AU207" s="639"/>
      <c r="AV207" s="639"/>
      <c r="AW207" s="639"/>
      <c r="AX207" s="639"/>
      <c r="AY207" s="639"/>
      <c r="AZ207" s="639"/>
      <c r="BA207" s="639"/>
      <c r="BB207" s="639"/>
      <c r="BC207" s="639"/>
      <c r="BD207" s="639"/>
      <c r="BE207" s="639"/>
      <c r="BF207" s="639"/>
      <c r="BG207" s="639"/>
      <c r="BH207" s="639"/>
      <c r="BI207" s="639"/>
      <c r="BJ207" s="639"/>
      <c r="BK207" s="639"/>
      <c r="BL207" s="639"/>
      <c r="BM207" s="639"/>
      <c r="BN207" s="639"/>
      <c r="BO207" s="639"/>
      <c r="BP207" s="639"/>
      <c r="BQ207" s="639"/>
      <c r="BR207" s="639"/>
      <c r="BS207" s="639"/>
      <c r="BT207" s="639"/>
      <c r="BU207" s="639"/>
      <c r="BV207" s="639"/>
      <c r="BW207" s="639"/>
      <c r="BX207" s="639"/>
      <c r="BY207" s="639"/>
      <c r="BZ207" s="639"/>
      <c r="CA207" s="639"/>
      <c r="CB207" s="639"/>
      <c r="CC207" s="639"/>
      <c r="CD207" s="639"/>
      <c r="CE207" s="639"/>
      <c r="CF207" s="639"/>
      <c r="CG207" s="636">
        <v>0</v>
      </c>
      <c r="CH207" s="636">
        <v>0.87000000000000011</v>
      </c>
      <c r="CI207" s="636">
        <v>0</v>
      </c>
      <c r="CJ207" s="636">
        <v>0</v>
      </c>
      <c r="CK207" s="636">
        <v>0</v>
      </c>
      <c r="CL207" s="636">
        <v>0</v>
      </c>
      <c r="CM207" s="636">
        <v>0</v>
      </c>
      <c r="CN207" s="636">
        <v>0</v>
      </c>
      <c r="CO207" s="636">
        <v>1.58E-3</v>
      </c>
      <c r="CP207" s="636">
        <v>0</v>
      </c>
      <c r="CQ207" s="636">
        <v>0</v>
      </c>
      <c r="CR207" s="636">
        <v>0</v>
      </c>
      <c r="CS207" s="639"/>
      <c r="CT207" s="636">
        <v>0</v>
      </c>
      <c r="CU207" s="636">
        <v>0.87</v>
      </c>
      <c r="CV207" s="636">
        <v>0</v>
      </c>
      <c r="CW207" s="636">
        <v>0</v>
      </c>
      <c r="CX207" s="636">
        <v>0</v>
      </c>
      <c r="CY207" s="636">
        <v>0</v>
      </c>
      <c r="CZ207" s="636">
        <v>0</v>
      </c>
      <c r="DA207" s="636">
        <v>0</v>
      </c>
      <c r="DB207" s="636">
        <v>0</v>
      </c>
      <c r="DC207" s="636">
        <v>0</v>
      </c>
      <c r="DD207" s="636">
        <v>0</v>
      </c>
      <c r="DE207" s="636">
        <v>0</v>
      </c>
      <c r="DF207" s="639">
        <v>0</v>
      </c>
      <c r="DG207" s="636">
        <v>0</v>
      </c>
      <c r="DH207" s="636">
        <v>0.87</v>
      </c>
      <c r="DI207" s="636">
        <v>0</v>
      </c>
      <c r="DJ207" s="636">
        <v>0</v>
      </c>
      <c r="DK207" s="636">
        <v>0</v>
      </c>
      <c r="DL207" s="636">
        <v>0</v>
      </c>
      <c r="DM207" s="636">
        <v>0</v>
      </c>
      <c r="DN207" s="636">
        <v>0</v>
      </c>
      <c r="DO207" s="636">
        <v>0</v>
      </c>
      <c r="DP207" s="636">
        <v>0</v>
      </c>
      <c r="DQ207" s="636">
        <v>0</v>
      </c>
      <c r="DR207" s="636">
        <v>0</v>
      </c>
      <c r="FT207" s="636">
        <v>100.2</v>
      </c>
      <c r="FU207" s="636">
        <v>100</v>
      </c>
      <c r="FV207" s="636">
        <v>100</v>
      </c>
      <c r="FW207" s="636">
        <v>0.20000000000000284</v>
      </c>
      <c r="FX207" s="639"/>
      <c r="FY207" s="636">
        <v>0.87158000000000013</v>
      </c>
      <c r="FZ207" s="636">
        <v>0.87</v>
      </c>
      <c r="GA207" s="636">
        <v>0.87</v>
      </c>
      <c r="GB207" s="639"/>
      <c r="GC207" s="639"/>
      <c r="GD207" s="639"/>
      <c r="GE207" s="639"/>
      <c r="GF207" s="639"/>
      <c r="GG207" s="639"/>
      <c r="GH207" s="636">
        <v>0</v>
      </c>
      <c r="GI207" s="636">
        <v>0</v>
      </c>
      <c r="GJ207" s="636">
        <v>0</v>
      </c>
      <c r="GK207" s="639"/>
      <c r="GL207" s="639"/>
      <c r="GM207" s="636">
        <v>0</v>
      </c>
      <c r="GN207" s="636">
        <v>0</v>
      </c>
      <c r="GO207" s="636">
        <v>0</v>
      </c>
      <c r="GP207" s="639"/>
      <c r="GQ207" s="639"/>
      <c r="GR207" s="639"/>
      <c r="GS207" s="639"/>
      <c r="GT207" s="639"/>
      <c r="GU207" s="639"/>
      <c r="GV207" s="213"/>
    </row>
    <row r="208" spans="1:204" ht="12.75" customHeight="1">
      <c r="A208" s="213"/>
      <c r="B208" s="213"/>
      <c r="C208" s="213"/>
      <c r="D208" s="649"/>
      <c r="E208" s="649" t="s">
        <v>358</v>
      </c>
      <c r="G208" s="639">
        <v>99.079999999999984</v>
      </c>
      <c r="H208" s="639">
        <v>167.99999999999983</v>
      </c>
      <c r="I208" s="639">
        <v>84.500000000000114</v>
      </c>
      <c r="J208" s="639">
        <v>167.84999999999985</v>
      </c>
      <c r="K208" s="639">
        <v>0</v>
      </c>
      <c r="L208" s="639">
        <v>0</v>
      </c>
      <c r="M208" s="639">
        <v>0</v>
      </c>
      <c r="N208" s="639">
        <v>0</v>
      </c>
      <c r="O208" s="639">
        <v>0.6</v>
      </c>
      <c r="P208" s="639">
        <v>135.155</v>
      </c>
      <c r="Q208" s="639">
        <v>139.63800000000001</v>
      </c>
      <c r="R208" s="639">
        <v>261.28000000000003</v>
      </c>
      <c r="S208" s="639">
        <v>0</v>
      </c>
      <c r="T208" s="639">
        <v>100</v>
      </c>
      <c r="U208" s="639">
        <v>100</v>
      </c>
      <c r="V208" s="639">
        <v>100</v>
      </c>
      <c r="W208" s="639">
        <v>100</v>
      </c>
      <c r="X208" s="639">
        <v>150</v>
      </c>
      <c r="Y208" s="639">
        <v>150</v>
      </c>
      <c r="Z208" s="639">
        <v>200</v>
      </c>
      <c r="AA208" s="639">
        <v>200</v>
      </c>
      <c r="AB208" s="639">
        <v>200</v>
      </c>
      <c r="AC208" s="639">
        <v>100</v>
      </c>
      <c r="AD208" s="639">
        <v>200</v>
      </c>
      <c r="AE208" s="639">
        <v>100</v>
      </c>
      <c r="AF208" s="639">
        <v>0</v>
      </c>
      <c r="AG208" s="639">
        <v>0</v>
      </c>
      <c r="AH208" s="639">
        <v>160</v>
      </c>
      <c r="AI208" s="639">
        <v>136</v>
      </c>
      <c r="AJ208" s="639">
        <v>165</v>
      </c>
      <c r="AK208" s="639">
        <v>0</v>
      </c>
      <c r="AL208" s="639">
        <v>0</v>
      </c>
      <c r="AM208" s="639">
        <v>0</v>
      </c>
      <c r="AN208" s="639">
        <v>0</v>
      </c>
      <c r="AO208" s="639">
        <v>0</v>
      </c>
      <c r="AP208" s="639">
        <v>0</v>
      </c>
      <c r="AQ208" s="639">
        <v>0</v>
      </c>
      <c r="AR208" s="639">
        <v>0</v>
      </c>
      <c r="AS208" s="671"/>
      <c r="AT208" s="639"/>
      <c r="AU208" s="639"/>
      <c r="AV208" s="639"/>
      <c r="AW208" s="639"/>
      <c r="AX208" s="639"/>
      <c r="AY208" s="639"/>
      <c r="AZ208" s="639"/>
      <c r="BA208" s="639"/>
      <c r="BB208" s="639"/>
      <c r="BC208" s="639"/>
      <c r="BD208" s="639"/>
      <c r="BE208" s="639"/>
      <c r="BF208" s="639"/>
      <c r="BG208" s="639"/>
      <c r="BH208" s="639"/>
      <c r="BI208" s="639"/>
      <c r="BJ208" s="639"/>
      <c r="BK208" s="639"/>
      <c r="BL208" s="639"/>
      <c r="BM208" s="639"/>
      <c r="BN208" s="639"/>
      <c r="BO208" s="639"/>
      <c r="BP208" s="639"/>
      <c r="BQ208" s="639"/>
      <c r="BR208" s="639"/>
      <c r="BS208" s="639"/>
      <c r="BT208" s="639"/>
      <c r="BU208" s="639"/>
      <c r="BV208" s="639"/>
      <c r="BW208" s="639"/>
      <c r="BX208" s="639"/>
      <c r="BY208" s="639"/>
      <c r="BZ208" s="639"/>
      <c r="CA208" s="639"/>
      <c r="CB208" s="639"/>
      <c r="CC208" s="639"/>
      <c r="CD208" s="639"/>
      <c r="CE208" s="639"/>
      <c r="CF208" s="639"/>
      <c r="CG208" s="636">
        <v>1.186784842</v>
      </c>
      <c r="CH208" s="636">
        <v>2.3869199590000028</v>
      </c>
      <c r="CI208" s="636">
        <v>1.204187099000001</v>
      </c>
      <c r="CJ208" s="636">
        <v>2.3776526620000022</v>
      </c>
      <c r="CK208" s="636">
        <v>0</v>
      </c>
      <c r="CL208" s="636">
        <v>0</v>
      </c>
      <c r="CM208" s="636">
        <v>0</v>
      </c>
      <c r="CN208" s="636">
        <v>0</v>
      </c>
      <c r="CO208" s="636">
        <v>8.9999999999999993E-3</v>
      </c>
      <c r="CP208" s="636">
        <v>0.91310839599999993</v>
      </c>
      <c r="CQ208" s="636">
        <v>0.97877696099999989</v>
      </c>
      <c r="CR208" s="636">
        <v>1.9692673599999999</v>
      </c>
      <c r="CS208" s="639"/>
      <c r="CT208" s="636">
        <v>1.379503699425616</v>
      </c>
      <c r="CU208" s="636">
        <v>1.379503699425616</v>
      </c>
      <c r="CV208" s="636">
        <v>1.379503699425616</v>
      </c>
      <c r="CW208" s="636">
        <v>1.379503699425616</v>
      </c>
      <c r="CX208" s="636">
        <v>2.0692555491384241</v>
      </c>
      <c r="CY208" s="636">
        <v>2.0692555491384241</v>
      </c>
      <c r="CZ208" s="636">
        <v>2.759007398851232</v>
      </c>
      <c r="DA208" s="636">
        <v>2.759007398851232</v>
      </c>
      <c r="DB208" s="636">
        <v>2.759007398851232</v>
      </c>
      <c r="DC208" s="636">
        <v>1.379503699425616</v>
      </c>
      <c r="DD208" s="636">
        <v>2.759007398851232</v>
      </c>
      <c r="DE208" s="636">
        <v>1.379503699425616</v>
      </c>
      <c r="DF208" s="639">
        <v>0</v>
      </c>
      <c r="DG208" s="636">
        <v>0</v>
      </c>
      <c r="DH208" s="636">
        <v>2.2448160000000001</v>
      </c>
      <c r="DI208" s="636">
        <v>1.9176</v>
      </c>
      <c r="DJ208" s="636">
        <v>2.32705275</v>
      </c>
      <c r="DK208" s="636">
        <v>0</v>
      </c>
      <c r="DL208" s="636">
        <v>0</v>
      </c>
      <c r="DM208" s="636">
        <v>0</v>
      </c>
      <c r="DN208" s="636">
        <v>0</v>
      </c>
      <c r="DO208" s="636">
        <v>0</v>
      </c>
      <c r="DP208" s="636">
        <v>0</v>
      </c>
      <c r="DQ208" s="636">
        <v>0</v>
      </c>
      <c r="DR208" s="636">
        <v>0</v>
      </c>
      <c r="FT208" s="636">
        <v>1056.1029999999998</v>
      </c>
      <c r="FU208" s="636">
        <v>1700</v>
      </c>
      <c r="FV208" s="636">
        <v>461</v>
      </c>
      <c r="FW208" s="636">
        <v>-643.89700000000016</v>
      </c>
      <c r="FX208" s="639"/>
      <c r="FY208" s="636">
        <v>11.025697279000006</v>
      </c>
      <c r="FZ208" s="636">
        <v>23.451562890235472</v>
      </c>
      <c r="GA208" s="636">
        <v>6.4894687500000003</v>
      </c>
      <c r="GB208" s="639"/>
      <c r="GC208" s="639"/>
      <c r="GD208" s="639"/>
      <c r="GE208" s="639"/>
      <c r="GF208" s="639"/>
      <c r="GG208" s="639"/>
      <c r="GH208" s="636">
        <v>261.28000000000003</v>
      </c>
      <c r="GI208" s="636">
        <v>100</v>
      </c>
      <c r="GJ208" s="636">
        <v>0</v>
      </c>
      <c r="GK208" s="639"/>
      <c r="GL208" s="639"/>
      <c r="GM208" s="636">
        <v>1.9692673599999999</v>
      </c>
      <c r="GN208" s="636">
        <v>1.379503699425616</v>
      </c>
      <c r="GO208" s="636">
        <v>0</v>
      </c>
      <c r="GP208" s="639"/>
      <c r="GQ208" s="639"/>
      <c r="GR208" s="639"/>
      <c r="GS208" s="639"/>
      <c r="GT208" s="639"/>
      <c r="GU208" s="639"/>
      <c r="GV208" s="213"/>
    </row>
    <row r="209" spans="1:204" ht="12.75" customHeight="1">
      <c r="A209" s="213"/>
      <c r="B209" s="213"/>
      <c r="C209" s="213"/>
      <c r="D209" s="649"/>
      <c r="E209" s="649" t="s">
        <v>363</v>
      </c>
      <c r="G209" s="639">
        <v>0</v>
      </c>
      <c r="H209" s="639">
        <v>0</v>
      </c>
      <c r="I209" s="639">
        <v>0</v>
      </c>
      <c r="J209" s="639">
        <v>0</v>
      </c>
      <c r="K209" s="639">
        <v>0</v>
      </c>
      <c r="L209" s="639">
        <v>0</v>
      </c>
      <c r="M209" s="639">
        <v>0</v>
      </c>
      <c r="N209" s="639">
        <v>0</v>
      </c>
      <c r="O209" s="639">
        <v>0</v>
      </c>
      <c r="P209" s="639">
        <v>0</v>
      </c>
      <c r="Q209" s="639">
        <v>0</v>
      </c>
      <c r="R209" s="639">
        <v>0</v>
      </c>
      <c r="S209" s="639">
        <v>0</v>
      </c>
      <c r="T209" s="639">
        <v>0</v>
      </c>
      <c r="U209" s="639">
        <v>0</v>
      </c>
      <c r="V209" s="639">
        <v>0</v>
      </c>
      <c r="W209" s="639">
        <v>0</v>
      </c>
      <c r="X209" s="639">
        <v>0</v>
      </c>
      <c r="Y209" s="639">
        <v>0</v>
      </c>
      <c r="Z209" s="639">
        <v>0</v>
      </c>
      <c r="AA209" s="639">
        <v>0</v>
      </c>
      <c r="AB209" s="639">
        <v>0</v>
      </c>
      <c r="AC209" s="639">
        <v>0</v>
      </c>
      <c r="AD209" s="639">
        <v>0</v>
      </c>
      <c r="AE209" s="639">
        <v>0</v>
      </c>
      <c r="AF209" s="639">
        <v>0</v>
      </c>
      <c r="AG209" s="639">
        <v>0</v>
      </c>
      <c r="AH209" s="639">
        <v>0</v>
      </c>
      <c r="AI209" s="639">
        <v>0</v>
      </c>
      <c r="AJ209" s="639">
        <v>0</v>
      </c>
      <c r="AK209" s="639">
        <v>0</v>
      </c>
      <c r="AL209" s="639">
        <v>0</v>
      </c>
      <c r="AM209" s="639">
        <v>0</v>
      </c>
      <c r="AN209" s="639">
        <v>0</v>
      </c>
      <c r="AO209" s="639">
        <v>0</v>
      </c>
      <c r="AP209" s="639">
        <v>0</v>
      </c>
      <c r="AQ209" s="639">
        <v>0</v>
      </c>
      <c r="AR209" s="639">
        <v>0</v>
      </c>
      <c r="AS209" s="671"/>
      <c r="AT209" s="639"/>
      <c r="AU209" s="639"/>
      <c r="AV209" s="639"/>
      <c r="AW209" s="639"/>
      <c r="AX209" s="639"/>
      <c r="AY209" s="639"/>
      <c r="AZ209" s="639"/>
      <c r="BA209" s="639"/>
      <c r="BB209" s="639"/>
      <c r="BC209" s="639"/>
      <c r="BD209" s="639"/>
      <c r="BE209" s="639"/>
      <c r="BF209" s="639"/>
      <c r="BG209" s="639"/>
      <c r="BH209" s="639"/>
      <c r="BI209" s="639"/>
      <c r="BJ209" s="639"/>
      <c r="BK209" s="639"/>
      <c r="BL209" s="639"/>
      <c r="BM209" s="639"/>
      <c r="BN209" s="639"/>
      <c r="BO209" s="639"/>
      <c r="BP209" s="639"/>
      <c r="BQ209" s="639"/>
      <c r="BR209" s="639"/>
      <c r="BS209" s="639"/>
      <c r="BT209" s="639"/>
      <c r="BU209" s="639"/>
      <c r="BV209" s="639"/>
      <c r="BW209" s="639"/>
      <c r="BX209" s="639"/>
      <c r="BY209" s="639"/>
      <c r="BZ209" s="639"/>
      <c r="CA209" s="639"/>
      <c r="CB209" s="639"/>
      <c r="CC209" s="639"/>
      <c r="CD209" s="639"/>
      <c r="CE209" s="639"/>
      <c r="CF209" s="639"/>
      <c r="CG209" s="636">
        <v>0</v>
      </c>
      <c r="CH209" s="636">
        <v>0</v>
      </c>
      <c r="CI209" s="636">
        <v>0</v>
      </c>
      <c r="CJ209" s="636">
        <v>0</v>
      </c>
      <c r="CK209" s="636">
        <v>0</v>
      </c>
      <c r="CL209" s="636">
        <v>0</v>
      </c>
      <c r="CM209" s="636">
        <v>0</v>
      </c>
      <c r="CN209" s="636">
        <v>0</v>
      </c>
      <c r="CO209" s="636">
        <v>0</v>
      </c>
      <c r="CP209" s="636">
        <v>0</v>
      </c>
      <c r="CQ209" s="636">
        <v>0</v>
      </c>
      <c r="CR209" s="636">
        <v>0</v>
      </c>
      <c r="CS209" s="639"/>
      <c r="CT209" s="636">
        <v>0</v>
      </c>
      <c r="CU209" s="636">
        <v>0</v>
      </c>
      <c r="CV209" s="636">
        <v>0</v>
      </c>
      <c r="CW209" s="636">
        <v>0</v>
      </c>
      <c r="CX209" s="636">
        <v>0</v>
      </c>
      <c r="CY209" s="636">
        <v>0</v>
      </c>
      <c r="CZ209" s="636">
        <v>0</v>
      </c>
      <c r="DA209" s="636">
        <v>0</v>
      </c>
      <c r="DB209" s="636">
        <v>0</v>
      </c>
      <c r="DC209" s="636">
        <v>0</v>
      </c>
      <c r="DD209" s="636">
        <v>0</v>
      </c>
      <c r="DE209" s="636">
        <v>0</v>
      </c>
      <c r="DF209" s="639">
        <v>0</v>
      </c>
      <c r="DG209" s="636">
        <v>0</v>
      </c>
      <c r="DH209" s="636">
        <v>0</v>
      </c>
      <c r="DI209" s="636">
        <v>0</v>
      </c>
      <c r="DJ209" s="636">
        <v>0</v>
      </c>
      <c r="DK209" s="636">
        <v>0</v>
      </c>
      <c r="DL209" s="636">
        <v>0</v>
      </c>
      <c r="DM209" s="636">
        <v>0</v>
      </c>
      <c r="DN209" s="636">
        <v>0</v>
      </c>
      <c r="DO209" s="636">
        <v>0</v>
      </c>
      <c r="DP209" s="636">
        <v>0</v>
      </c>
      <c r="DQ209" s="636">
        <v>0</v>
      </c>
      <c r="DR209" s="636">
        <v>0</v>
      </c>
      <c r="FT209" s="636">
        <v>0</v>
      </c>
      <c r="FU209" s="636">
        <v>0</v>
      </c>
      <c r="FV209" s="636">
        <v>0</v>
      </c>
      <c r="FW209" s="636">
        <v>0</v>
      </c>
      <c r="FX209" s="639"/>
      <c r="FY209" s="636">
        <v>0</v>
      </c>
      <c r="FZ209" s="636">
        <v>0</v>
      </c>
      <c r="GA209" s="636">
        <v>0</v>
      </c>
      <c r="GB209" s="639"/>
      <c r="GC209" s="639"/>
      <c r="GD209" s="639"/>
      <c r="GE209" s="639"/>
      <c r="GF209" s="639"/>
      <c r="GG209" s="639"/>
      <c r="GH209" s="636">
        <v>0</v>
      </c>
      <c r="GI209" s="636">
        <v>0</v>
      </c>
      <c r="GJ209" s="636">
        <v>0</v>
      </c>
      <c r="GK209" s="639"/>
      <c r="GL209" s="639"/>
      <c r="GM209" s="636">
        <v>0</v>
      </c>
      <c r="GN209" s="636">
        <v>0</v>
      </c>
      <c r="GO209" s="636">
        <v>0</v>
      </c>
      <c r="GP209" s="639"/>
      <c r="GQ209" s="639"/>
      <c r="GR209" s="639"/>
      <c r="GS209" s="639"/>
      <c r="GT209" s="639"/>
      <c r="GU209" s="639"/>
      <c r="GV209" s="213"/>
    </row>
    <row r="210" spans="1:204" ht="12.75" customHeight="1">
      <c r="A210" s="213"/>
      <c r="B210" s="213"/>
      <c r="C210" s="213"/>
      <c r="D210" s="213"/>
      <c r="E210" s="649"/>
      <c r="Q210" s="207"/>
      <c r="S210" s="207"/>
      <c r="AF210" s="207"/>
      <c r="AR210" s="207"/>
      <c r="AS210" s="671"/>
      <c r="AT210" s="207"/>
      <c r="BF210" s="207"/>
      <c r="BG210" s="207"/>
      <c r="BS210" s="207"/>
      <c r="CF210" s="207"/>
      <c r="CG210" s="636"/>
      <c r="CH210" s="636"/>
      <c r="CI210" s="636"/>
      <c r="CJ210" s="636"/>
      <c r="CK210" s="636"/>
      <c r="CL210" s="636"/>
      <c r="CN210" s="636"/>
      <c r="CO210" s="636"/>
      <c r="CP210" s="636"/>
      <c r="CQ210" s="636"/>
      <c r="CR210" s="636"/>
      <c r="CS210" s="207"/>
      <c r="CT210" s="636"/>
      <c r="CU210" s="636"/>
      <c r="CV210" s="636"/>
      <c r="CW210" s="636"/>
      <c r="CX210" s="636"/>
      <c r="CY210" s="636"/>
      <c r="CZ210" s="636"/>
      <c r="DA210" s="636"/>
      <c r="DB210" s="636"/>
      <c r="DC210" s="636"/>
      <c r="DD210" s="636"/>
      <c r="DE210" s="636"/>
      <c r="DF210" s="207"/>
      <c r="DG210" s="636"/>
      <c r="DH210" s="636"/>
      <c r="DI210" s="636"/>
      <c r="DJ210" s="636"/>
      <c r="DK210" s="636"/>
      <c r="DL210" s="636"/>
      <c r="DM210" s="636"/>
      <c r="DN210" s="636"/>
      <c r="DO210" s="636"/>
      <c r="DP210" s="636"/>
      <c r="DQ210" s="636"/>
      <c r="DR210" s="636"/>
      <c r="FT210" s="213"/>
      <c r="FU210" s="213"/>
      <c r="FV210" s="213"/>
      <c r="FW210" s="213"/>
      <c r="FX210" s="207"/>
      <c r="GB210" s="207"/>
      <c r="GC210" s="207"/>
      <c r="GD210" s="207"/>
      <c r="GE210" s="207"/>
      <c r="GF210" s="207"/>
      <c r="GG210" s="207"/>
      <c r="GH210" s="636"/>
      <c r="GI210" s="636"/>
      <c r="GJ210" s="636"/>
      <c r="GL210" s="207"/>
      <c r="GM210" s="636"/>
      <c r="GN210" s="636"/>
      <c r="GO210" s="636"/>
      <c r="GP210" s="207"/>
      <c r="GQ210" s="207"/>
      <c r="GR210" s="207"/>
      <c r="GS210" s="207"/>
      <c r="GT210" s="207"/>
      <c r="GU210" s="207"/>
      <c r="GV210" s="213"/>
    </row>
    <row r="211" spans="1:204" ht="12.75" customHeight="1">
      <c r="A211" s="213"/>
      <c r="B211" s="213"/>
      <c r="C211" s="213"/>
      <c r="D211" s="206" t="s">
        <v>353</v>
      </c>
      <c r="E211" s="649"/>
      <c r="G211" s="639">
        <v>29.102460000000001</v>
      </c>
      <c r="H211" s="639">
        <v>41.104219999999998</v>
      </c>
      <c r="I211" s="639">
        <v>55.796400000000006</v>
      </c>
      <c r="J211" s="639">
        <v>41.644380000000005</v>
      </c>
      <c r="K211" s="639">
        <v>23.02824</v>
      </c>
      <c r="L211" s="639">
        <v>46.735299999999995</v>
      </c>
      <c r="M211" s="639">
        <v>54.647900000000007</v>
      </c>
      <c r="N211" s="639">
        <v>56.083660000000002</v>
      </c>
      <c r="O211" s="639">
        <v>86.908600000000007</v>
      </c>
      <c r="P211" s="639">
        <v>65.324160000000006</v>
      </c>
      <c r="Q211" s="207">
        <v>63.204859999999996</v>
      </c>
      <c r="R211" s="207">
        <v>53.646140000000003</v>
      </c>
      <c r="S211" s="207"/>
      <c r="T211" s="639">
        <v>30.317899999999998</v>
      </c>
      <c r="U211" s="639">
        <v>30.192499999999999</v>
      </c>
      <c r="V211" s="639">
        <v>29.892499999999998</v>
      </c>
      <c r="W211" s="639">
        <v>30.052499999999998</v>
      </c>
      <c r="X211" s="639">
        <v>29.892499999999998</v>
      </c>
      <c r="Y211" s="639">
        <v>30.252499999999998</v>
      </c>
      <c r="Z211" s="639">
        <v>34.575833333333335</v>
      </c>
      <c r="AA211" s="639">
        <v>34.545833333333334</v>
      </c>
      <c r="AB211" s="639">
        <v>34.545833333333334</v>
      </c>
      <c r="AC211" s="639">
        <v>34.545833333333334</v>
      </c>
      <c r="AD211" s="639">
        <v>34.545833333333334</v>
      </c>
      <c r="AE211" s="639">
        <v>34.545833333333334</v>
      </c>
      <c r="AF211" s="207"/>
      <c r="AG211" s="207">
        <v>0</v>
      </c>
      <c r="AH211" s="207">
        <v>57.192169999999997</v>
      </c>
      <c r="AI211" s="639">
        <v>56.930639999999997</v>
      </c>
      <c r="AJ211" s="207">
        <v>45.510559999999998</v>
      </c>
      <c r="AK211" s="207">
        <v>20.4816</v>
      </c>
      <c r="AL211" s="207">
        <v>40.779519999999998</v>
      </c>
      <c r="AM211" s="207">
        <v>72.518879999999996</v>
      </c>
      <c r="AN211" s="207">
        <v>69.055520000000001</v>
      </c>
      <c r="AO211" s="207">
        <v>69.116990000000001</v>
      </c>
      <c r="AP211" s="207">
        <v>77.587680000000006</v>
      </c>
      <c r="AQ211" s="207">
        <v>76.604420000000005</v>
      </c>
      <c r="AR211" s="207">
        <v>47.217200000000005</v>
      </c>
      <c r="AS211" s="671"/>
      <c r="AT211" s="207"/>
      <c r="BF211" s="207"/>
      <c r="BG211" s="207"/>
      <c r="BS211" s="207"/>
      <c r="CF211" s="207"/>
      <c r="CG211" s="636">
        <v>1.7644339499999999</v>
      </c>
      <c r="CH211" s="636">
        <v>2.5425282380000001</v>
      </c>
      <c r="CI211" s="636">
        <v>3.0774972480000002</v>
      </c>
      <c r="CJ211" s="636">
        <v>2.5450959069999999</v>
      </c>
      <c r="CK211" s="636">
        <v>2.2074261780000004</v>
      </c>
      <c r="CL211" s="636">
        <v>3.2739258659999995</v>
      </c>
      <c r="CM211" s="636">
        <v>4.1387668780000002</v>
      </c>
      <c r="CN211" s="636">
        <v>3.126645312</v>
      </c>
      <c r="CO211" s="636">
        <v>4.5862207139999995</v>
      </c>
      <c r="CP211" s="636">
        <v>4.5830883239999984</v>
      </c>
      <c r="CQ211" s="636">
        <v>3.6911924660000004</v>
      </c>
      <c r="CR211" s="636">
        <v>3.7156544379999996</v>
      </c>
      <c r="CS211" s="207"/>
      <c r="CT211" s="636">
        <v>3.5773349064423203</v>
      </c>
      <c r="CU211" s="636">
        <v>2.1053816480724525</v>
      </c>
      <c r="CV211" s="636">
        <v>1.9722591541783299</v>
      </c>
      <c r="CW211" s="636">
        <v>2.0696526246392497</v>
      </c>
      <c r="CX211" s="636">
        <v>1.9722591541783299</v>
      </c>
      <c r="CY211" s="636">
        <v>2.1479572498305388</v>
      </c>
      <c r="CZ211" s="636">
        <v>3.0852195396459692</v>
      </c>
      <c r="DA211" s="636">
        <v>3.071907290256557</v>
      </c>
      <c r="DB211" s="636">
        <v>3.071907290256557</v>
      </c>
      <c r="DC211" s="636">
        <v>3.071907290256557</v>
      </c>
      <c r="DD211" s="636">
        <v>3.071907290256557</v>
      </c>
      <c r="DE211" s="636">
        <v>3.071907290256557</v>
      </c>
      <c r="DF211" s="207"/>
      <c r="DG211" s="636">
        <v>0</v>
      </c>
      <c r="DH211" s="636">
        <v>3.3788487639850446</v>
      </c>
      <c r="DI211" s="636">
        <v>3.310284071758625</v>
      </c>
      <c r="DJ211" s="636">
        <v>2.4712659159993748</v>
      </c>
      <c r="DK211" s="636">
        <v>2.2770429790899906</v>
      </c>
      <c r="DL211" s="636">
        <v>3.4066172244357982</v>
      </c>
      <c r="DM211" s="636">
        <v>4.6114907968890222</v>
      </c>
      <c r="DN211" s="636">
        <v>3.6244528853718645</v>
      </c>
      <c r="DO211" s="636">
        <v>4.9183373186295665</v>
      </c>
      <c r="DP211" s="636">
        <v>5.8151071543029147</v>
      </c>
      <c r="DQ211" s="636">
        <v>5.1343767076850675</v>
      </c>
      <c r="DR211" s="636">
        <v>2.8531403921449376</v>
      </c>
      <c r="FT211" s="636">
        <v>617.2263200000001</v>
      </c>
      <c r="FU211" s="636">
        <v>387.90539999999993</v>
      </c>
      <c r="FV211" s="636">
        <v>632.99518</v>
      </c>
      <c r="FW211" s="636">
        <v>229.32092000000014</v>
      </c>
      <c r="FX211" s="207"/>
      <c r="FY211" s="636">
        <v>39.252475519000001</v>
      </c>
      <c r="FZ211" s="636">
        <v>32.289600728269981</v>
      </c>
      <c r="GA211" s="636">
        <v>41.800964210292207</v>
      </c>
      <c r="GB211" s="207"/>
      <c r="GC211" s="207"/>
      <c r="GD211" s="207"/>
      <c r="GE211" s="207"/>
      <c r="GF211" s="207"/>
      <c r="GG211" s="207"/>
      <c r="GH211" s="636">
        <v>53.646140000000003</v>
      </c>
      <c r="GI211" s="636">
        <v>34.545833333333334</v>
      </c>
      <c r="GJ211" s="636">
        <v>47.217200000000005</v>
      </c>
      <c r="GL211" s="207"/>
      <c r="GM211" s="636">
        <v>3.7156544379999996</v>
      </c>
      <c r="GN211" s="636">
        <v>3.071907290256557</v>
      </c>
      <c r="GO211" s="636">
        <v>2.8531403921449376</v>
      </c>
      <c r="GP211" s="207"/>
      <c r="GQ211" s="207"/>
      <c r="GR211" s="207"/>
      <c r="GS211" s="207"/>
      <c r="GT211" s="207"/>
      <c r="GU211" s="207"/>
      <c r="GV211" s="213"/>
    </row>
    <row r="212" spans="1:204" ht="12.75" customHeight="1">
      <c r="A212" s="213"/>
      <c r="B212" s="213"/>
      <c r="C212" s="213"/>
      <c r="D212" s="649" t="s">
        <v>364</v>
      </c>
      <c r="E212" s="649" t="s">
        <v>365</v>
      </c>
      <c r="G212" s="639">
        <v>10.373000000000001</v>
      </c>
      <c r="H212" s="639">
        <v>0</v>
      </c>
      <c r="I212" s="639">
        <v>18.72</v>
      </c>
      <c r="J212" s="639">
        <v>0</v>
      </c>
      <c r="K212" s="639">
        <v>37.44</v>
      </c>
      <c r="L212" s="639">
        <v>29.802</v>
      </c>
      <c r="M212" s="639">
        <v>46.295999999999999</v>
      </c>
      <c r="N212" s="639">
        <v>53.567999999999998</v>
      </c>
      <c r="O212" s="639">
        <v>23.05</v>
      </c>
      <c r="P212" s="639">
        <v>4.1100000000000003</v>
      </c>
      <c r="Q212" s="639">
        <v>0</v>
      </c>
      <c r="R212" s="639">
        <v>0</v>
      </c>
      <c r="S212" s="639">
        <v>0</v>
      </c>
      <c r="T212" s="639">
        <v>0</v>
      </c>
      <c r="U212" s="639">
        <v>0</v>
      </c>
      <c r="V212" s="639">
        <v>25</v>
      </c>
      <c r="W212" s="639">
        <v>25</v>
      </c>
      <c r="X212" s="639">
        <v>25</v>
      </c>
      <c r="Y212" s="639">
        <v>25</v>
      </c>
      <c r="Z212" s="639">
        <v>25</v>
      </c>
      <c r="AA212" s="639">
        <v>0</v>
      </c>
      <c r="AB212" s="639">
        <v>0</v>
      </c>
      <c r="AC212" s="639">
        <v>0</v>
      </c>
      <c r="AD212" s="639">
        <v>0</v>
      </c>
      <c r="AE212" s="639">
        <v>0</v>
      </c>
      <c r="AF212" s="639">
        <v>0</v>
      </c>
      <c r="AG212" s="639">
        <v>0</v>
      </c>
      <c r="AH212" s="639">
        <v>0</v>
      </c>
      <c r="AI212" s="639">
        <v>18.72</v>
      </c>
      <c r="AJ212" s="639">
        <v>29.439999999999998</v>
      </c>
      <c r="AK212" s="639">
        <v>29.419999999999998</v>
      </c>
      <c r="AL212" s="639">
        <v>47.7</v>
      </c>
      <c r="AM212" s="639">
        <v>40</v>
      </c>
      <c r="AN212" s="639">
        <v>43.203000000000003</v>
      </c>
      <c r="AO212" s="639">
        <v>0</v>
      </c>
      <c r="AP212" s="639">
        <v>0</v>
      </c>
      <c r="AQ212" s="639">
        <v>0</v>
      </c>
      <c r="AR212" s="639">
        <v>0</v>
      </c>
      <c r="AS212" s="671"/>
      <c r="AT212" s="639"/>
      <c r="AU212" s="639"/>
      <c r="AV212" s="639"/>
      <c r="AW212" s="639"/>
      <c r="AX212" s="639"/>
      <c r="AY212" s="639"/>
      <c r="AZ212" s="639"/>
      <c r="BA212" s="639"/>
      <c r="BB212" s="639"/>
      <c r="BC212" s="639"/>
      <c r="BD212" s="639"/>
      <c r="BE212" s="639"/>
      <c r="BF212" s="639"/>
      <c r="BG212" s="639"/>
      <c r="BH212" s="639"/>
      <c r="BI212" s="639"/>
      <c r="BJ212" s="639"/>
      <c r="BK212" s="639"/>
      <c r="BL212" s="639"/>
      <c r="BM212" s="639"/>
      <c r="BN212" s="639"/>
      <c r="BO212" s="639"/>
      <c r="BP212" s="639"/>
      <c r="BQ212" s="639"/>
      <c r="BR212" s="639"/>
      <c r="BS212" s="639"/>
      <c r="BT212" s="639"/>
      <c r="BU212" s="639"/>
      <c r="BV212" s="639"/>
      <c r="BW212" s="639"/>
      <c r="BX212" s="639"/>
      <c r="BY212" s="639"/>
      <c r="BZ212" s="639"/>
      <c r="CA212" s="639"/>
      <c r="CB212" s="639"/>
      <c r="CC212" s="639"/>
      <c r="CD212" s="639"/>
      <c r="CE212" s="639"/>
      <c r="CF212" s="639"/>
      <c r="CG212" s="636">
        <v>0.114251454</v>
      </c>
      <c r="CH212" s="636">
        <v>0</v>
      </c>
      <c r="CI212" s="636">
        <v>0.2025517</v>
      </c>
      <c r="CJ212" s="636">
        <v>0</v>
      </c>
      <c r="CK212" s="636">
        <v>0.40637220000000007</v>
      </c>
      <c r="CL212" s="636">
        <v>0.339077503</v>
      </c>
      <c r="CM212" s="636">
        <v>0.53906499600000002</v>
      </c>
      <c r="CN212" s="636">
        <v>0.58603670999999991</v>
      </c>
      <c r="CO212" s="636">
        <v>0.266216444</v>
      </c>
      <c r="CP212" s="636">
        <v>4.9148749999999998E-2</v>
      </c>
      <c r="CQ212" s="636">
        <v>0</v>
      </c>
      <c r="CR212" s="636">
        <v>0</v>
      </c>
      <c r="CS212" s="639"/>
      <c r="CT212" s="636">
        <v>0</v>
      </c>
      <c r="CU212" s="636">
        <v>0</v>
      </c>
      <c r="CV212" s="636">
        <v>0.32108794426651593</v>
      </c>
      <c r="CW212" s="636">
        <v>0.30410692112040016</v>
      </c>
      <c r="CX212" s="636">
        <v>0.32108794426651593</v>
      </c>
      <c r="CY212" s="636">
        <v>0.30410692112040016</v>
      </c>
      <c r="CZ212" s="636">
        <v>0.32108794426651593</v>
      </c>
      <c r="DA212" s="636">
        <v>0</v>
      </c>
      <c r="DB212" s="636">
        <v>0</v>
      </c>
      <c r="DC212" s="636">
        <v>0</v>
      </c>
      <c r="DD212" s="636">
        <v>0</v>
      </c>
      <c r="DE212" s="636">
        <v>0</v>
      </c>
      <c r="DF212" s="639">
        <v>0</v>
      </c>
      <c r="DG212" s="636">
        <v>0</v>
      </c>
      <c r="DH212" s="636">
        <v>0</v>
      </c>
      <c r="DI212" s="636">
        <v>0.20255214978207231</v>
      </c>
      <c r="DJ212" s="636">
        <v>0.32062116253878081</v>
      </c>
      <c r="DK212" s="636">
        <v>0.33672750583910482</v>
      </c>
      <c r="DL212" s="636">
        <v>0.53966419478068761</v>
      </c>
      <c r="DM212" s="636">
        <v>0.45016203835529445</v>
      </c>
      <c r="DN212" s="636">
        <v>0.48159798938804244</v>
      </c>
      <c r="DO212" s="636">
        <v>0</v>
      </c>
      <c r="DP212" s="636">
        <v>0</v>
      </c>
      <c r="DQ212" s="636">
        <v>0</v>
      </c>
      <c r="DR212" s="636">
        <v>0</v>
      </c>
      <c r="FT212" s="636">
        <v>223.35899999999998</v>
      </c>
      <c r="FU212" s="636">
        <v>125</v>
      </c>
      <c r="FV212" s="636">
        <v>208.483</v>
      </c>
      <c r="FW212" s="636">
        <v>98.358999999999995</v>
      </c>
      <c r="FX212" s="639"/>
      <c r="FY212" s="636">
        <v>2.5027197569999999</v>
      </c>
      <c r="FZ212" s="636">
        <v>1.5714776750403481</v>
      </c>
      <c r="GA212" s="636">
        <v>2.3313250406839825</v>
      </c>
      <c r="GB212" s="639"/>
      <c r="GC212" s="639"/>
      <c r="GD212" s="639"/>
      <c r="GE212" s="639"/>
      <c r="GF212" s="639"/>
      <c r="GG212" s="639"/>
      <c r="GH212" s="636">
        <v>0</v>
      </c>
      <c r="GI212" s="636">
        <v>0</v>
      </c>
      <c r="GJ212" s="636">
        <v>0</v>
      </c>
      <c r="GK212" s="639"/>
      <c r="GL212" s="639"/>
      <c r="GM212" s="636">
        <v>0</v>
      </c>
      <c r="GN212" s="636">
        <v>0</v>
      </c>
      <c r="GO212" s="636">
        <v>0</v>
      </c>
      <c r="GP212" s="639"/>
      <c r="GQ212" s="639"/>
      <c r="GR212" s="639"/>
      <c r="GS212" s="639"/>
      <c r="GT212" s="639"/>
      <c r="GU212" s="639"/>
      <c r="GV212" s="213"/>
    </row>
    <row r="213" spans="1:204" ht="12.75" customHeight="1">
      <c r="A213" s="213"/>
      <c r="B213" s="213"/>
      <c r="C213" s="213"/>
      <c r="D213" s="649" t="s">
        <v>366</v>
      </c>
      <c r="G213" s="639">
        <v>64.75</v>
      </c>
      <c r="H213" s="639">
        <v>60.070000000000007</v>
      </c>
      <c r="I213" s="639">
        <v>52.14</v>
      </c>
      <c r="J213" s="639">
        <v>65.19</v>
      </c>
      <c r="K213" s="639">
        <v>56.92</v>
      </c>
      <c r="L213" s="639">
        <v>33.480000000000004</v>
      </c>
      <c r="M213" s="639">
        <v>38.900000000000006</v>
      </c>
      <c r="N213" s="639">
        <v>20.13</v>
      </c>
      <c r="O213" s="639">
        <v>36.519999999999996</v>
      </c>
      <c r="P213" s="639">
        <v>37.896000000000008</v>
      </c>
      <c r="Q213" s="639">
        <v>57.989999999999995</v>
      </c>
      <c r="R213" s="639">
        <v>19.16</v>
      </c>
      <c r="S213" s="639">
        <v>0</v>
      </c>
      <c r="T213" s="639">
        <v>70</v>
      </c>
      <c r="U213" s="639">
        <v>110</v>
      </c>
      <c r="V213" s="639">
        <v>115</v>
      </c>
      <c r="W213" s="639">
        <v>110</v>
      </c>
      <c r="X213" s="639">
        <v>115</v>
      </c>
      <c r="Y213" s="639">
        <v>135</v>
      </c>
      <c r="Z213" s="639">
        <v>135</v>
      </c>
      <c r="AA213" s="639">
        <v>115</v>
      </c>
      <c r="AB213" s="639">
        <v>135</v>
      </c>
      <c r="AC213" s="639">
        <v>135</v>
      </c>
      <c r="AD213" s="639">
        <v>90</v>
      </c>
      <c r="AE213" s="639">
        <v>135</v>
      </c>
      <c r="AG213" s="207">
        <v>0</v>
      </c>
      <c r="AH213" s="207">
        <v>0</v>
      </c>
      <c r="AI213" s="639">
        <v>0</v>
      </c>
      <c r="AJ213" s="207">
        <v>0</v>
      </c>
      <c r="AK213" s="207">
        <v>0</v>
      </c>
      <c r="AL213" s="207">
        <v>0</v>
      </c>
      <c r="AM213" s="207">
        <v>0</v>
      </c>
      <c r="AN213" s="207">
        <v>0</v>
      </c>
      <c r="AO213" s="207">
        <v>0</v>
      </c>
      <c r="AP213" s="207">
        <v>0</v>
      </c>
      <c r="AQ213" s="207">
        <v>0</v>
      </c>
      <c r="AR213" s="207">
        <v>0</v>
      </c>
      <c r="CG213" s="636">
        <v>0.15041241799999999</v>
      </c>
      <c r="CH213" s="636">
        <v>0.15406867299999999</v>
      </c>
      <c r="CI213" s="636">
        <v>0.125341432</v>
      </c>
      <c r="CJ213" s="636">
        <v>0.17543999500000002</v>
      </c>
      <c r="CK213" s="636">
        <v>0.108089671</v>
      </c>
      <c r="CL213" s="636">
        <v>5.7724139999999993E-2</v>
      </c>
      <c r="CM213" s="636">
        <v>6.6064536000000007E-2</v>
      </c>
      <c r="CN213" s="636">
        <v>3.4943795999999999E-2</v>
      </c>
      <c r="CO213" s="636">
        <v>5.7568485000000003E-2</v>
      </c>
      <c r="CP213" s="636">
        <v>5.2286596000000005E-2</v>
      </c>
      <c r="CQ213" s="636">
        <v>6.9987957000000003E-2</v>
      </c>
      <c r="CR213" s="636">
        <v>2.2652217000000002E-2</v>
      </c>
      <c r="CT213" s="636">
        <v>0.19600000000000001</v>
      </c>
      <c r="CU213" s="636">
        <v>0.47800000000000004</v>
      </c>
      <c r="CV213" s="636">
        <v>0.308</v>
      </c>
      <c r="CW213" s="636">
        <v>0.49300000000000005</v>
      </c>
      <c r="CX213" s="636">
        <v>0.32800000000000001</v>
      </c>
      <c r="CY213" s="636">
        <v>0.54800000000000004</v>
      </c>
      <c r="CZ213" s="636">
        <v>0.54800000000000004</v>
      </c>
      <c r="DA213" s="636">
        <v>0.32800000000000001</v>
      </c>
      <c r="DB213" s="636">
        <v>0.54800000000000004</v>
      </c>
      <c r="DC213" s="636">
        <v>0.54800000000000004</v>
      </c>
      <c r="DD213" s="636">
        <v>0.42300000000000004</v>
      </c>
      <c r="DE213" s="636">
        <v>0.54800000000000004</v>
      </c>
      <c r="DF213" s="636">
        <v>0</v>
      </c>
      <c r="DG213" s="636">
        <v>0</v>
      </c>
      <c r="DH213" s="636">
        <v>0</v>
      </c>
      <c r="DI213" s="636">
        <v>0</v>
      </c>
      <c r="DJ213" s="636">
        <v>0</v>
      </c>
      <c r="DK213" s="636">
        <v>0</v>
      </c>
      <c r="DL213" s="636">
        <v>0</v>
      </c>
      <c r="DM213" s="636">
        <v>0</v>
      </c>
      <c r="DN213" s="636">
        <v>0</v>
      </c>
      <c r="DO213" s="636">
        <v>0</v>
      </c>
      <c r="DP213" s="636">
        <v>0</v>
      </c>
      <c r="DQ213" s="636">
        <v>0</v>
      </c>
      <c r="DR213" s="636">
        <v>0</v>
      </c>
      <c r="FT213" s="636">
        <v>543.14599999999996</v>
      </c>
      <c r="FU213" s="636">
        <v>1400</v>
      </c>
      <c r="FV213" s="636">
        <v>0</v>
      </c>
      <c r="FW213" s="636">
        <v>-856.85400000000004</v>
      </c>
      <c r="FY213" s="636">
        <v>1.0745799160000002</v>
      </c>
      <c r="FZ213" s="636">
        <v>5.2939999999999996</v>
      </c>
      <c r="GA213" s="636">
        <v>0</v>
      </c>
      <c r="GH213" s="636">
        <v>19.16</v>
      </c>
      <c r="GI213" s="636">
        <v>135</v>
      </c>
      <c r="GJ213" s="636">
        <v>0</v>
      </c>
      <c r="GM213" s="636">
        <v>2.2652217000000002E-2</v>
      </c>
      <c r="GN213" s="636">
        <v>0.54800000000000004</v>
      </c>
      <c r="GO213" s="636">
        <v>0</v>
      </c>
      <c r="GV213" s="213"/>
    </row>
    <row r="214" spans="1:204" ht="12.75" customHeight="1">
      <c r="A214" s="213"/>
      <c r="B214" s="213"/>
      <c r="C214" s="213"/>
      <c r="E214" s="206" t="s">
        <v>21</v>
      </c>
      <c r="G214" s="639">
        <v>3648.2724600000006</v>
      </c>
      <c r="H214" s="639">
        <v>3892.9412200000002</v>
      </c>
      <c r="I214" s="639">
        <v>3870.2993999999999</v>
      </c>
      <c r="J214" s="639">
        <v>3737.0333800000003</v>
      </c>
      <c r="K214" s="639">
        <v>2837.3192399999998</v>
      </c>
      <c r="L214" s="639">
        <v>1257.6683000000003</v>
      </c>
      <c r="M214" s="639">
        <v>1630.4129</v>
      </c>
      <c r="N214" s="639">
        <v>1597.8906600000003</v>
      </c>
      <c r="O214" s="639">
        <v>2924.193600000001</v>
      </c>
      <c r="P214" s="639">
        <v>2691.1467600000001</v>
      </c>
      <c r="Q214" s="639">
        <v>2754.3148599999995</v>
      </c>
      <c r="R214" s="639">
        <v>3666.8131400000011</v>
      </c>
      <c r="S214" s="639"/>
      <c r="T214" s="639">
        <v>3283.932389642724</v>
      </c>
      <c r="U214" s="639">
        <v>4233.3874212634655</v>
      </c>
      <c r="V214" s="639">
        <v>3603.0400464720597</v>
      </c>
      <c r="W214" s="639">
        <v>3526.7256860425896</v>
      </c>
      <c r="X214" s="639">
        <v>3665.3653922420235</v>
      </c>
      <c r="Y214" s="639">
        <v>3729.6139387137237</v>
      </c>
      <c r="Z214" s="639">
        <v>3387.3081278687141</v>
      </c>
      <c r="AA214" s="639">
        <v>3303.1398338435811</v>
      </c>
      <c r="AB214" s="639">
        <v>3287.5066613279914</v>
      </c>
      <c r="AC214" s="639">
        <v>3948.2086457716496</v>
      </c>
      <c r="AD214" s="639">
        <v>3446.8869939198771</v>
      </c>
      <c r="AE214" s="639">
        <v>3490.164548605886</v>
      </c>
      <c r="AF214" s="639"/>
      <c r="AG214" s="639">
        <v>0</v>
      </c>
      <c r="AH214" s="639">
        <v>3911.2919699999998</v>
      </c>
      <c r="AI214" s="639">
        <v>4270.0669999999991</v>
      </c>
      <c r="AJ214" s="639">
        <v>3914.38256</v>
      </c>
      <c r="AK214" s="639">
        <v>2818.6150000000002</v>
      </c>
      <c r="AL214" s="639">
        <v>1490.3087199999998</v>
      </c>
      <c r="AM214" s="639">
        <v>1642.6915800000002</v>
      </c>
      <c r="AN214" s="639">
        <v>1513.577397</v>
      </c>
      <c r="AO214" s="639">
        <v>2928.3839899999998</v>
      </c>
      <c r="AP214" s="639">
        <v>2628.0968800000001</v>
      </c>
      <c r="AQ214" s="639">
        <v>3354.9563200000002</v>
      </c>
      <c r="AR214" s="639">
        <v>3887.7278999999999</v>
      </c>
      <c r="AS214" s="671"/>
      <c r="AT214" s="639"/>
      <c r="AU214" s="639"/>
      <c r="AV214" s="639"/>
      <c r="AW214" s="639"/>
      <c r="AX214" s="639"/>
      <c r="AY214" s="639"/>
      <c r="AZ214" s="639"/>
      <c r="BA214" s="639"/>
      <c r="BB214" s="639"/>
      <c r="BC214" s="639"/>
      <c r="BD214" s="639"/>
      <c r="BE214" s="639"/>
      <c r="BF214" s="639"/>
      <c r="BG214" s="639"/>
      <c r="BH214" s="639"/>
      <c r="BI214" s="639"/>
      <c r="BJ214" s="639"/>
      <c r="BK214" s="639"/>
      <c r="BL214" s="639"/>
      <c r="BM214" s="639"/>
      <c r="BN214" s="639"/>
      <c r="BO214" s="639"/>
      <c r="BP214" s="639"/>
      <c r="BQ214" s="639"/>
      <c r="BR214" s="639"/>
      <c r="BS214" s="639"/>
      <c r="BT214" s="639"/>
      <c r="BU214" s="639"/>
      <c r="BV214" s="639"/>
      <c r="BW214" s="639"/>
      <c r="BX214" s="639"/>
      <c r="BY214" s="639"/>
      <c r="BZ214" s="639"/>
      <c r="CA214" s="639"/>
      <c r="CB214" s="639"/>
      <c r="CC214" s="639"/>
      <c r="CD214" s="639"/>
      <c r="CE214" s="639"/>
      <c r="CF214" s="639"/>
      <c r="CG214" s="636">
        <v>34.855644081999991</v>
      </c>
      <c r="CH214" s="636">
        <v>40.291418520000001</v>
      </c>
      <c r="CI214" s="636">
        <v>39.682441468000007</v>
      </c>
      <c r="CJ214" s="636">
        <v>38.975211184999992</v>
      </c>
      <c r="CK214" s="636">
        <v>30.304240323999995</v>
      </c>
      <c r="CL214" s="636">
        <v>19.358755262999999</v>
      </c>
      <c r="CM214" s="636">
        <v>23.327429258000002</v>
      </c>
      <c r="CN214" s="636">
        <v>19.828378473000001</v>
      </c>
      <c r="CO214" s="636">
        <v>29.409470575000004</v>
      </c>
      <c r="CP214" s="636">
        <v>27.112278105999994</v>
      </c>
      <c r="CQ214" s="636">
        <v>24.702099441999998</v>
      </c>
      <c r="CR214" s="636">
        <v>34.361271046999995</v>
      </c>
      <c r="CS214" s="636"/>
      <c r="CT214" s="636">
        <v>34.219726286997712</v>
      </c>
      <c r="CU214" s="636">
        <v>42.755034827145153</v>
      </c>
      <c r="CV214" s="636">
        <v>35.659908745258193</v>
      </c>
      <c r="CW214" s="636">
        <v>37.511481571283532</v>
      </c>
      <c r="CX214" s="636">
        <v>37.106182131557745</v>
      </c>
      <c r="CY214" s="636">
        <v>38.767951839278993</v>
      </c>
      <c r="CZ214" s="636">
        <v>35.550419247073286</v>
      </c>
      <c r="DA214" s="636">
        <v>36.934766931423908</v>
      </c>
      <c r="DB214" s="636">
        <v>34.64758224101103</v>
      </c>
      <c r="DC214" s="636">
        <v>41.518461185473555</v>
      </c>
      <c r="DD214" s="636">
        <v>37.470676349033972</v>
      </c>
      <c r="DE214" s="636">
        <v>36.46992404059521</v>
      </c>
      <c r="DF214" s="636" t="e">
        <v>#REF!</v>
      </c>
      <c r="DG214" s="636">
        <v>0</v>
      </c>
      <c r="DH214" s="636">
        <v>43.404519135609313</v>
      </c>
      <c r="DI214" s="636">
        <v>45.333791658511537</v>
      </c>
      <c r="DJ214" s="636">
        <v>40.885348793973186</v>
      </c>
      <c r="DK214" s="636">
        <v>29.842439677781467</v>
      </c>
      <c r="DL214" s="636">
        <v>22.974004553740187</v>
      </c>
      <c r="DM214" s="636">
        <v>25.001632453276862</v>
      </c>
      <c r="DN214" s="636">
        <v>19.691349618381167</v>
      </c>
      <c r="DO214" s="636">
        <v>29.180507236210289</v>
      </c>
      <c r="DP214" s="636">
        <v>28.290662194735212</v>
      </c>
      <c r="DQ214" s="636">
        <v>28.479628750553243</v>
      </c>
      <c r="DR214" s="636">
        <v>33.740023994036136</v>
      </c>
      <c r="FT214" s="636">
        <v>35344.426920000005</v>
      </c>
      <c r="FU214" s="636">
        <v>42965.279685714289</v>
      </c>
      <c r="FV214" s="636">
        <v>32091.336816999999</v>
      </c>
      <c r="FW214" s="636">
        <v>-7620.8527657142849</v>
      </c>
      <c r="FX214" s="639"/>
      <c r="FY214" s="636">
        <v>364.53815146300002</v>
      </c>
      <c r="FZ214" s="636">
        <v>450.11211539613231</v>
      </c>
      <c r="GA214" s="636">
        <v>349.65414452617318</v>
      </c>
      <c r="GB214" s="639"/>
      <c r="GC214" s="639"/>
      <c r="GD214" s="639"/>
      <c r="GE214" s="639"/>
      <c r="GF214" s="639"/>
      <c r="GG214" s="639"/>
      <c r="GH214" s="636">
        <v>3994.4301400000008</v>
      </c>
      <c r="GI214" s="636">
        <v>3505.164548605886</v>
      </c>
      <c r="GJ214" s="636">
        <v>3925.2578999999996</v>
      </c>
      <c r="GK214" s="639"/>
      <c r="GL214" s="639"/>
      <c r="GM214" s="636">
        <v>35.009896582999993</v>
      </c>
      <c r="GN214" s="636">
        <v>36.84492404059521</v>
      </c>
      <c r="GO214" s="636">
        <v>34.444145013593442</v>
      </c>
      <c r="GP214" s="639"/>
      <c r="GQ214" s="639"/>
      <c r="GR214" s="639"/>
      <c r="GS214" s="639"/>
      <c r="GT214" s="639"/>
      <c r="GU214" s="639"/>
      <c r="GV214" s="213"/>
    </row>
    <row r="215" spans="1:204" ht="12.75" customHeight="1">
      <c r="A215" s="213"/>
      <c r="B215" s="213"/>
      <c r="C215" s="213"/>
      <c r="E215" s="206" t="s">
        <v>349</v>
      </c>
      <c r="G215" s="639">
        <v>0</v>
      </c>
      <c r="H215" s="639">
        <v>0</v>
      </c>
      <c r="I215" s="639">
        <v>0</v>
      </c>
      <c r="J215" s="639">
        <v>0</v>
      </c>
      <c r="K215" s="639">
        <v>0</v>
      </c>
      <c r="L215" s="639">
        <v>0</v>
      </c>
      <c r="M215" s="639">
        <v>0</v>
      </c>
      <c r="N215" s="639">
        <v>0</v>
      </c>
      <c r="O215" s="639">
        <v>-24.278999999999996</v>
      </c>
      <c r="P215" s="639">
        <v>-54.154999999999745</v>
      </c>
      <c r="Q215" s="639">
        <v>-519.35400000000027</v>
      </c>
      <c r="R215" s="639">
        <v>-392.81399999999985</v>
      </c>
      <c r="S215" s="639"/>
      <c r="T215" s="639">
        <v>0</v>
      </c>
      <c r="U215" s="639">
        <v>0</v>
      </c>
      <c r="V215" s="639">
        <v>0</v>
      </c>
      <c r="W215" s="639">
        <v>0</v>
      </c>
      <c r="X215" s="639">
        <v>-25</v>
      </c>
      <c r="Y215" s="639">
        <v>0</v>
      </c>
      <c r="Z215" s="639">
        <v>-40</v>
      </c>
      <c r="AA215" s="639">
        <v>0</v>
      </c>
      <c r="AB215" s="639">
        <v>-40.000000000000455</v>
      </c>
      <c r="AC215" s="639">
        <v>-25.000000000000909</v>
      </c>
      <c r="AD215" s="639">
        <v>-40</v>
      </c>
      <c r="AE215" s="639">
        <v>-40</v>
      </c>
      <c r="AF215" s="639"/>
      <c r="AG215" s="639">
        <v>0</v>
      </c>
      <c r="AH215" s="639">
        <v>0</v>
      </c>
      <c r="AI215" s="639">
        <v>0</v>
      </c>
      <c r="AJ215" s="639">
        <v>127</v>
      </c>
      <c r="AK215" s="639">
        <v>92.000000000000455</v>
      </c>
      <c r="AL215" s="639">
        <v>16.349999999999682</v>
      </c>
      <c r="AM215" s="639">
        <v>16</v>
      </c>
      <c r="AN215" s="639">
        <v>0</v>
      </c>
      <c r="AO215" s="639">
        <v>56</v>
      </c>
      <c r="AP215" s="639">
        <v>11.518499999999676</v>
      </c>
      <c r="AQ215" s="639">
        <v>-70.575999999999567</v>
      </c>
      <c r="AR215" s="639">
        <v>-76.654000000000451</v>
      </c>
      <c r="AS215" s="671"/>
      <c r="AT215" s="639"/>
      <c r="AU215" s="639"/>
      <c r="AV215" s="639"/>
      <c r="AW215" s="639"/>
      <c r="AX215" s="639"/>
      <c r="AY215" s="639"/>
      <c r="AZ215" s="639"/>
      <c r="BA215" s="639"/>
      <c r="BB215" s="639"/>
      <c r="BC215" s="639"/>
      <c r="BD215" s="639"/>
      <c r="BE215" s="639"/>
      <c r="BF215" s="639"/>
      <c r="BG215" s="639"/>
      <c r="BH215" s="639"/>
      <c r="BI215" s="639"/>
      <c r="BJ215" s="639"/>
      <c r="BK215" s="639"/>
      <c r="BL215" s="639"/>
      <c r="BM215" s="639"/>
      <c r="BN215" s="639"/>
      <c r="BO215" s="639"/>
      <c r="BP215" s="639"/>
      <c r="BQ215" s="639"/>
      <c r="BR215" s="639"/>
      <c r="BS215" s="639"/>
      <c r="BT215" s="639"/>
      <c r="BU215" s="639"/>
      <c r="BV215" s="639"/>
      <c r="BW215" s="639"/>
      <c r="BX215" s="639"/>
      <c r="BY215" s="639"/>
      <c r="BZ215" s="639"/>
      <c r="CA215" s="639"/>
      <c r="CB215" s="639"/>
      <c r="CC215" s="639"/>
      <c r="CD215" s="639"/>
      <c r="CE215" s="639"/>
      <c r="CF215" s="639"/>
      <c r="CG215" s="636">
        <v>3.7145574999996711E-2</v>
      </c>
      <c r="CH215" s="636">
        <v>0.139716638000003</v>
      </c>
      <c r="CI215" s="636">
        <v>5.7338873000006174E-2</v>
      </c>
      <c r="CJ215" s="636">
        <v>2.4753300000000422E-2</v>
      </c>
      <c r="CK215" s="636">
        <v>2.7406971999997864E-2</v>
      </c>
      <c r="CL215" s="636">
        <v>-3.3835437000004021E-2</v>
      </c>
      <c r="CM215" s="636">
        <v>-1.370270798</v>
      </c>
      <c r="CN215" s="636">
        <v>6.099528100000029E-2</v>
      </c>
      <c r="CO215" s="636">
        <v>-0.57140753399999511</v>
      </c>
      <c r="CP215" s="636">
        <v>-2.136410374000004</v>
      </c>
      <c r="CQ215" s="636">
        <v>-1.2282357409999989</v>
      </c>
      <c r="CR215" s="636">
        <v>-0.56840935800000381</v>
      </c>
      <c r="CS215" s="636"/>
      <c r="CT215" s="636">
        <v>-5.3079032722642694E-2</v>
      </c>
      <c r="CU215" s="636">
        <v>-5.3079032722642694E-2</v>
      </c>
      <c r="CV215" s="636">
        <v>-5.3079032722642694E-2</v>
      </c>
      <c r="CW215" s="636">
        <v>-5.3079032722642694E-2</v>
      </c>
      <c r="CX215" s="636">
        <v>-0.23489029851707954</v>
      </c>
      <c r="CY215" s="636">
        <v>-5.3079032722649799E-2</v>
      </c>
      <c r="CZ215" s="636">
        <v>-0.60989029851708665</v>
      </c>
      <c r="DA215" s="636">
        <v>-5.3079032722642694E-2</v>
      </c>
      <c r="DB215" s="636">
        <v>-0.60989029851707244</v>
      </c>
      <c r="DC215" s="636">
        <v>-0.23489029851707954</v>
      </c>
      <c r="DD215" s="636">
        <v>-0.60989029851707244</v>
      </c>
      <c r="DE215" s="636">
        <v>-0.60989029851707954</v>
      </c>
      <c r="DF215" s="636" t="e">
        <v>#REF!</v>
      </c>
      <c r="DG215" s="636">
        <v>0</v>
      </c>
      <c r="DH215" s="636">
        <v>-3.5304889296085662E-2</v>
      </c>
      <c r="DI215" s="636">
        <v>2.1283547741845155E-2</v>
      </c>
      <c r="DJ215" s="636">
        <v>9.3176240751660089E-3</v>
      </c>
      <c r="DK215" s="636">
        <v>2.5281616666671169E-2</v>
      </c>
      <c r="DL215" s="636">
        <v>3.9088983333336103E-2</v>
      </c>
      <c r="DM215" s="636">
        <v>4.7824133333332242E-2</v>
      </c>
      <c r="DN215" s="636">
        <v>0.10439058347499852</v>
      </c>
      <c r="DO215" s="636">
        <v>-0.66433502499999975</v>
      </c>
      <c r="DP215" s="636">
        <v>-0.97685527750372358</v>
      </c>
      <c r="DQ215" s="636">
        <v>-0.67430777587070878</v>
      </c>
      <c r="DR215" s="636">
        <v>-1.0760690731091813</v>
      </c>
      <c r="FT215" s="636">
        <v>-154.48099999999977</v>
      </c>
      <c r="FU215" s="636">
        <v>-150.00000000000728</v>
      </c>
      <c r="FV215" s="636">
        <v>-97.124000000003434</v>
      </c>
      <c r="FW215" s="636">
        <v>-4.4809999999934007</v>
      </c>
      <c r="FX215" s="636"/>
      <c r="FY215" s="636">
        <v>-3.231698882999865</v>
      </c>
      <c r="FZ215" s="636">
        <v>-1.7278159874382482</v>
      </c>
      <c r="GA215" s="636">
        <v>-0.34944909278971181</v>
      </c>
      <c r="GB215" s="636"/>
      <c r="GC215" s="636"/>
      <c r="GD215" s="636"/>
      <c r="GE215" s="636"/>
      <c r="GF215" s="636"/>
      <c r="GG215" s="636"/>
      <c r="GH215" s="636">
        <v>-65.197000000000116</v>
      </c>
      <c r="GI215" s="636">
        <v>-25</v>
      </c>
      <c r="GJ215" s="636">
        <v>-39.124000000000706</v>
      </c>
      <c r="GK215" s="636"/>
      <c r="GL215" s="636"/>
      <c r="GM215" s="636">
        <v>8.0216177999993477E-2</v>
      </c>
      <c r="GN215" s="636">
        <v>-0.23489029851707954</v>
      </c>
      <c r="GO215" s="636">
        <v>-0.37194805355187555</v>
      </c>
      <c r="GP215" s="636"/>
      <c r="GQ215" s="636"/>
      <c r="GR215" s="636"/>
      <c r="GS215" s="636"/>
      <c r="GT215" s="636"/>
      <c r="GU215" s="636"/>
      <c r="GV215" s="213"/>
    </row>
    <row r="216" spans="1:204" ht="12.75" customHeight="1"/>
    <row r="217" spans="1:204" ht="12.75" customHeight="1">
      <c r="FU217" s="642"/>
    </row>
    <row r="218" spans="1:204" ht="12.75" customHeight="1"/>
    <row r="219" spans="1:204" ht="12.75" customHeight="1"/>
    <row r="220" spans="1:204" ht="12.75" customHeight="1">
      <c r="A220" s="213"/>
      <c r="D220" s="955" t="s">
        <v>55</v>
      </c>
      <c r="CY220" s="213"/>
      <c r="CZ220" s="213"/>
      <c r="DA220" s="213"/>
      <c r="DB220" s="213"/>
      <c r="DC220" s="213"/>
      <c r="DD220" s="213"/>
      <c r="DE220" s="213"/>
      <c r="DF220" s="213"/>
      <c r="DG220" s="213"/>
      <c r="DH220" s="213"/>
      <c r="DI220" s="213"/>
      <c r="DJ220" s="213"/>
      <c r="DK220" s="213"/>
      <c r="DL220" s="213"/>
      <c r="DM220" s="213"/>
      <c r="DN220" s="213"/>
      <c r="DO220" s="213"/>
      <c r="DP220" s="213"/>
      <c r="DQ220" s="213"/>
      <c r="DR220" s="213"/>
      <c r="DS220" s="213"/>
      <c r="DT220" s="213"/>
      <c r="DU220" s="213"/>
      <c r="DV220" s="213"/>
      <c r="DW220" s="213"/>
      <c r="DX220" s="213"/>
      <c r="DY220" s="213"/>
      <c r="DZ220" s="213"/>
      <c r="EA220" s="213"/>
      <c r="EB220" s="213"/>
      <c r="EC220" s="213"/>
      <c r="ED220" s="213"/>
      <c r="EE220" s="213"/>
      <c r="EF220" s="213"/>
      <c r="EG220" s="213"/>
      <c r="EH220" s="213"/>
      <c r="EI220" s="213"/>
      <c r="EJ220" s="213"/>
      <c r="EK220" s="213"/>
      <c r="EL220" s="213"/>
      <c r="EM220" s="213"/>
      <c r="EN220" s="213"/>
      <c r="EO220" s="213"/>
      <c r="EP220" s="213"/>
      <c r="EQ220" s="213"/>
      <c r="ER220" s="213"/>
      <c r="ES220" s="213"/>
      <c r="ET220" s="213"/>
      <c r="EU220" s="213"/>
      <c r="EV220" s="213"/>
      <c r="EW220" s="213"/>
      <c r="EX220" s="213"/>
      <c r="EY220" s="213"/>
      <c r="EZ220" s="213"/>
      <c r="FA220" s="213"/>
      <c r="FB220" s="213"/>
      <c r="FC220" s="213"/>
      <c r="FD220" s="213"/>
      <c r="FE220" s="213"/>
      <c r="FF220" s="213"/>
      <c r="FG220" s="213"/>
      <c r="FH220" s="213"/>
      <c r="FI220" s="213"/>
      <c r="FJ220" s="213"/>
      <c r="FK220" s="213"/>
      <c r="FL220" s="213"/>
      <c r="FM220" s="213"/>
      <c r="FN220" s="213"/>
      <c r="FO220" s="213"/>
      <c r="FP220" s="213"/>
      <c r="FQ220" s="213"/>
      <c r="FR220" s="213"/>
      <c r="FS220" s="213"/>
      <c r="FT220" s="213"/>
      <c r="FU220" s="213"/>
      <c r="FV220" s="213"/>
      <c r="FW220" s="213"/>
      <c r="GG220" s="213"/>
      <c r="GH220" s="213"/>
      <c r="GI220" s="213"/>
      <c r="GJ220" s="213"/>
      <c r="GK220" s="213"/>
      <c r="GV220" s="213"/>
    </row>
    <row r="221" spans="1:204" ht="12.75" customHeight="1">
      <c r="A221" s="213"/>
      <c r="D221" s="955" t="s">
        <v>26</v>
      </c>
      <c r="G221" s="639">
        <f>SUM(G7:G19)+G90+G91</f>
        <v>704.28899999999987</v>
      </c>
      <c r="H221" s="639">
        <f t="shared" ref="H221:R221" si="8">SUM(H7:H19)+H90+H91</f>
        <v>1069.52</v>
      </c>
      <c r="I221" s="639">
        <f t="shared" si="8"/>
        <v>974.27900000000011</v>
      </c>
      <c r="J221" s="639">
        <f t="shared" si="8"/>
        <v>918.60699999999997</v>
      </c>
      <c r="K221" s="639">
        <f t="shared" si="8"/>
        <v>1094.9559999999994</v>
      </c>
      <c r="L221" s="639">
        <f t="shared" si="8"/>
        <v>547.26100000000008</v>
      </c>
      <c r="M221" s="639">
        <f t="shared" si="8"/>
        <v>603.02599999999995</v>
      </c>
      <c r="N221" s="639">
        <f t="shared" si="8"/>
        <v>563.74799999999993</v>
      </c>
      <c r="O221" s="639">
        <f t="shared" si="8"/>
        <v>584.86400000000003</v>
      </c>
      <c r="P221" s="639">
        <f t="shared" si="8"/>
        <v>650.40600000000006</v>
      </c>
      <c r="Q221" s="639">
        <f t="shared" si="8"/>
        <v>752.053</v>
      </c>
      <c r="R221" s="639">
        <f t="shared" si="8"/>
        <v>698.48599999999988</v>
      </c>
      <c r="CG221" s="969">
        <f>SUM(CG7:CG19)+CG90+CG91</f>
        <v>9.0299543930000006</v>
      </c>
      <c r="CH221" s="969">
        <f t="shared" ref="CH221:CR221" si="9">SUM(CH7:CH19)+CH90+CH91</f>
        <v>13.460395742000001</v>
      </c>
      <c r="CI221" s="969">
        <f t="shared" si="9"/>
        <v>12.113087945999998</v>
      </c>
      <c r="CJ221" s="969">
        <f t="shared" si="9"/>
        <v>11.515752967999999</v>
      </c>
      <c r="CK221" s="969">
        <f t="shared" si="9"/>
        <v>13.238176803</v>
      </c>
      <c r="CL221" s="969">
        <f t="shared" si="9"/>
        <v>7.3334805990000014</v>
      </c>
      <c r="CM221" s="969">
        <f t="shared" si="9"/>
        <v>7.8476563090000022</v>
      </c>
      <c r="CN221" s="969">
        <f t="shared" si="9"/>
        <v>7.2799011490000005</v>
      </c>
      <c r="CO221" s="969">
        <f t="shared" si="9"/>
        <v>7.5032249719999999</v>
      </c>
      <c r="CP221" s="969">
        <f t="shared" si="9"/>
        <v>8.3825466999999989</v>
      </c>
      <c r="CQ221" s="969">
        <f t="shared" si="9"/>
        <v>9.7635681339999998</v>
      </c>
      <c r="CR221" s="969">
        <f t="shared" si="9"/>
        <v>8.9841293479999997</v>
      </c>
      <c r="CY221" s="213"/>
      <c r="CZ221" s="213"/>
      <c r="DA221" s="213"/>
      <c r="DB221" s="213"/>
      <c r="DC221" s="213"/>
      <c r="DD221" s="213"/>
      <c r="DE221" s="213"/>
      <c r="DF221" s="213"/>
      <c r="DG221" s="213"/>
      <c r="DH221" s="213"/>
      <c r="DI221" s="213"/>
      <c r="DJ221" s="213"/>
      <c r="DK221" s="213"/>
      <c r="DL221" s="213"/>
      <c r="DM221" s="213"/>
      <c r="DN221" s="213"/>
      <c r="DO221" s="213"/>
      <c r="DP221" s="213"/>
      <c r="DQ221" s="213"/>
      <c r="DR221" s="213"/>
      <c r="DS221" s="213"/>
      <c r="DT221" s="213"/>
      <c r="DU221" s="213"/>
      <c r="DV221" s="213"/>
      <c r="DW221" s="213"/>
      <c r="DX221" s="213"/>
      <c r="DY221" s="213"/>
      <c r="DZ221" s="213"/>
      <c r="EA221" s="213"/>
      <c r="EB221" s="213"/>
      <c r="EC221" s="213"/>
      <c r="ED221" s="213"/>
      <c r="EE221" s="213"/>
      <c r="EF221" s="213"/>
      <c r="EG221" s="213"/>
      <c r="EH221" s="213"/>
      <c r="EI221" s="213"/>
      <c r="EJ221" s="213"/>
      <c r="EK221" s="213"/>
      <c r="EL221" s="213"/>
      <c r="EM221" s="213"/>
      <c r="EN221" s="213"/>
      <c r="EO221" s="213"/>
      <c r="EP221" s="213"/>
      <c r="EQ221" s="213"/>
      <c r="ER221" s="213"/>
      <c r="ES221" s="213"/>
      <c r="ET221" s="213"/>
      <c r="EU221" s="213"/>
      <c r="EV221" s="213"/>
      <c r="EW221" s="213"/>
      <c r="EX221" s="213"/>
      <c r="EY221" s="213"/>
      <c r="EZ221" s="213"/>
      <c r="FA221" s="213"/>
      <c r="FB221" s="213"/>
      <c r="FC221" s="213"/>
      <c r="FD221" s="213"/>
      <c r="FE221" s="213"/>
      <c r="FF221" s="213"/>
      <c r="FG221" s="213"/>
      <c r="FH221" s="213"/>
      <c r="FI221" s="213"/>
      <c r="FJ221" s="213"/>
      <c r="FK221" s="213"/>
      <c r="FL221" s="213"/>
      <c r="FM221" s="213"/>
      <c r="FN221" s="213"/>
      <c r="FO221" s="213"/>
      <c r="FP221" s="213"/>
      <c r="FQ221" s="213"/>
      <c r="FR221" s="213"/>
      <c r="FS221" s="213"/>
      <c r="FT221" s="213"/>
      <c r="FU221" s="213"/>
      <c r="FV221" s="213"/>
      <c r="FW221" s="213"/>
      <c r="GG221" s="213"/>
      <c r="GH221" s="213"/>
      <c r="GI221" s="213"/>
      <c r="GJ221" s="213"/>
      <c r="GK221" s="213"/>
      <c r="GV221" s="213"/>
    </row>
    <row r="222" spans="1:204" ht="12.75" customHeight="1">
      <c r="A222" s="213"/>
      <c r="D222" s="955" t="s">
        <v>49</v>
      </c>
      <c r="G222" s="639">
        <f>SUM(G32:G34)</f>
        <v>114.64300000000003</v>
      </c>
      <c r="H222" s="639">
        <f t="shared" ref="H222:R222" si="10">SUM(H32:H34)</f>
        <v>312.26900000000001</v>
      </c>
      <c r="I222" s="639">
        <f t="shared" si="10"/>
        <v>175.09399999999997</v>
      </c>
      <c r="J222" s="639">
        <f t="shared" si="10"/>
        <v>130.166</v>
      </c>
      <c r="K222" s="639">
        <f t="shared" si="10"/>
        <v>13.079000000000001</v>
      </c>
      <c r="L222" s="639">
        <f t="shared" si="10"/>
        <v>0</v>
      </c>
      <c r="M222" s="639">
        <f t="shared" si="10"/>
        <v>0</v>
      </c>
      <c r="N222" s="639">
        <f t="shared" si="10"/>
        <v>0</v>
      </c>
      <c r="O222" s="639">
        <f t="shared" si="10"/>
        <v>16.276</v>
      </c>
      <c r="P222" s="639">
        <f t="shared" si="10"/>
        <v>28.414999999999999</v>
      </c>
      <c r="Q222" s="639">
        <f t="shared" si="10"/>
        <v>0</v>
      </c>
      <c r="R222" s="639">
        <f t="shared" si="10"/>
        <v>0</v>
      </c>
      <c r="CG222" s="969">
        <f>SUM(CG32:CG34)</f>
        <v>1.2706080619999998</v>
      </c>
      <c r="CH222" s="969">
        <f t="shared" ref="CH222:CR222" si="11">SUM(CH32:CH34)</f>
        <v>3.5266612360000003</v>
      </c>
      <c r="CI222" s="969">
        <f t="shared" si="11"/>
        <v>1.9802487209999999</v>
      </c>
      <c r="CJ222" s="969">
        <f t="shared" si="11"/>
        <v>1.5522877530000001</v>
      </c>
      <c r="CK222" s="969">
        <f t="shared" si="11"/>
        <v>0.15618870600000001</v>
      </c>
      <c r="CL222" s="969">
        <f t="shared" si="11"/>
        <v>0</v>
      </c>
      <c r="CM222" s="969">
        <f t="shared" si="11"/>
        <v>0</v>
      </c>
      <c r="CN222" s="969">
        <f t="shared" si="11"/>
        <v>0</v>
      </c>
      <c r="CO222" s="969">
        <f t="shared" si="11"/>
        <v>0.16859110399999999</v>
      </c>
      <c r="CP222" s="969">
        <f t="shared" si="11"/>
        <v>0.294335232</v>
      </c>
      <c r="CQ222" s="969">
        <f t="shared" si="11"/>
        <v>0</v>
      </c>
      <c r="CR222" s="969">
        <f t="shared" si="11"/>
        <v>0</v>
      </c>
      <c r="CY222" s="213"/>
      <c r="CZ222" s="213"/>
      <c r="DA222" s="213"/>
      <c r="DB222" s="213"/>
      <c r="DC222" s="213"/>
      <c r="DD222" s="213"/>
      <c r="DE222" s="213"/>
      <c r="DF222" s="213"/>
      <c r="DG222" s="213"/>
      <c r="DH222" s="213"/>
      <c r="DI222" s="213"/>
      <c r="DJ222" s="213"/>
      <c r="DK222" s="213"/>
      <c r="DL222" s="213"/>
      <c r="DM222" s="213"/>
      <c r="DN222" s="213"/>
      <c r="DO222" s="213"/>
      <c r="DP222" s="213"/>
      <c r="DQ222" s="213"/>
      <c r="DR222" s="213"/>
      <c r="DS222" s="213"/>
      <c r="DT222" s="213"/>
      <c r="DU222" s="213"/>
      <c r="DV222" s="213"/>
      <c r="DW222" s="213"/>
      <c r="DX222" s="213"/>
      <c r="DY222" s="213"/>
      <c r="DZ222" s="213"/>
      <c r="EA222" s="213"/>
      <c r="EB222" s="213"/>
      <c r="EC222" s="213"/>
      <c r="ED222" s="213"/>
      <c r="EE222" s="213"/>
      <c r="EF222" s="213"/>
      <c r="EG222" s="213"/>
      <c r="EH222" s="213"/>
      <c r="EI222" s="213"/>
      <c r="EJ222" s="213"/>
      <c r="EK222" s="213"/>
      <c r="EL222" s="213"/>
      <c r="EM222" s="213"/>
      <c r="EN222" s="213"/>
      <c r="EO222" s="213"/>
      <c r="EP222" s="213"/>
      <c r="EQ222" s="213"/>
      <c r="ER222" s="213"/>
      <c r="ES222" s="213"/>
      <c r="ET222" s="213"/>
      <c r="EU222" s="213"/>
      <c r="EV222" s="213"/>
      <c r="EW222" s="213"/>
      <c r="EX222" s="213"/>
      <c r="EY222" s="213"/>
      <c r="EZ222" s="213"/>
      <c r="FA222" s="213"/>
      <c r="FB222" s="213"/>
      <c r="FC222" s="213"/>
      <c r="FD222" s="213"/>
      <c r="FE222" s="213"/>
      <c r="FF222" s="213"/>
      <c r="FG222" s="213"/>
      <c r="FH222" s="213"/>
      <c r="FI222" s="213"/>
      <c r="FJ222" s="213"/>
      <c r="FK222" s="213"/>
      <c r="FL222" s="213"/>
      <c r="FM222" s="213"/>
      <c r="FN222" s="213"/>
      <c r="FO222" s="213"/>
      <c r="FP222" s="213"/>
      <c r="FQ222" s="213"/>
      <c r="FR222" s="213"/>
      <c r="FS222" s="213"/>
      <c r="FT222" s="213"/>
      <c r="FU222" s="213"/>
      <c r="FV222" s="213"/>
      <c r="FW222" s="213"/>
      <c r="GG222" s="213"/>
      <c r="GH222" s="213"/>
      <c r="GI222" s="213"/>
      <c r="GJ222" s="213"/>
      <c r="GK222" s="213"/>
      <c r="GV222" s="213"/>
    </row>
    <row r="223" spans="1:204" ht="12.75" customHeight="1">
      <c r="D223" s="955" t="s">
        <v>27</v>
      </c>
      <c r="G223" s="639">
        <f>SUM(G42+G43)</f>
        <v>150.76600000000002</v>
      </c>
      <c r="H223" s="639">
        <f t="shared" ref="H223:R223" si="12">SUM(H42+H43)</f>
        <v>85.460999999999999</v>
      </c>
      <c r="I223" s="639">
        <f t="shared" si="12"/>
        <v>88.311999999999983</v>
      </c>
      <c r="J223" s="639">
        <f t="shared" si="12"/>
        <v>187.98700000000002</v>
      </c>
      <c r="K223" s="639">
        <f t="shared" si="12"/>
        <v>240.745</v>
      </c>
      <c r="L223" s="639">
        <f t="shared" si="12"/>
        <v>121.273</v>
      </c>
      <c r="M223" s="639">
        <f t="shared" si="12"/>
        <v>62.294999999999987</v>
      </c>
      <c r="N223" s="639">
        <f t="shared" si="12"/>
        <v>0</v>
      </c>
      <c r="O223" s="639">
        <f t="shared" si="12"/>
        <v>0</v>
      </c>
      <c r="P223" s="639">
        <f t="shared" si="12"/>
        <v>154.73159999999999</v>
      </c>
      <c r="Q223" s="639">
        <f t="shared" si="12"/>
        <v>421.49400000000014</v>
      </c>
      <c r="R223" s="639">
        <f t="shared" si="12"/>
        <v>290.94200000000001</v>
      </c>
      <c r="CG223" s="969">
        <f>SUM(CG42+CG43)</f>
        <v>2.0146652159999996</v>
      </c>
      <c r="CH223" s="969">
        <f t="shared" ref="CH223:CR223" si="13">SUM(CH42+CH43)</f>
        <v>1.139472</v>
      </c>
      <c r="CI223" s="969">
        <f t="shared" si="13"/>
        <v>1.1774880000000001</v>
      </c>
      <c r="CJ223" s="969">
        <f t="shared" si="13"/>
        <v>2.4343271999999998</v>
      </c>
      <c r="CK223" s="969">
        <f t="shared" si="13"/>
        <v>3.089915424</v>
      </c>
      <c r="CL223" s="969">
        <f t="shared" si="13"/>
        <v>1.5474460320000001</v>
      </c>
      <c r="CM223" s="969">
        <f t="shared" si="13"/>
        <v>0.82406563199999994</v>
      </c>
      <c r="CN223" s="969">
        <f t="shared" si="13"/>
        <v>0</v>
      </c>
      <c r="CO223" s="969">
        <f t="shared" si="13"/>
        <v>0</v>
      </c>
      <c r="CP223" s="969">
        <f t="shared" si="13"/>
        <v>0.29914775999999993</v>
      </c>
      <c r="CQ223" s="969">
        <f t="shared" si="13"/>
        <v>0.27162791999999997</v>
      </c>
      <c r="CR223" s="969">
        <f t="shared" si="13"/>
        <v>0.56248631999999998</v>
      </c>
    </row>
    <row r="224" spans="1:204" ht="12.75" customHeight="1">
      <c r="D224" s="955" t="s">
        <v>53</v>
      </c>
      <c r="G224" s="639">
        <f>SUM(G45:G47)</f>
        <v>80.572000000000003</v>
      </c>
      <c r="H224" s="639">
        <f t="shared" ref="H224:R224" si="14">SUM(H45:H47)</f>
        <v>78.582999999999998</v>
      </c>
      <c r="I224" s="639">
        <f t="shared" si="14"/>
        <v>87.036000000000001</v>
      </c>
      <c r="J224" s="639">
        <f t="shared" si="14"/>
        <v>76.284999999999997</v>
      </c>
      <c r="K224" s="639">
        <f t="shared" si="14"/>
        <v>112.349</v>
      </c>
      <c r="L224" s="639">
        <f t="shared" si="14"/>
        <v>119.101</v>
      </c>
      <c r="M224" s="639">
        <f t="shared" si="14"/>
        <v>70.653999999999996</v>
      </c>
      <c r="N224" s="639">
        <f t="shared" si="14"/>
        <v>116.26199999999999</v>
      </c>
      <c r="O224" s="639">
        <f t="shared" si="14"/>
        <v>84.405999999999992</v>
      </c>
      <c r="P224" s="639">
        <f t="shared" si="14"/>
        <v>51.057000000000002</v>
      </c>
      <c r="Q224" s="639">
        <f t="shared" si="14"/>
        <v>9.9050000000000011</v>
      </c>
      <c r="R224" s="639">
        <f t="shared" si="14"/>
        <v>66.798000000000002</v>
      </c>
      <c r="CG224" s="969">
        <f>SUM(CG45:CG47)</f>
        <v>1.2535309650000002</v>
      </c>
      <c r="CH224" s="969">
        <f t="shared" ref="CH224:CR224" si="15">SUM(CH45:CH47)</f>
        <v>1.2134947830000002</v>
      </c>
      <c r="CI224" s="969">
        <f t="shared" si="15"/>
        <v>1.3466735519999999</v>
      </c>
      <c r="CJ224" s="969">
        <f t="shared" si="15"/>
        <v>1.1737388700000002</v>
      </c>
      <c r="CK224" s="969">
        <f t="shared" si="15"/>
        <v>1.7255660319999999</v>
      </c>
      <c r="CL224" s="969">
        <f t="shared" si="15"/>
        <v>1.8249805600000002</v>
      </c>
      <c r="CM224" s="969">
        <f t="shared" si="15"/>
        <v>1.148934672</v>
      </c>
      <c r="CN224" s="969">
        <f t="shared" si="15"/>
        <v>1.852655148</v>
      </c>
      <c r="CO224" s="969">
        <f t="shared" si="15"/>
        <v>1.3247429039999998</v>
      </c>
      <c r="CP224" s="969">
        <f t="shared" si="15"/>
        <v>0.773133768</v>
      </c>
      <c r="CQ224" s="969">
        <f t="shared" si="15"/>
        <v>0.15134468399999998</v>
      </c>
      <c r="CR224" s="969">
        <f t="shared" si="15"/>
        <v>1.062689832</v>
      </c>
    </row>
    <row r="225" spans="1:204" ht="12.75" customHeight="1">
      <c r="A225" s="213"/>
      <c r="D225" s="955" t="s">
        <v>54</v>
      </c>
      <c r="G225" s="639">
        <f>SUM(G50:G52)</f>
        <v>62.766999999999996</v>
      </c>
      <c r="H225" s="639">
        <f t="shared" ref="H225:R225" si="16">SUM(H50:H52)</f>
        <v>29.857000000000003</v>
      </c>
      <c r="I225" s="639">
        <f t="shared" si="16"/>
        <v>209.03900000000002</v>
      </c>
      <c r="J225" s="639">
        <f t="shared" si="16"/>
        <v>116.04499999999999</v>
      </c>
      <c r="K225" s="639">
        <f t="shared" si="16"/>
        <v>45.662999999999997</v>
      </c>
      <c r="L225" s="639">
        <f t="shared" si="16"/>
        <v>120.373</v>
      </c>
      <c r="M225" s="639">
        <f t="shared" si="16"/>
        <v>95.847999999999999</v>
      </c>
      <c r="N225" s="639">
        <f t="shared" si="16"/>
        <v>12.902000000000001</v>
      </c>
      <c r="O225" s="639">
        <f t="shared" si="16"/>
        <v>63.226000000000013</v>
      </c>
      <c r="P225" s="639">
        <f t="shared" si="16"/>
        <v>163.25400000000002</v>
      </c>
      <c r="Q225" s="639">
        <f t="shared" si="16"/>
        <v>15.432</v>
      </c>
      <c r="R225" s="639">
        <f t="shared" si="16"/>
        <v>145.07300000000001</v>
      </c>
      <c r="CG225" s="969">
        <f>SUM(CG50:CG52)</f>
        <v>1.004864448</v>
      </c>
      <c r="CH225" s="969">
        <f t="shared" ref="CH225:CR225" si="17">SUM(CH50:CH52)</f>
        <v>0.47799456000000001</v>
      </c>
      <c r="CI225" s="969">
        <f t="shared" si="17"/>
        <v>3.3478020480000001</v>
      </c>
      <c r="CJ225" s="969">
        <f t="shared" si="17"/>
        <v>1.8590376960000001</v>
      </c>
      <c r="CK225" s="969">
        <f t="shared" si="17"/>
        <v>0.71344123199999987</v>
      </c>
      <c r="CL225" s="969">
        <f t="shared" si="17"/>
        <v>1.9375410419999994</v>
      </c>
      <c r="CM225" s="969">
        <f t="shared" si="17"/>
        <v>1.5507947520000001</v>
      </c>
      <c r="CN225" s="969">
        <f t="shared" si="17"/>
        <v>0.20876083200000001</v>
      </c>
      <c r="CO225" s="969">
        <f t="shared" si="17"/>
        <v>1.022990208</v>
      </c>
      <c r="CP225" s="969">
        <f t="shared" si="17"/>
        <v>2.6415079680000009</v>
      </c>
      <c r="CQ225" s="969">
        <f t="shared" si="17"/>
        <v>0.21639648</v>
      </c>
      <c r="CR225" s="969">
        <f t="shared" si="17"/>
        <v>2.3473167360000002</v>
      </c>
      <c r="CY225" s="213"/>
      <c r="CZ225" s="213"/>
      <c r="DA225" s="213"/>
      <c r="DB225" s="213"/>
      <c r="DC225" s="213"/>
      <c r="DD225" s="213"/>
      <c r="DE225" s="213"/>
      <c r="DF225" s="213"/>
      <c r="DG225" s="213"/>
      <c r="DH225" s="213"/>
      <c r="DI225" s="213"/>
      <c r="DJ225" s="213"/>
      <c r="DK225" s="213"/>
      <c r="DL225" s="213"/>
      <c r="DM225" s="213"/>
      <c r="DN225" s="213"/>
      <c r="DO225" s="213"/>
      <c r="DP225" s="213"/>
      <c r="DQ225" s="213"/>
      <c r="DR225" s="213"/>
      <c r="DS225" s="213"/>
      <c r="DT225" s="213"/>
      <c r="DU225" s="213"/>
      <c r="DV225" s="213"/>
      <c r="DW225" s="213"/>
      <c r="DX225" s="213"/>
      <c r="DY225" s="213"/>
      <c r="DZ225" s="213"/>
      <c r="EA225" s="213"/>
      <c r="EB225" s="213"/>
      <c r="EC225" s="213"/>
      <c r="ED225" s="213"/>
      <c r="EE225" s="213"/>
      <c r="EF225" s="213"/>
      <c r="EG225" s="213"/>
      <c r="EH225" s="213"/>
      <c r="EI225" s="213"/>
      <c r="EJ225" s="213"/>
      <c r="EK225" s="213"/>
      <c r="EL225" s="213"/>
      <c r="EM225" s="213"/>
      <c r="EN225" s="213"/>
      <c r="EO225" s="213"/>
      <c r="EP225" s="213"/>
      <c r="EQ225" s="213"/>
      <c r="ER225" s="213"/>
      <c r="ES225" s="213"/>
      <c r="ET225" s="213"/>
      <c r="EU225" s="213"/>
      <c r="EV225" s="213"/>
      <c r="EW225" s="213"/>
      <c r="EX225" s="213"/>
      <c r="EY225" s="213"/>
      <c r="EZ225" s="213"/>
      <c r="FA225" s="213"/>
      <c r="FB225" s="213"/>
      <c r="FC225" s="213"/>
      <c r="FD225" s="213"/>
      <c r="FE225" s="213"/>
      <c r="FF225" s="213"/>
      <c r="FG225" s="213"/>
      <c r="FH225" s="213"/>
      <c r="FI225" s="213"/>
      <c r="FJ225" s="213"/>
      <c r="FK225" s="213"/>
      <c r="FL225" s="213"/>
      <c r="FM225" s="213"/>
      <c r="FN225" s="213"/>
      <c r="FO225" s="213"/>
      <c r="FP225" s="213"/>
      <c r="FQ225" s="213"/>
      <c r="FR225" s="213"/>
      <c r="FS225" s="213"/>
      <c r="FT225" s="213"/>
      <c r="FU225" s="213"/>
      <c r="FV225" s="213"/>
      <c r="FW225" s="213"/>
      <c r="GG225" s="213"/>
      <c r="GH225" s="213"/>
      <c r="GI225" s="213"/>
      <c r="GJ225" s="213"/>
      <c r="GK225" s="213"/>
      <c r="GV225" s="213"/>
    </row>
    <row r="226" spans="1:204" ht="12.75" customHeight="1">
      <c r="D226" s="955" t="s">
        <v>52</v>
      </c>
      <c r="G226" s="639">
        <f>SUM(G79:G85)</f>
        <v>0</v>
      </c>
      <c r="H226" s="639">
        <f t="shared" ref="H226:R226" si="18">SUM(H79:H85)</f>
        <v>0</v>
      </c>
      <c r="I226" s="639">
        <f t="shared" si="18"/>
        <v>48.758999999999993</v>
      </c>
      <c r="J226" s="639">
        <f t="shared" si="18"/>
        <v>53.408999999999992</v>
      </c>
      <c r="K226" s="639">
        <f t="shared" si="18"/>
        <v>19.232999999999997</v>
      </c>
      <c r="L226" s="639">
        <f t="shared" si="18"/>
        <v>57.937000000000012</v>
      </c>
      <c r="M226" s="639">
        <f t="shared" si="18"/>
        <v>89.674999999999997</v>
      </c>
      <c r="N226" s="639">
        <f t="shared" si="18"/>
        <v>54.35499999999999</v>
      </c>
      <c r="O226" s="639">
        <f t="shared" si="18"/>
        <v>140.82100000000003</v>
      </c>
      <c r="P226" s="639">
        <f t="shared" si="18"/>
        <v>0</v>
      </c>
      <c r="Q226" s="639">
        <f t="shared" si="18"/>
        <v>0</v>
      </c>
      <c r="R226" s="639">
        <f t="shared" si="18"/>
        <v>122.80400000000002</v>
      </c>
      <c r="CG226" s="969">
        <f>SUM(CG79:CG85)</f>
        <v>0</v>
      </c>
      <c r="CH226" s="969">
        <f t="shared" ref="CH226:CR226" si="19">SUM(CH79:CH85)</f>
        <v>0</v>
      </c>
      <c r="CI226" s="969">
        <f t="shared" si="19"/>
        <v>0.98115989999999997</v>
      </c>
      <c r="CJ226" s="969">
        <f t="shared" si="19"/>
        <v>1.2357846499999998</v>
      </c>
      <c r="CK226" s="969">
        <f t="shared" si="19"/>
        <v>0.50021205000000002</v>
      </c>
      <c r="CL226" s="969">
        <f t="shared" si="19"/>
        <v>1.34456485</v>
      </c>
      <c r="CM226" s="969">
        <f t="shared" si="19"/>
        <v>2.0636290499999999</v>
      </c>
      <c r="CN226" s="969">
        <f t="shared" si="19"/>
        <v>1.234534</v>
      </c>
      <c r="CO226" s="969">
        <f t="shared" si="19"/>
        <v>3.3191924500000001</v>
      </c>
      <c r="CP226" s="969">
        <f t="shared" si="19"/>
        <v>0</v>
      </c>
      <c r="CQ226" s="969">
        <f t="shared" si="19"/>
        <v>0</v>
      </c>
      <c r="CR226" s="969">
        <f t="shared" si="19"/>
        <v>2.8751716500000004</v>
      </c>
    </row>
    <row r="227" spans="1:204" ht="12.75" customHeight="1">
      <c r="A227" s="213"/>
      <c r="D227" s="955" t="s">
        <v>56</v>
      </c>
      <c r="G227" s="639">
        <f>SUM(G75:G77)</f>
        <v>0</v>
      </c>
      <c r="H227" s="639">
        <f t="shared" ref="H227:R227" si="20">SUM(H75:H77)</f>
        <v>26.207999999999998</v>
      </c>
      <c r="I227" s="639">
        <f t="shared" si="20"/>
        <v>29.995000000000001</v>
      </c>
      <c r="J227" s="639">
        <f t="shared" si="20"/>
        <v>29.806999999999999</v>
      </c>
      <c r="K227" s="639">
        <f t="shared" si="20"/>
        <v>29.664000000000001</v>
      </c>
      <c r="L227" s="639">
        <f t="shared" si="20"/>
        <v>0</v>
      </c>
      <c r="M227" s="639">
        <f t="shared" si="20"/>
        <v>56.261000000000003</v>
      </c>
      <c r="N227" s="639">
        <f t="shared" si="20"/>
        <v>9.6229999999999993</v>
      </c>
      <c r="O227" s="639">
        <f t="shared" si="20"/>
        <v>20.963000000000001</v>
      </c>
      <c r="P227" s="639">
        <f t="shared" si="20"/>
        <v>39.639999999999993</v>
      </c>
      <c r="Q227" s="639">
        <f t="shared" si="20"/>
        <v>0</v>
      </c>
      <c r="R227" s="639">
        <f t="shared" si="20"/>
        <v>0</v>
      </c>
      <c r="CG227" s="969">
        <f>SUM(CG75:CG77)</f>
        <v>0</v>
      </c>
      <c r="CH227" s="969">
        <f t="shared" ref="CH227:CR227" si="21">SUM(CH75:CH77)</f>
        <v>0.2821728</v>
      </c>
      <c r="CI227" s="969">
        <f t="shared" si="21"/>
        <v>0.32294831999999996</v>
      </c>
      <c r="CJ227" s="969">
        <f t="shared" si="21"/>
        <v>0.32093279999999996</v>
      </c>
      <c r="CK227" s="969">
        <f t="shared" si="21"/>
        <v>0.31938239999999996</v>
      </c>
      <c r="CL227" s="969">
        <f t="shared" si="21"/>
        <v>0</v>
      </c>
      <c r="CM227" s="969">
        <f t="shared" si="21"/>
        <v>0.60574127999999994</v>
      </c>
      <c r="CN227" s="969">
        <f t="shared" si="21"/>
        <v>0.13760603999999999</v>
      </c>
      <c r="CO227" s="969">
        <f t="shared" si="21"/>
        <v>0.29976804000000001</v>
      </c>
      <c r="CP227" s="969">
        <f t="shared" si="21"/>
        <v>0.44895731999999999</v>
      </c>
      <c r="CQ227" s="969">
        <f t="shared" si="21"/>
        <v>0</v>
      </c>
      <c r="CR227" s="969">
        <f t="shared" si="21"/>
        <v>0</v>
      </c>
      <c r="CY227" s="213"/>
      <c r="CZ227" s="213"/>
      <c r="DA227" s="213"/>
      <c r="DB227" s="213"/>
      <c r="DC227" s="213"/>
      <c r="DD227" s="213"/>
      <c r="DE227" s="213"/>
      <c r="DF227" s="213"/>
      <c r="DG227" s="213"/>
      <c r="DH227" s="213"/>
      <c r="DI227" s="213"/>
      <c r="DJ227" s="213"/>
      <c r="DK227" s="213"/>
      <c r="DL227" s="213"/>
      <c r="DM227" s="213"/>
      <c r="DN227" s="213"/>
      <c r="DO227" s="213"/>
      <c r="DP227" s="213"/>
      <c r="DQ227" s="213"/>
      <c r="DR227" s="213"/>
      <c r="DS227" s="213"/>
      <c r="DT227" s="213"/>
      <c r="DU227" s="213"/>
      <c r="DV227" s="213"/>
      <c r="DW227" s="213"/>
      <c r="DX227" s="213"/>
      <c r="DY227" s="213"/>
      <c r="DZ227" s="213"/>
      <c r="EA227" s="213"/>
      <c r="EB227" s="213"/>
      <c r="EC227" s="213"/>
      <c r="ED227" s="213"/>
      <c r="EE227" s="213"/>
      <c r="EF227" s="213"/>
      <c r="EG227" s="213"/>
      <c r="EH227" s="213"/>
      <c r="EI227" s="213"/>
      <c r="EJ227" s="213"/>
      <c r="EK227" s="213"/>
      <c r="EL227" s="213"/>
      <c r="EM227" s="213"/>
      <c r="EN227" s="213"/>
      <c r="EO227" s="213"/>
      <c r="EP227" s="213"/>
      <c r="EQ227" s="213"/>
      <c r="ER227" s="213"/>
      <c r="ES227" s="213"/>
      <c r="ET227" s="213"/>
      <c r="EU227" s="213"/>
      <c r="EV227" s="213"/>
      <c r="EW227" s="213"/>
      <c r="EX227" s="213"/>
      <c r="EY227" s="213"/>
      <c r="EZ227" s="213"/>
      <c r="FA227" s="213"/>
      <c r="FB227" s="213"/>
      <c r="FC227" s="213"/>
      <c r="FD227" s="213"/>
      <c r="FE227" s="213"/>
      <c r="FF227" s="213"/>
      <c r="FG227" s="213"/>
      <c r="FH227" s="213"/>
      <c r="FI227" s="213"/>
      <c r="FJ227" s="213"/>
      <c r="FK227" s="213"/>
      <c r="FL227" s="213"/>
      <c r="FM227" s="213"/>
      <c r="FN227" s="213"/>
      <c r="FO227" s="213"/>
      <c r="FP227" s="213"/>
      <c r="FQ227" s="213"/>
      <c r="FR227" s="213"/>
      <c r="FS227" s="213"/>
      <c r="FT227" s="213"/>
      <c r="FU227" s="213"/>
      <c r="FV227" s="213"/>
      <c r="FW227" s="213"/>
      <c r="GG227" s="213"/>
      <c r="GH227" s="213"/>
      <c r="GI227" s="213"/>
      <c r="GJ227" s="213"/>
      <c r="GK227" s="213"/>
      <c r="GV227" s="213"/>
    </row>
    <row r="228" spans="1:204" ht="12.75" customHeight="1">
      <c r="A228" s="213"/>
      <c r="D228" s="955" t="s">
        <v>57</v>
      </c>
      <c r="G228" s="639">
        <f>SUM(G92:G99)</f>
        <v>57.84</v>
      </c>
      <c r="H228" s="639">
        <f t="shared" ref="H228:R228" si="22">SUM(H92:H99)</f>
        <v>14.46</v>
      </c>
      <c r="I228" s="639">
        <f t="shared" si="22"/>
        <v>0</v>
      </c>
      <c r="J228" s="639">
        <f t="shared" si="22"/>
        <v>16.358000000000001</v>
      </c>
      <c r="K228" s="639">
        <f t="shared" si="22"/>
        <v>89.97</v>
      </c>
      <c r="L228" s="639">
        <f t="shared" si="22"/>
        <v>0</v>
      </c>
      <c r="M228" s="639">
        <f t="shared" si="22"/>
        <v>16.358000000000001</v>
      </c>
      <c r="N228" s="639">
        <f t="shared" si="22"/>
        <v>0</v>
      </c>
      <c r="O228" s="639">
        <f t="shared" si="22"/>
        <v>32.716000000000001</v>
      </c>
      <c r="P228" s="639">
        <f t="shared" si="22"/>
        <v>65.432000000000002</v>
      </c>
      <c r="Q228" s="639">
        <f t="shared" si="22"/>
        <v>0</v>
      </c>
      <c r="R228" s="639">
        <f t="shared" si="22"/>
        <v>0</v>
      </c>
      <c r="CG228" s="969">
        <f>SUM(CG92:CG99)</f>
        <v>0.91994108000000008</v>
      </c>
      <c r="CH228" s="969">
        <f t="shared" ref="CH228:CR228" si="23">SUM(CH92:CH99)</f>
        <v>0.233739536</v>
      </c>
      <c r="CI228" s="969">
        <f t="shared" si="23"/>
        <v>0</v>
      </c>
      <c r="CJ228" s="969">
        <f t="shared" si="23"/>
        <v>0.15217169899999999</v>
      </c>
      <c r="CK228" s="969">
        <f t="shared" si="23"/>
        <v>0.83109244399999993</v>
      </c>
      <c r="CL228" s="969">
        <f t="shared" si="23"/>
        <v>0</v>
      </c>
      <c r="CM228" s="969">
        <f t="shared" si="23"/>
        <v>0.15691561299999998</v>
      </c>
      <c r="CN228" s="969">
        <f t="shared" si="23"/>
        <v>0</v>
      </c>
      <c r="CO228" s="969">
        <f t="shared" si="23"/>
        <v>0.33679151600000001</v>
      </c>
      <c r="CP228" s="969">
        <f t="shared" si="23"/>
        <v>0.6755383880000001</v>
      </c>
      <c r="CQ228" s="969">
        <f t="shared" si="23"/>
        <v>0</v>
      </c>
      <c r="CR228" s="969">
        <f t="shared" si="23"/>
        <v>0</v>
      </c>
      <c r="CY228" s="213"/>
      <c r="CZ228" s="213"/>
      <c r="DA228" s="213"/>
      <c r="DB228" s="213"/>
      <c r="DC228" s="213"/>
      <c r="DD228" s="213"/>
      <c r="DE228" s="213"/>
      <c r="DF228" s="213"/>
      <c r="DG228" s="213"/>
      <c r="DH228" s="213"/>
      <c r="DI228" s="213"/>
      <c r="DJ228" s="213"/>
      <c r="DK228" s="213"/>
      <c r="DL228" s="213"/>
      <c r="DM228" s="213"/>
      <c r="DN228" s="213"/>
      <c r="DO228" s="213"/>
      <c r="DP228" s="213"/>
      <c r="DQ228" s="213"/>
      <c r="DR228" s="213"/>
      <c r="DS228" s="213"/>
      <c r="DT228" s="213"/>
      <c r="DU228" s="213"/>
      <c r="DV228" s="213"/>
      <c r="DW228" s="213"/>
      <c r="DX228" s="213"/>
      <c r="DY228" s="213"/>
      <c r="DZ228" s="213"/>
      <c r="EA228" s="213"/>
      <c r="EB228" s="213"/>
      <c r="EC228" s="213"/>
      <c r="ED228" s="213"/>
      <c r="EE228" s="213"/>
      <c r="EF228" s="213"/>
      <c r="EG228" s="213"/>
      <c r="EH228" s="213"/>
      <c r="EI228" s="213"/>
      <c r="EJ228" s="213"/>
      <c r="EK228" s="213"/>
      <c r="EL228" s="213"/>
      <c r="EM228" s="213"/>
      <c r="EN228" s="213"/>
      <c r="EO228" s="213"/>
      <c r="EP228" s="213"/>
      <c r="EQ228" s="213"/>
      <c r="ER228" s="213"/>
      <c r="ES228" s="213"/>
      <c r="ET228" s="213"/>
      <c r="EU228" s="213"/>
      <c r="EV228" s="213"/>
      <c r="EW228" s="213"/>
      <c r="EX228" s="213"/>
      <c r="EY228" s="213"/>
      <c r="EZ228" s="213"/>
      <c r="FA228" s="213"/>
      <c r="FB228" s="213"/>
      <c r="FC228" s="213"/>
      <c r="FD228" s="213"/>
      <c r="FE228" s="213"/>
      <c r="FF228" s="213"/>
      <c r="FG228" s="213"/>
      <c r="FH228" s="213"/>
      <c r="FI228" s="213"/>
      <c r="FJ228" s="213"/>
      <c r="FK228" s="213"/>
      <c r="FL228" s="213"/>
      <c r="FM228" s="213"/>
      <c r="FN228" s="213"/>
      <c r="FO228" s="213"/>
      <c r="FP228" s="213"/>
      <c r="FQ228" s="213"/>
      <c r="FR228" s="213"/>
      <c r="FS228" s="213"/>
      <c r="FT228" s="213"/>
      <c r="FU228" s="213"/>
      <c r="FV228" s="213"/>
      <c r="FW228" s="213"/>
      <c r="GG228" s="213"/>
      <c r="GH228" s="213"/>
      <c r="GI228" s="213"/>
      <c r="GJ228" s="213"/>
      <c r="GK228" s="213"/>
      <c r="GV228" s="213"/>
    </row>
    <row r="229" spans="1:204" ht="12.75" customHeight="1">
      <c r="D229" s="955" t="s">
        <v>28</v>
      </c>
      <c r="G229" s="639">
        <f>SUM(G100+G86+G63+G62+G61+G44+G39+G40+G41+G53+G54+G55+G56)</f>
        <v>20.609000000000002</v>
      </c>
      <c r="H229" s="639">
        <f t="shared" ref="H229:R229" si="24">SUM(H100+H86+H63+H62+H61+H44+H39+H40+H41+H53+H54+H55+H56)</f>
        <v>39.941000000000003</v>
      </c>
      <c r="I229" s="639">
        <f t="shared" si="24"/>
        <v>166.38099999999997</v>
      </c>
      <c r="J229" s="639">
        <f t="shared" si="24"/>
        <v>152.60900000000001</v>
      </c>
      <c r="K229" s="639">
        <f t="shared" si="24"/>
        <v>45.258000000000003</v>
      </c>
      <c r="L229" s="639">
        <f t="shared" si="24"/>
        <v>35.816000000000003</v>
      </c>
      <c r="M229" s="639">
        <f t="shared" si="24"/>
        <v>71.551999999999992</v>
      </c>
      <c r="N229" s="639">
        <f t="shared" si="24"/>
        <v>61.970999999999997</v>
      </c>
      <c r="O229" s="639">
        <f t="shared" si="24"/>
        <v>97.849000000000004</v>
      </c>
      <c r="P229" s="639">
        <f t="shared" si="24"/>
        <v>69.154999999999987</v>
      </c>
      <c r="Q229" s="639">
        <f t="shared" si="24"/>
        <v>7.9949999999999992</v>
      </c>
      <c r="R229" s="639">
        <f t="shared" si="24"/>
        <v>81.420999999999992</v>
      </c>
      <c r="CG229" s="969">
        <f>SUM(CG100+CG86+CG63+CG62+CG61+CG44+CG39+CG40+CG41+CG53+CG54+CG55+CG56)</f>
        <v>0.43584245999999999</v>
      </c>
      <c r="CH229" s="969">
        <f t="shared" ref="CH229:CR229" si="25">SUM(CH100+CH86+CH63+CH62+CH61+CH44+CH39+CH40+CH41+CH53+CH54+CH55+CH56)</f>
        <v>0.63510739199999999</v>
      </c>
      <c r="CI229" s="969">
        <f t="shared" si="25"/>
        <v>1.8921292199999999</v>
      </c>
      <c r="CJ229" s="969">
        <f t="shared" si="25"/>
        <v>2.3724094739999999</v>
      </c>
      <c r="CK229" s="969">
        <f t="shared" si="25"/>
        <v>0.76525352800000013</v>
      </c>
      <c r="CL229" s="969">
        <f t="shared" si="25"/>
        <v>0.52985920000000009</v>
      </c>
      <c r="CM229" s="969">
        <f t="shared" si="25"/>
        <v>1.299640728</v>
      </c>
      <c r="CN229" s="969">
        <f t="shared" si="25"/>
        <v>0.89720352000000003</v>
      </c>
      <c r="CO229" s="969">
        <f t="shared" si="25"/>
        <v>1.5943657919999998</v>
      </c>
      <c r="CP229" s="969">
        <f t="shared" si="25"/>
        <v>1.3256961840000001</v>
      </c>
      <c r="CQ229" s="969">
        <f t="shared" si="25"/>
        <v>0.21191944099999999</v>
      </c>
      <c r="CR229" s="969">
        <f t="shared" si="25"/>
        <v>1.3357105919999999</v>
      </c>
    </row>
    <row r="230" spans="1:204" ht="12.75" customHeight="1">
      <c r="D230" s="955" t="s">
        <v>16</v>
      </c>
      <c r="G230" s="639">
        <f>SUM(G108)</f>
        <v>1818.5800000000008</v>
      </c>
      <c r="H230" s="639">
        <f t="shared" ref="H230:R230" si="26">SUM(H108)</f>
        <v>1513.79</v>
      </c>
      <c r="I230" s="639">
        <f t="shared" si="26"/>
        <v>1308.4599999999998</v>
      </c>
      <c r="J230" s="639">
        <f t="shared" si="26"/>
        <v>1507.61</v>
      </c>
      <c r="K230" s="639">
        <f t="shared" si="26"/>
        <v>1000.3000000000001</v>
      </c>
      <c r="L230" s="639">
        <f t="shared" si="26"/>
        <v>0</v>
      </c>
      <c r="M230" s="639">
        <f t="shared" si="26"/>
        <v>88.71</v>
      </c>
      <c r="N230" s="639">
        <f t="shared" si="26"/>
        <v>355.35000000000008</v>
      </c>
      <c r="O230" s="639">
        <f t="shared" si="26"/>
        <v>1531.8100000000006</v>
      </c>
      <c r="P230" s="639">
        <f t="shared" si="26"/>
        <v>1170.4149999999997</v>
      </c>
      <c r="Q230" s="639">
        <f t="shared" si="26"/>
        <v>1554.598</v>
      </c>
      <c r="R230" s="639">
        <f t="shared" si="26"/>
        <v>2025.9500000000012</v>
      </c>
      <c r="CG230" s="969">
        <f>SUM(CG108)</f>
        <v>11.127279593999994</v>
      </c>
      <c r="CH230" s="969">
        <f t="shared" ref="CH230:CR230" si="27">SUM(CH108)</f>
        <v>9.4547226499999972</v>
      </c>
      <c r="CI230" s="969">
        <f t="shared" si="27"/>
        <v>7.4942635000000015</v>
      </c>
      <c r="CJ230" s="969">
        <f t="shared" si="27"/>
        <v>8.6734651000000014</v>
      </c>
      <c r="CK230" s="969">
        <f t="shared" si="27"/>
        <v>5.8786057999999999</v>
      </c>
      <c r="CL230" s="969">
        <f t="shared" si="27"/>
        <v>0</v>
      </c>
      <c r="CM230" s="969">
        <f t="shared" si="27"/>
        <v>0.42580800000000002</v>
      </c>
      <c r="CN230" s="969">
        <f t="shared" si="27"/>
        <v>1.7056800000000001</v>
      </c>
      <c r="CO230" s="969">
        <f t="shared" si="27"/>
        <v>7.3614853</v>
      </c>
      <c r="CP230" s="969">
        <f t="shared" si="27"/>
        <v>5.961018546</v>
      </c>
      <c r="CQ230" s="969">
        <f t="shared" si="27"/>
        <v>8.000386160999998</v>
      </c>
      <c r="CR230" s="969">
        <f t="shared" si="27"/>
        <v>10.643767009999996</v>
      </c>
    </row>
    <row r="231" spans="1:204" ht="12.75" customHeight="1">
      <c r="D231" s="955" t="s">
        <v>51</v>
      </c>
      <c r="G231" s="639">
        <f>G112</f>
        <v>67.97999999999999</v>
      </c>
      <c r="H231" s="639">
        <f t="shared" ref="H231:R231" si="28">H112</f>
        <v>167.99999999999983</v>
      </c>
      <c r="I231" s="639">
        <f t="shared" si="28"/>
        <v>84.000000000000114</v>
      </c>
      <c r="J231" s="639">
        <f t="shared" si="28"/>
        <v>167.84999999999985</v>
      </c>
      <c r="K231" s="639">
        <f t="shared" si="28"/>
        <v>0</v>
      </c>
      <c r="L231" s="639">
        <f t="shared" si="28"/>
        <v>0</v>
      </c>
      <c r="M231" s="639">
        <f t="shared" si="28"/>
        <v>0</v>
      </c>
      <c r="N231" s="639">
        <f t="shared" si="28"/>
        <v>0</v>
      </c>
      <c r="O231" s="639">
        <f t="shared" si="28"/>
        <v>0</v>
      </c>
      <c r="P231" s="639">
        <f t="shared" si="28"/>
        <v>0</v>
      </c>
      <c r="Q231" s="639">
        <f t="shared" si="28"/>
        <v>0</v>
      </c>
      <c r="R231" s="639">
        <f t="shared" si="28"/>
        <v>0</v>
      </c>
      <c r="CG231" s="969">
        <f>CG112</f>
        <v>0.95967954799999999</v>
      </c>
      <c r="CH231" s="969">
        <f t="shared" ref="CH231:CR231" si="29">CH112</f>
        <v>2.3869199590000028</v>
      </c>
      <c r="CI231" s="969">
        <f t="shared" si="29"/>
        <v>1.1966870990000009</v>
      </c>
      <c r="CJ231" s="969">
        <f t="shared" si="29"/>
        <v>2.3776526620000022</v>
      </c>
      <c r="CK231" s="969">
        <f t="shared" si="29"/>
        <v>0</v>
      </c>
      <c r="CL231" s="969">
        <f t="shared" si="29"/>
        <v>0</v>
      </c>
      <c r="CM231" s="969">
        <f t="shared" si="29"/>
        <v>0</v>
      </c>
      <c r="CN231" s="969">
        <f t="shared" si="29"/>
        <v>0</v>
      </c>
      <c r="CO231" s="969">
        <f t="shared" si="29"/>
        <v>0</v>
      </c>
      <c r="CP231" s="969">
        <f t="shared" si="29"/>
        <v>0</v>
      </c>
      <c r="CQ231" s="969">
        <f t="shared" si="29"/>
        <v>0</v>
      </c>
      <c r="CR231" s="969">
        <f t="shared" si="29"/>
        <v>0</v>
      </c>
    </row>
    <row r="232" spans="1:204" ht="12.75" customHeight="1">
      <c r="D232" s="955" t="s">
        <v>17</v>
      </c>
      <c r="G232" s="642">
        <f>SUM(G22:G30)+SUM(G35:G37)+SUM(G48:G49)</f>
        <v>466.00099999999998</v>
      </c>
      <c r="H232" s="642">
        <f t="shared" ref="H232:R232" si="30">SUM(H22:H30)+SUM(H35:H37)+SUM(H48:H49)</f>
        <v>453.678</v>
      </c>
      <c r="I232" s="642">
        <f t="shared" si="30"/>
        <v>572.28800000000001</v>
      </c>
      <c r="J232" s="642">
        <f t="shared" si="30"/>
        <v>273.46600000000001</v>
      </c>
      <c r="K232" s="642">
        <f t="shared" si="30"/>
        <v>28.713999999999999</v>
      </c>
      <c r="L232" s="642">
        <f t="shared" si="30"/>
        <v>145.88999999999999</v>
      </c>
      <c r="M232" s="642">
        <f t="shared" si="30"/>
        <v>336.19</v>
      </c>
      <c r="N232" s="642">
        <f t="shared" si="30"/>
        <v>293.89800000000008</v>
      </c>
      <c r="O232" s="642">
        <f t="shared" si="30"/>
        <v>229.06300000000005</v>
      </c>
      <c r="P232" s="642">
        <f t="shared" si="30"/>
        <v>245.46599999999998</v>
      </c>
      <c r="Q232" s="642">
        <f t="shared" si="30"/>
        <v>390.99700000000007</v>
      </c>
      <c r="R232" s="642">
        <f t="shared" si="30"/>
        <v>555.34700000000021</v>
      </c>
      <c r="CG232" s="969">
        <f>SUM(CG22:CG30)+SUM(CG35:CG37)+SUM(CG48:CG49)</f>
        <v>4.8101804939999999</v>
      </c>
      <c r="CH232" s="969">
        <f t="shared" ref="CH232:CR232" si="31">SUM(CH22:CH30)+SUM(CH35:CH37)+SUM(CH48:CH49)</f>
        <v>4.7841409509999986</v>
      </c>
      <c r="CI232" s="969">
        <f t="shared" si="31"/>
        <v>4.4245627820000006</v>
      </c>
      <c r="CJ232" s="969">
        <f t="shared" si="31"/>
        <v>2.5871144110000004</v>
      </c>
      <c r="CK232" s="969">
        <f t="shared" si="31"/>
        <v>0.36451785600000003</v>
      </c>
      <c r="CL232" s="969">
        <f t="shared" si="31"/>
        <v>1.1701554709999999</v>
      </c>
      <c r="CM232" s="969">
        <f t="shared" si="31"/>
        <v>2.6603468120000016</v>
      </c>
      <c r="CN232" s="969">
        <f t="shared" si="31"/>
        <v>2.7644119659999999</v>
      </c>
      <c r="CO232" s="969">
        <f t="shared" si="31"/>
        <v>2.1116632380000002</v>
      </c>
      <c r="CP232" s="969">
        <f t="shared" si="31"/>
        <v>2.628198866</v>
      </c>
      <c r="CQ232" s="969">
        <f t="shared" si="31"/>
        <v>3.3788202639999998</v>
      </c>
      <c r="CR232" s="969">
        <f t="shared" si="31"/>
        <v>4.0706823239999981</v>
      </c>
    </row>
    <row r="233" spans="1:204" ht="12.75" customHeight="1">
      <c r="A233" s="213"/>
      <c r="B233" s="672"/>
      <c r="D233" s="955" t="s">
        <v>18</v>
      </c>
      <c r="G233" s="639">
        <f>SUM(G57:G60)</f>
        <v>10.373000000000001</v>
      </c>
      <c r="H233" s="639">
        <f t="shared" ref="H233:R233" si="32">SUM(H57:H60)</f>
        <v>0</v>
      </c>
      <c r="I233" s="639">
        <f t="shared" si="32"/>
        <v>18.72</v>
      </c>
      <c r="J233" s="639">
        <f t="shared" si="32"/>
        <v>0</v>
      </c>
      <c r="K233" s="639">
        <f t="shared" si="32"/>
        <v>37.44</v>
      </c>
      <c r="L233" s="639">
        <f t="shared" si="32"/>
        <v>29.802</v>
      </c>
      <c r="M233" s="639">
        <f t="shared" si="32"/>
        <v>46.295999999999999</v>
      </c>
      <c r="N233" s="639">
        <f t="shared" si="32"/>
        <v>53.567999999999998</v>
      </c>
      <c r="O233" s="639">
        <f t="shared" si="32"/>
        <v>23.05</v>
      </c>
      <c r="P233" s="639">
        <f t="shared" si="32"/>
        <v>4.1100000000000003</v>
      </c>
      <c r="Q233" s="639">
        <f t="shared" si="32"/>
        <v>0</v>
      </c>
      <c r="R233" s="639">
        <f t="shared" si="32"/>
        <v>0</v>
      </c>
      <c r="CG233" s="969">
        <f>SUM(CG57:CG60)</f>
        <v>0.114251454</v>
      </c>
      <c r="CH233" s="969">
        <f t="shared" ref="CH233:CR233" si="33">SUM(CH57:CH60)</f>
        <v>0</v>
      </c>
      <c r="CI233" s="969">
        <f t="shared" si="33"/>
        <v>0.2025517</v>
      </c>
      <c r="CJ233" s="969">
        <f t="shared" si="33"/>
        <v>0</v>
      </c>
      <c r="CK233" s="969">
        <f t="shared" si="33"/>
        <v>0.40637220000000007</v>
      </c>
      <c r="CL233" s="969">
        <f t="shared" si="33"/>
        <v>0.339077503</v>
      </c>
      <c r="CM233" s="969">
        <f t="shared" si="33"/>
        <v>0.53906499600000002</v>
      </c>
      <c r="CN233" s="969">
        <f t="shared" si="33"/>
        <v>0.58603670999999991</v>
      </c>
      <c r="CO233" s="969">
        <f t="shared" si="33"/>
        <v>0.266216444</v>
      </c>
      <c r="CP233" s="969">
        <f t="shared" si="33"/>
        <v>4.9148749999999998E-2</v>
      </c>
      <c r="CQ233" s="969">
        <f t="shared" si="33"/>
        <v>0</v>
      </c>
      <c r="CR233" s="969">
        <f t="shared" si="33"/>
        <v>0</v>
      </c>
      <c r="CY233" s="213"/>
      <c r="CZ233" s="213"/>
      <c r="DA233" s="213"/>
      <c r="DB233" s="213"/>
      <c r="DC233" s="213"/>
      <c r="DD233" s="213"/>
      <c r="DE233" s="213"/>
      <c r="DF233" s="213"/>
      <c r="DG233" s="213"/>
      <c r="DH233" s="213"/>
      <c r="DI233" s="213"/>
      <c r="DJ233" s="213"/>
      <c r="DK233" s="213"/>
      <c r="DL233" s="213"/>
      <c r="DM233" s="213"/>
      <c r="DN233" s="213"/>
      <c r="DO233" s="213"/>
      <c r="DP233" s="213"/>
      <c r="DQ233" s="213"/>
      <c r="DR233" s="213"/>
      <c r="DS233" s="213"/>
      <c r="DT233" s="213"/>
      <c r="DU233" s="213"/>
      <c r="DV233" s="213"/>
      <c r="DW233" s="213"/>
      <c r="DX233" s="213"/>
      <c r="DY233" s="213"/>
      <c r="DZ233" s="213"/>
      <c r="EA233" s="213"/>
      <c r="EB233" s="213"/>
      <c r="EC233" s="213"/>
      <c r="ED233" s="213"/>
      <c r="EE233" s="213"/>
      <c r="EF233" s="213"/>
      <c r="EG233" s="213"/>
      <c r="EH233" s="213"/>
      <c r="EI233" s="213"/>
      <c r="EJ233" s="213"/>
      <c r="EK233" s="213"/>
      <c r="EL233" s="213"/>
      <c r="EM233" s="213"/>
      <c r="EN233" s="213"/>
      <c r="EO233" s="213"/>
      <c r="EP233" s="213"/>
      <c r="EQ233" s="213"/>
      <c r="ER233" s="213"/>
      <c r="ES233" s="213"/>
      <c r="ET233" s="213"/>
      <c r="EU233" s="213"/>
      <c r="EV233" s="213"/>
      <c r="EW233" s="213"/>
      <c r="EX233" s="213"/>
      <c r="EY233" s="213"/>
      <c r="EZ233" s="213"/>
      <c r="FA233" s="213"/>
      <c r="FB233" s="213"/>
      <c r="FC233" s="213"/>
      <c r="FD233" s="213"/>
      <c r="FE233" s="213"/>
      <c r="FF233" s="213"/>
      <c r="FG233" s="213"/>
      <c r="FH233" s="213"/>
      <c r="FI233" s="213"/>
      <c r="FJ233" s="213"/>
      <c r="FK233" s="213"/>
      <c r="FL233" s="213"/>
      <c r="FM233" s="213"/>
      <c r="FN233" s="213"/>
      <c r="FO233" s="213"/>
      <c r="FP233" s="213"/>
      <c r="FQ233" s="213"/>
      <c r="FR233" s="213"/>
      <c r="FS233" s="213"/>
      <c r="FT233" s="213"/>
      <c r="FU233" s="213"/>
      <c r="FV233" s="213"/>
      <c r="FW233" s="213"/>
      <c r="GG233" s="213"/>
      <c r="GH233" s="213"/>
      <c r="GI233" s="213"/>
      <c r="GJ233" s="213"/>
      <c r="GK233" s="213"/>
      <c r="GV233" s="213"/>
    </row>
    <row r="234" spans="1:204" ht="12.75" customHeight="1">
      <c r="D234" s="955"/>
      <c r="Q234" s="207"/>
      <c r="CG234" s="969"/>
      <c r="CH234" s="969"/>
      <c r="CI234" s="969"/>
      <c r="CJ234" s="969"/>
      <c r="CK234" s="969"/>
      <c r="CL234" s="969"/>
      <c r="CM234" s="969"/>
      <c r="CN234" s="969"/>
      <c r="CO234" s="969"/>
      <c r="CP234" s="969"/>
      <c r="CQ234" s="969"/>
      <c r="CR234" s="969"/>
    </row>
    <row r="235" spans="1:204" ht="12.75" customHeight="1">
      <c r="D235" s="957" t="s">
        <v>21</v>
      </c>
      <c r="G235" s="639">
        <f>SUM(G221:G234)</f>
        <v>3554.4200000000005</v>
      </c>
      <c r="H235" s="639">
        <f t="shared" ref="H235:R235" si="34">SUM(H221:H234)</f>
        <v>3791.7669999999998</v>
      </c>
      <c r="I235" s="639">
        <f t="shared" si="34"/>
        <v>3762.3629999999994</v>
      </c>
      <c r="J235" s="639">
        <f t="shared" si="34"/>
        <v>3630.1989999999996</v>
      </c>
      <c r="K235" s="639">
        <f t="shared" si="34"/>
        <v>2757.3709999999992</v>
      </c>
      <c r="L235" s="639">
        <f t="shared" si="34"/>
        <v>1177.4530000000002</v>
      </c>
      <c r="M235" s="639">
        <f t="shared" si="34"/>
        <v>1536.8649999999998</v>
      </c>
      <c r="N235" s="639">
        <f t="shared" si="34"/>
        <v>1521.6770000000001</v>
      </c>
      <c r="O235" s="639">
        <f t="shared" si="34"/>
        <v>2825.0440000000008</v>
      </c>
      <c r="P235" s="639">
        <f t="shared" si="34"/>
        <v>2642.0816</v>
      </c>
      <c r="Q235" s="639">
        <f t="shared" si="34"/>
        <v>3152.4740000000002</v>
      </c>
      <c r="R235" s="639">
        <f t="shared" si="34"/>
        <v>3986.8210000000013</v>
      </c>
      <c r="CG235" s="969">
        <f>SUM(CG221:CG234)</f>
        <v>32.940797713999991</v>
      </c>
      <c r="CH235" s="969">
        <f t="shared" ref="CH235:CR235" si="35">SUM(CH221:CH234)</f>
        <v>37.594821609</v>
      </c>
      <c r="CI235" s="969">
        <f t="shared" si="35"/>
        <v>36.479602788000001</v>
      </c>
      <c r="CJ235" s="969">
        <f t="shared" si="35"/>
        <v>36.254675283000005</v>
      </c>
      <c r="CK235" s="969">
        <f t="shared" si="35"/>
        <v>27.988724474999994</v>
      </c>
      <c r="CL235" s="969">
        <f t="shared" si="35"/>
        <v>16.027105256999999</v>
      </c>
      <c r="CM235" s="969">
        <f t="shared" si="35"/>
        <v>19.122597844000001</v>
      </c>
      <c r="CN235" s="969">
        <f t="shared" si="35"/>
        <v>16.666789365</v>
      </c>
      <c r="CO235" s="969">
        <f t="shared" si="35"/>
        <v>25.309031967999999</v>
      </c>
      <c r="CP235" s="969">
        <f t="shared" si="35"/>
        <v>23.479229482000001</v>
      </c>
      <c r="CQ235" s="969">
        <f t="shared" si="35"/>
        <v>21.994063083999997</v>
      </c>
      <c r="CR235" s="969">
        <f t="shared" si="35"/>
        <v>31.881953811999992</v>
      </c>
    </row>
    <row r="236" spans="1:204" ht="12.75" customHeight="1">
      <c r="D236" s="109" t="s">
        <v>50</v>
      </c>
      <c r="G236" s="639">
        <f>SUM(G127)</f>
        <v>29.102460000000001</v>
      </c>
      <c r="H236" s="639">
        <f t="shared" ref="H236:R236" si="36">SUM(H127)</f>
        <v>41.104219999999998</v>
      </c>
      <c r="I236" s="639">
        <f t="shared" si="36"/>
        <v>55.796400000000006</v>
      </c>
      <c r="J236" s="639">
        <f t="shared" si="36"/>
        <v>41.644380000000005</v>
      </c>
      <c r="K236" s="639">
        <f t="shared" si="36"/>
        <v>23.02824</v>
      </c>
      <c r="L236" s="639">
        <f t="shared" si="36"/>
        <v>46.735299999999995</v>
      </c>
      <c r="M236" s="639">
        <f t="shared" si="36"/>
        <v>54.647900000000007</v>
      </c>
      <c r="N236" s="639">
        <f t="shared" si="36"/>
        <v>56.083660000000002</v>
      </c>
      <c r="O236" s="639">
        <f t="shared" si="36"/>
        <v>86.908600000000007</v>
      </c>
      <c r="P236" s="639">
        <f t="shared" si="36"/>
        <v>65.324160000000006</v>
      </c>
      <c r="Q236" s="639">
        <f t="shared" si="36"/>
        <v>63.204859999999996</v>
      </c>
      <c r="R236" s="639">
        <f t="shared" si="36"/>
        <v>53.646140000000003</v>
      </c>
      <c r="CG236" s="969">
        <f>SUM(CG127)</f>
        <v>1.7644339499999999</v>
      </c>
      <c r="CH236" s="969">
        <f t="shared" ref="CH236:CR236" si="37">SUM(CH127)</f>
        <v>2.5425282380000001</v>
      </c>
      <c r="CI236" s="969">
        <f t="shared" si="37"/>
        <v>3.0774972480000002</v>
      </c>
      <c r="CJ236" s="969">
        <f t="shared" si="37"/>
        <v>2.5450959069999999</v>
      </c>
      <c r="CK236" s="969">
        <f t="shared" si="37"/>
        <v>2.2074261780000004</v>
      </c>
      <c r="CL236" s="969">
        <f t="shared" si="37"/>
        <v>3.2739258659999995</v>
      </c>
      <c r="CM236" s="969">
        <f t="shared" si="37"/>
        <v>4.1387668780000002</v>
      </c>
      <c r="CN236" s="969">
        <f t="shared" si="37"/>
        <v>3.126645312</v>
      </c>
      <c r="CO236" s="969">
        <f t="shared" si="37"/>
        <v>4.5862207139999995</v>
      </c>
      <c r="CP236" s="969">
        <f t="shared" si="37"/>
        <v>4.5830883239999984</v>
      </c>
      <c r="CQ236" s="969">
        <f t="shared" si="37"/>
        <v>3.6911924660000004</v>
      </c>
      <c r="CR236" s="969">
        <f t="shared" si="37"/>
        <v>3.7156544379999996</v>
      </c>
    </row>
    <row r="237" spans="1:204" ht="12.75" customHeight="1">
      <c r="D237" s="957" t="s">
        <v>21</v>
      </c>
      <c r="G237" s="639">
        <f>SUM(G235:G236)</f>
        <v>3583.5224600000006</v>
      </c>
      <c r="H237" s="639">
        <f t="shared" ref="H237:R237" si="38">SUM(H235:H236)</f>
        <v>3832.87122</v>
      </c>
      <c r="I237" s="639">
        <f t="shared" si="38"/>
        <v>3818.1593999999996</v>
      </c>
      <c r="J237" s="639">
        <f t="shared" si="38"/>
        <v>3671.8433799999998</v>
      </c>
      <c r="K237" s="639">
        <f t="shared" si="38"/>
        <v>2780.3992399999993</v>
      </c>
      <c r="L237" s="639">
        <f t="shared" si="38"/>
        <v>1224.1883000000003</v>
      </c>
      <c r="M237" s="639">
        <f t="shared" si="38"/>
        <v>1591.5128999999997</v>
      </c>
      <c r="N237" s="639">
        <f t="shared" si="38"/>
        <v>1577.7606600000001</v>
      </c>
      <c r="O237" s="639">
        <f t="shared" si="38"/>
        <v>2911.952600000001</v>
      </c>
      <c r="P237" s="639">
        <f t="shared" si="38"/>
        <v>2707.4057600000001</v>
      </c>
      <c r="Q237" s="639">
        <f t="shared" si="38"/>
        <v>3215.67886</v>
      </c>
      <c r="R237" s="639">
        <f t="shared" si="38"/>
        <v>4040.4671400000011</v>
      </c>
      <c r="CG237" s="969">
        <f>SUM(CG235:CG236)</f>
        <v>34.705231663999989</v>
      </c>
      <c r="CH237" s="969">
        <f t="shared" ref="CH237:CR237" si="39">SUM(CH235:CH236)</f>
        <v>40.137349847000003</v>
      </c>
      <c r="CI237" s="969">
        <f t="shared" si="39"/>
        <v>39.557100036000001</v>
      </c>
      <c r="CJ237" s="969">
        <f t="shared" si="39"/>
        <v>38.799771190000001</v>
      </c>
      <c r="CK237" s="969">
        <f t="shared" si="39"/>
        <v>30.196150652999997</v>
      </c>
      <c r="CL237" s="969">
        <f t="shared" si="39"/>
        <v>19.301031122999998</v>
      </c>
      <c r="CM237" s="969">
        <f t="shared" si="39"/>
        <v>23.261364722000003</v>
      </c>
      <c r="CN237" s="969">
        <f t="shared" si="39"/>
        <v>19.793434677</v>
      </c>
      <c r="CO237" s="969">
        <f t="shared" si="39"/>
        <v>29.895252681999999</v>
      </c>
      <c r="CP237" s="969">
        <f t="shared" si="39"/>
        <v>28.062317805999999</v>
      </c>
      <c r="CQ237" s="969">
        <f t="shared" si="39"/>
        <v>25.685255549999997</v>
      </c>
      <c r="CR237" s="969">
        <f t="shared" si="39"/>
        <v>35.597608249999993</v>
      </c>
    </row>
    <row r="238" spans="1:204" ht="12.75" customHeight="1" thickBot="1">
      <c r="A238" s="213"/>
      <c r="B238" s="204" t="s">
        <v>367</v>
      </c>
      <c r="C238" s="213"/>
      <c r="D238" s="126" t="s">
        <v>59</v>
      </c>
      <c r="E238" s="213"/>
      <c r="F238" s="213"/>
      <c r="G238" s="294">
        <f>SUM(G128)</f>
        <v>0</v>
      </c>
      <c r="H238" s="294">
        <f t="shared" ref="H238:R238" si="40">SUM(H128)</f>
        <v>0</v>
      </c>
      <c r="I238" s="294">
        <f t="shared" si="40"/>
        <v>0</v>
      </c>
      <c r="J238" s="294">
        <f t="shared" si="40"/>
        <v>0</v>
      </c>
      <c r="K238" s="294">
        <f t="shared" si="40"/>
        <v>0</v>
      </c>
      <c r="L238" s="294">
        <f t="shared" si="40"/>
        <v>0</v>
      </c>
      <c r="M238" s="294">
        <f t="shared" si="40"/>
        <v>0</v>
      </c>
      <c r="N238" s="294">
        <f t="shared" si="40"/>
        <v>0</v>
      </c>
      <c r="O238" s="294">
        <f t="shared" si="40"/>
        <v>0</v>
      </c>
      <c r="P238" s="294">
        <f t="shared" si="40"/>
        <v>0</v>
      </c>
      <c r="Q238" s="294">
        <f t="shared" si="40"/>
        <v>0</v>
      </c>
      <c r="R238" s="294">
        <f t="shared" si="40"/>
        <v>0</v>
      </c>
      <c r="S238" s="213"/>
      <c r="T238" s="213"/>
      <c r="U238" s="213"/>
      <c r="V238" s="213"/>
      <c r="W238" s="213"/>
      <c r="X238" s="213"/>
      <c r="Y238" s="213"/>
      <c r="Z238" s="213"/>
      <c r="AA238" s="213"/>
      <c r="AB238" s="213"/>
      <c r="AC238" s="213"/>
      <c r="AD238" s="213"/>
      <c r="AE238" s="213"/>
      <c r="AF238" s="213"/>
      <c r="AG238" s="213"/>
      <c r="AH238" s="213"/>
      <c r="AI238" s="213"/>
      <c r="AJ238" s="213"/>
      <c r="AK238" s="213"/>
      <c r="AL238" s="213"/>
      <c r="AM238" s="213"/>
      <c r="AN238" s="213"/>
      <c r="AO238" s="213"/>
      <c r="AP238" s="213"/>
      <c r="AQ238" s="213"/>
      <c r="AR238" s="213"/>
      <c r="AS238" s="213"/>
      <c r="AT238" s="213"/>
      <c r="AU238" s="213"/>
      <c r="AV238" s="213"/>
      <c r="AW238" s="213"/>
      <c r="AX238" s="213"/>
      <c r="AY238" s="213"/>
      <c r="AZ238" s="213"/>
      <c r="BA238" s="213"/>
      <c r="BB238" s="213"/>
      <c r="BC238" s="213"/>
      <c r="BD238" s="213"/>
      <c r="BE238" s="213"/>
      <c r="BF238" s="213"/>
      <c r="BG238" s="213"/>
      <c r="BH238" s="213"/>
      <c r="BI238" s="213"/>
      <c r="BJ238" s="213"/>
      <c r="BK238" s="213"/>
      <c r="BL238" s="213"/>
      <c r="BM238" s="213"/>
      <c r="BN238" s="213"/>
      <c r="BO238" s="213"/>
      <c r="BP238" s="213"/>
      <c r="BQ238" s="213"/>
      <c r="BR238" s="213"/>
      <c r="BS238" s="213"/>
      <c r="BT238" s="213"/>
      <c r="BU238" s="213"/>
      <c r="BV238" s="213"/>
      <c r="BW238" s="213"/>
      <c r="BX238" s="213"/>
      <c r="BY238" s="213"/>
      <c r="BZ238" s="213"/>
      <c r="CA238" s="213"/>
      <c r="CB238" s="213"/>
      <c r="CC238" s="213"/>
      <c r="CD238" s="213"/>
      <c r="CE238" s="213"/>
      <c r="CF238" s="213"/>
      <c r="CG238" s="967">
        <f>SUM(CG128)</f>
        <v>0.13293972500000001</v>
      </c>
      <c r="CH238" s="967">
        <f t="shared" ref="CH238:CR238" si="41">SUM(CH128)</f>
        <v>8.5632862000000004E-2</v>
      </c>
      <c r="CI238" s="967">
        <f t="shared" si="41"/>
        <v>0.13000462299999999</v>
      </c>
      <c r="CJ238" s="967">
        <f t="shared" si="41"/>
        <v>8.9632225999999995E-2</v>
      </c>
      <c r="CK238" s="967">
        <f t="shared" si="41"/>
        <v>9.3586403999999998E-2</v>
      </c>
      <c r="CL238" s="967">
        <f t="shared" si="41"/>
        <v>0.12742363700000001</v>
      </c>
      <c r="CM238" s="967">
        <f t="shared" si="41"/>
        <v>0.23579239799999999</v>
      </c>
      <c r="CN238" s="967">
        <f t="shared" si="41"/>
        <v>5.7501319000000009E-2</v>
      </c>
      <c r="CO238" s="967">
        <f t="shared" si="41"/>
        <v>0.13325522400000001</v>
      </c>
      <c r="CP238" s="967">
        <f t="shared" si="41"/>
        <v>1.272474028</v>
      </c>
      <c r="CQ238" s="967">
        <f t="shared" si="41"/>
        <v>0.30281487899999998</v>
      </c>
      <c r="CR238" s="967">
        <f t="shared" si="41"/>
        <v>-0.47775453799999995</v>
      </c>
      <c r="CS238" s="213"/>
      <c r="CT238" s="213"/>
      <c r="CU238" s="213"/>
      <c r="CV238" s="213"/>
      <c r="CW238" s="213"/>
      <c r="CX238" s="213"/>
      <c r="CY238" s="213"/>
      <c r="CZ238" s="213"/>
      <c r="DA238" s="213"/>
      <c r="DB238" s="213"/>
      <c r="DC238" s="213"/>
      <c r="DD238" s="213"/>
      <c r="DE238" s="213"/>
      <c r="DF238" s="213"/>
      <c r="DG238" s="213"/>
      <c r="DH238" s="213"/>
      <c r="DI238" s="213"/>
      <c r="DJ238" s="213"/>
      <c r="DK238" s="213"/>
      <c r="DL238" s="213"/>
      <c r="DM238" s="213"/>
      <c r="DN238" s="213"/>
      <c r="DO238" s="213"/>
      <c r="DP238" s="213"/>
      <c r="DQ238" s="213"/>
      <c r="DR238" s="213"/>
      <c r="DS238" s="213"/>
      <c r="DT238" s="213"/>
      <c r="DU238" s="213"/>
      <c r="DV238" s="213"/>
      <c r="DW238" s="213"/>
      <c r="DX238" s="213"/>
      <c r="DY238" s="213"/>
      <c r="DZ238" s="213"/>
      <c r="EA238" s="213"/>
      <c r="EB238" s="213"/>
      <c r="EC238" s="213"/>
      <c r="ED238" s="213"/>
      <c r="EE238" s="213"/>
      <c r="EF238" s="213"/>
      <c r="EG238" s="213"/>
      <c r="EH238" s="213"/>
      <c r="EI238" s="213"/>
      <c r="EJ238" s="213"/>
      <c r="EK238" s="213"/>
      <c r="EL238" s="213"/>
      <c r="EM238" s="213"/>
      <c r="EN238" s="213"/>
      <c r="EO238" s="213"/>
      <c r="EP238" s="213"/>
      <c r="EQ238" s="213"/>
      <c r="ER238" s="213"/>
      <c r="ES238" s="213"/>
      <c r="ET238" s="213"/>
      <c r="EU238" s="213"/>
      <c r="EV238" s="213"/>
      <c r="EW238" s="213"/>
      <c r="EX238" s="213"/>
      <c r="EY238" s="213"/>
      <c r="EZ238" s="213"/>
      <c r="FA238" s="213"/>
      <c r="FB238" s="213"/>
      <c r="FC238" s="213"/>
      <c r="FD238" s="213"/>
      <c r="FE238" s="213"/>
      <c r="FF238" s="213"/>
      <c r="FG238" s="213"/>
      <c r="FH238" s="213"/>
      <c r="FI238" s="213"/>
      <c r="FJ238" s="213"/>
      <c r="FK238" s="213"/>
      <c r="FL238" s="213"/>
      <c r="FM238" s="213"/>
      <c r="FN238" s="213"/>
      <c r="FO238" s="213"/>
      <c r="FP238" s="213"/>
      <c r="FQ238" s="213"/>
      <c r="FR238" s="213"/>
      <c r="FS238" s="213"/>
      <c r="FT238" s="213"/>
      <c r="FU238" s="213"/>
      <c r="FV238" s="213"/>
      <c r="FW238" s="213"/>
      <c r="GG238" s="213"/>
      <c r="GH238" s="213"/>
      <c r="GI238" s="213"/>
      <c r="GJ238" s="213"/>
      <c r="GK238" s="213"/>
      <c r="GV238" s="213"/>
    </row>
    <row r="239" spans="1:204" ht="12.75" customHeight="1">
      <c r="A239" s="213"/>
      <c r="B239" s="204" t="s">
        <v>368</v>
      </c>
      <c r="C239" s="213"/>
      <c r="D239" s="958" t="s">
        <v>23</v>
      </c>
      <c r="E239" s="213"/>
      <c r="F239" s="213"/>
      <c r="G239" s="294">
        <f>SUM(G123)</f>
        <v>64.75</v>
      </c>
      <c r="H239" s="294">
        <f t="shared" ref="H239:R239" si="42">SUM(H123)</f>
        <v>60.070000000000007</v>
      </c>
      <c r="I239" s="294">
        <f t="shared" si="42"/>
        <v>52.14</v>
      </c>
      <c r="J239" s="294">
        <f t="shared" si="42"/>
        <v>65.19</v>
      </c>
      <c r="K239" s="294">
        <f t="shared" si="42"/>
        <v>56.92</v>
      </c>
      <c r="L239" s="294">
        <f t="shared" si="42"/>
        <v>33.480000000000004</v>
      </c>
      <c r="M239" s="294">
        <f t="shared" si="42"/>
        <v>38.900000000000006</v>
      </c>
      <c r="N239" s="294">
        <f t="shared" si="42"/>
        <v>20.13</v>
      </c>
      <c r="O239" s="294">
        <f t="shared" si="42"/>
        <v>36.519999999999996</v>
      </c>
      <c r="P239" s="294">
        <f t="shared" si="42"/>
        <v>37.896000000000008</v>
      </c>
      <c r="Q239" s="294">
        <f t="shared" si="42"/>
        <v>57.989999999999995</v>
      </c>
      <c r="R239" s="294">
        <f t="shared" si="42"/>
        <v>19.16</v>
      </c>
      <c r="S239" s="213"/>
      <c r="T239" s="213"/>
      <c r="U239" s="213"/>
      <c r="V239" s="213"/>
      <c r="W239" s="213"/>
      <c r="X239" s="213"/>
      <c r="Y239" s="213"/>
      <c r="Z239" s="213"/>
      <c r="AA239" s="213"/>
      <c r="AB239" s="213"/>
      <c r="AC239" s="213"/>
      <c r="AD239" s="213"/>
      <c r="AE239" s="213"/>
      <c r="AF239" s="213"/>
      <c r="AG239" s="213"/>
      <c r="AH239" s="213"/>
      <c r="AI239" s="213"/>
      <c r="AJ239" s="213"/>
      <c r="AK239" s="213"/>
      <c r="AL239" s="213"/>
      <c r="AM239" s="213"/>
      <c r="AN239" s="213"/>
      <c r="AO239" s="213"/>
      <c r="AP239" s="213"/>
      <c r="AQ239" s="213"/>
      <c r="AR239" s="213"/>
      <c r="AS239" s="213"/>
      <c r="AT239" s="213"/>
      <c r="AU239" s="213"/>
      <c r="AV239" s="213"/>
      <c r="AW239" s="213"/>
      <c r="AX239" s="213"/>
      <c r="AY239" s="213"/>
      <c r="AZ239" s="213"/>
      <c r="BA239" s="213"/>
      <c r="BB239" s="213"/>
      <c r="BC239" s="213"/>
      <c r="BD239" s="213"/>
      <c r="BE239" s="213"/>
      <c r="BF239" s="213"/>
      <c r="BG239" s="213"/>
      <c r="BH239" s="213"/>
      <c r="BI239" s="213"/>
      <c r="BJ239" s="213"/>
      <c r="BK239" s="213"/>
      <c r="BL239" s="213"/>
      <c r="BM239" s="213"/>
      <c r="BN239" s="213"/>
      <c r="BO239" s="213"/>
      <c r="BP239" s="213"/>
      <c r="BQ239" s="213"/>
      <c r="BR239" s="213"/>
      <c r="BS239" s="213"/>
      <c r="BT239" s="213"/>
      <c r="BU239" s="213"/>
      <c r="BV239" s="213"/>
      <c r="BW239" s="213"/>
      <c r="BX239" s="213"/>
      <c r="BY239" s="213"/>
      <c r="BZ239" s="213"/>
      <c r="CA239" s="213"/>
      <c r="CB239" s="213"/>
      <c r="CC239" s="213"/>
      <c r="CD239" s="213"/>
      <c r="CE239" s="213"/>
      <c r="CF239" s="213"/>
      <c r="CG239" s="967">
        <f>SUM(CG123)</f>
        <v>0.15041241799999999</v>
      </c>
      <c r="CH239" s="967">
        <f t="shared" ref="CH239:CR239" si="43">SUM(CH123)</f>
        <v>0.15406867299999999</v>
      </c>
      <c r="CI239" s="967">
        <f t="shared" si="43"/>
        <v>0.125341432</v>
      </c>
      <c r="CJ239" s="967">
        <f t="shared" si="43"/>
        <v>0.17543999500000002</v>
      </c>
      <c r="CK239" s="967">
        <f t="shared" si="43"/>
        <v>0.108089671</v>
      </c>
      <c r="CL239" s="967">
        <f t="shared" si="43"/>
        <v>5.7724139999999993E-2</v>
      </c>
      <c r="CM239" s="967">
        <f t="shared" si="43"/>
        <v>6.6064536000000007E-2</v>
      </c>
      <c r="CN239" s="967">
        <f t="shared" si="43"/>
        <v>3.4943795999999999E-2</v>
      </c>
      <c r="CO239" s="967">
        <f t="shared" si="43"/>
        <v>5.7568485000000003E-2</v>
      </c>
      <c r="CP239" s="967">
        <f t="shared" si="43"/>
        <v>5.2286596000000005E-2</v>
      </c>
      <c r="CQ239" s="967">
        <f t="shared" si="43"/>
        <v>6.9987957000000003E-2</v>
      </c>
      <c r="CR239" s="967">
        <f t="shared" si="43"/>
        <v>2.2652217000000002E-2</v>
      </c>
      <c r="CS239" s="213"/>
      <c r="CT239" s="213"/>
      <c r="CU239" s="213"/>
      <c r="CV239" s="213"/>
      <c r="CW239" s="213"/>
      <c r="CX239" s="213"/>
      <c r="CY239" s="213"/>
      <c r="CZ239" s="213"/>
      <c r="DA239" s="213"/>
      <c r="DB239" s="213"/>
      <c r="DC239" s="213"/>
      <c r="DD239" s="213"/>
      <c r="DE239" s="213"/>
      <c r="DF239" s="213"/>
      <c r="DG239" s="213"/>
      <c r="DH239" s="213"/>
      <c r="DI239" s="213"/>
      <c r="DJ239" s="213"/>
      <c r="DK239" s="213"/>
      <c r="DL239" s="213"/>
      <c r="DM239" s="213"/>
      <c r="DN239" s="213"/>
      <c r="DO239" s="213"/>
      <c r="DP239" s="213"/>
      <c r="DQ239" s="213"/>
      <c r="DR239" s="213"/>
      <c r="DS239" s="213"/>
      <c r="DT239" s="213"/>
      <c r="DU239" s="213"/>
      <c r="DV239" s="213"/>
      <c r="DW239" s="213"/>
      <c r="DX239" s="213"/>
      <c r="DY239" s="213"/>
      <c r="DZ239" s="213"/>
      <c r="EA239" s="213"/>
      <c r="EB239" s="213"/>
      <c r="EC239" s="213"/>
      <c r="ED239" s="213"/>
      <c r="EE239" s="213"/>
      <c r="EF239" s="213"/>
      <c r="EG239" s="213"/>
      <c r="EH239" s="213"/>
      <c r="EI239" s="213"/>
      <c r="EJ239" s="213"/>
      <c r="EK239" s="213"/>
      <c r="EL239" s="213"/>
      <c r="EM239" s="213"/>
      <c r="EN239" s="213"/>
      <c r="EO239" s="213"/>
      <c r="EP239" s="213"/>
      <c r="EQ239" s="213"/>
      <c r="ER239" s="213"/>
      <c r="ES239" s="213"/>
      <c r="ET239" s="213"/>
      <c r="EU239" s="213"/>
      <c r="EV239" s="213"/>
      <c r="EW239" s="213"/>
      <c r="EX239" s="213"/>
      <c r="EY239" s="213"/>
      <c r="EZ239" s="213"/>
      <c r="FA239" s="213"/>
      <c r="FB239" s="213"/>
      <c r="FC239" s="213"/>
      <c r="FD239" s="213"/>
      <c r="FE239" s="213"/>
      <c r="FF239" s="213"/>
      <c r="FG239" s="213"/>
      <c r="FH239" s="213"/>
      <c r="FI239" s="213"/>
      <c r="FJ239" s="213"/>
      <c r="FK239" s="213"/>
      <c r="FL239" s="213"/>
      <c r="FM239" s="213"/>
      <c r="FN239" s="213"/>
      <c r="FO239" s="213"/>
      <c r="FP239" s="213"/>
      <c r="FQ239" s="213"/>
      <c r="FR239" s="213"/>
      <c r="FS239" s="213"/>
      <c r="FT239" s="213"/>
      <c r="FU239" s="213"/>
      <c r="FV239" s="213"/>
      <c r="FW239" s="213"/>
      <c r="GG239" s="213"/>
      <c r="GH239" s="213"/>
      <c r="GI239" s="213"/>
      <c r="GJ239" s="213"/>
      <c r="GK239" s="213"/>
      <c r="GV239" s="213"/>
    </row>
    <row r="240" spans="1:204" ht="12.75" customHeight="1">
      <c r="A240" s="213"/>
      <c r="B240" s="204" t="s">
        <v>369</v>
      </c>
      <c r="C240" s="213"/>
      <c r="D240" s="688"/>
      <c r="E240" s="213"/>
      <c r="F240" s="213"/>
      <c r="G240" s="294">
        <f>G237+G238+G239</f>
        <v>3648.2724600000006</v>
      </c>
      <c r="H240" s="294">
        <f t="shared" ref="H240:R240" si="44">H237+H238+H239</f>
        <v>3892.9412200000002</v>
      </c>
      <c r="I240" s="294">
        <f t="shared" si="44"/>
        <v>3870.2993999999994</v>
      </c>
      <c r="J240" s="294">
        <f t="shared" si="44"/>
        <v>3737.0333799999999</v>
      </c>
      <c r="K240" s="294">
        <f t="shared" si="44"/>
        <v>2837.3192399999994</v>
      </c>
      <c r="L240" s="294">
        <f t="shared" si="44"/>
        <v>1257.6683000000003</v>
      </c>
      <c r="M240" s="294">
        <f t="shared" si="44"/>
        <v>1630.4128999999998</v>
      </c>
      <c r="N240" s="294">
        <f t="shared" si="44"/>
        <v>1597.8906600000003</v>
      </c>
      <c r="O240" s="294">
        <f t="shared" si="44"/>
        <v>2948.472600000001</v>
      </c>
      <c r="P240" s="294">
        <f t="shared" si="44"/>
        <v>2745.3017600000003</v>
      </c>
      <c r="Q240" s="294">
        <f t="shared" si="44"/>
        <v>3273.6688599999998</v>
      </c>
      <c r="R240" s="294">
        <f t="shared" si="44"/>
        <v>4059.627140000001</v>
      </c>
      <c r="S240" s="213"/>
      <c r="T240" s="213"/>
      <c r="U240" s="213"/>
      <c r="V240" s="213"/>
      <c r="W240" s="213"/>
      <c r="X240" s="213"/>
      <c r="Y240" s="213"/>
      <c r="Z240" s="213"/>
      <c r="AA240" s="213"/>
      <c r="AB240" s="213"/>
      <c r="AC240" s="213"/>
      <c r="AD240" s="213"/>
      <c r="AE240" s="213"/>
      <c r="AF240" s="213"/>
      <c r="AG240" s="213"/>
      <c r="AH240" s="213"/>
      <c r="AI240" s="213"/>
      <c r="AJ240" s="213"/>
      <c r="AK240" s="213"/>
      <c r="AL240" s="213"/>
      <c r="AM240" s="213"/>
      <c r="AN240" s="213"/>
      <c r="AO240" s="213"/>
      <c r="AP240" s="213"/>
      <c r="AQ240" s="213"/>
      <c r="AR240" s="213"/>
      <c r="AS240" s="213"/>
      <c r="AT240" s="213"/>
      <c r="AU240" s="213"/>
      <c r="AV240" s="213"/>
      <c r="AW240" s="213"/>
      <c r="AX240" s="213"/>
      <c r="AY240" s="213"/>
      <c r="AZ240" s="213"/>
      <c r="BA240" s="213"/>
      <c r="BB240" s="213"/>
      <c r="BC240" s="213"/>
      <c r="BD240" s="213"/>
      <c r="BE240" s="213"/>
      <c r="BF240" s="213"/>
      <c r="BG240" s="213"/>
      <c r="BH240" s="213"/>
      <c r="BI240" s="213"/>
      <c r="BJ240" s="213"/>
      <c r="BK240" s="213"/>
      <c r="BL240" s="213"/>
      <c r="BM240" s="213"/>
      <c r="BN240" s="213"/>
      <c r="BO240" s="213"/>
      <c r="BP240" s="213"/>
      <c r="BQ240" s="213"/>
      <c r="BR240" s="213"/>
      <c r="BS240" s="213"/>
      <c r="BT240" s="213"/>
      <c r="BU240" s="213"/>
      <c r="BV240" s="213"/>
      <c r="BW240" s="213"/>
      <c r="BX240" s="213"/>
      <c r="BY240" s="213"/>
      <c r="BZ240" s="213"/>
      <c r="CA240" s="213"/>
      <c r="CB240" s="213"/>
      <c r="CC240" s="213"/>
      <c r="CD240" s="213"/>
      <c r="CE240" s="213"/>
      <c r="CF240" s="213"/>
      <c r="CG240" s="967">
        <f>CG237+CG238+CG239</f>
        <v>34.988583806999991</v>
      </c>
      <c r="CH240" s="967">
        <f t="shared" ref="CH240:CR240" si="45">CH237+CH238+CH239</f>
        <v>40.377051381999998</v>
      </c>
      <c r="CI240" s="967">
        <f t="shared" si="45"/>
        <v>39.812446090999998</v>
      </c>
      <c r="CJ240" s="967">
        <f t="shared" si="45"/>
        <v>39.064843410999998</v>
      </c>
      <c r="CK240" s="967">
        <f t="shared" si="45"/>
        <v>30.397826727999995</v>
      </c>
      <c r="CL240" s="967">
        <f t="shared" si="45"/>
        <v>19.486178899999999</v>
      </c>
      <c r="CM240" s="967">
        <f t="shared" si="45"/>
        <v>23.563221656000003</v>
      </c>
      <c r="CN240" s="967">
        <f t="shared" si="45"/>
        <v>19.885879792000001</v>
      </c>
      <c r="CO240" s="967">
        <f t="shared" si="45"/>
        <v>30.086076390999999</v>
      </c>
      <c r="CP240" s="967">
        <f t="shared" si="45"/>
        <v>29.387078429999999</v>
      </c>
      <c r="CQ240" s="967">
        <f t="shared" si="45"/>
        <v>26.058058385999995</v>
      </c>
      <c r="CR240" s="967">
        <f t="shared" si="45"/>
        <v>35.142505928999995</v>
      </c>
      <c r="CS240" s="213"/>
      <c r="CT240" s="213"/>
      <c r="CU240" s="213"/>
      <c r="CV240" s="213"/>
      <c r="CW240" s="213"/>
      <c r="CX240" s="213"/>
      <c r="CY240" s="213"/>
      <c r="CZ240" s="213"/>
      <c r="DA240" s="213"/>
      <c r="DB240" s="213"/>
      <c r="DC240" s="213"/>
      <c r="DD240" s="213"/>
      <c r="DE240" s="213"/>
      <c r="DF240" s="213"/>
      <c r="DG240" s="213"/>
      <c r="DH240" s="213"/>
      <c r="DI240" s="213"/>
      <c r="DJ240" s="213"/>
      <c r="DK240" s="213"/>
      <c r="DL240" s="213"/>
      <c r="DM240" s="213"/>
      <c r="DN240" s="213"/>
      <c r="DO240" s="213"/>
      <c r="DP240" s="213"/>
      <c r="DQ240" s="213"/>
      <c r="DR240" s="213"/>
      <c r="DS240" s="213"/>
      <c r="DT240" s="213"/>
      <c r="DU240" s="213"/>
      <c r="DV240" s="213"/>
      <c r="DW240" s="213"/>
      <c r="DX240" s="213"/>
      <c r="DY240" s="213"/>
      <c r="DZ240" s="213"/>
      <c r="EA240" s="213"/>
      <c r="EB240" s="213"/>
      <c r="EC240" s="213"/>
      <c r="ED240" s="213"/>
      <c r="EE240" s="213"/>
      <c r="EF240" s="213"/>
      <c r="EG240" s="213"/>
      <c r="EH240" s="213"/>
      <c r="EI240" s="213"/>
      <c r="EJ240" s="213"/>
      <c r="EK240" s="213"/>
      <c r="EL240" s="213"/>
      <c r="EM240" s="213"/>
      <c r="EN240" s="213"/>
      <c r="EO240" s="213"/>
      <c r="EP240" s="213"/>
      <c r="EQ240" s="213"/>
      <c r="ER240" s="213"/>
      <c r="ES240" s="213"/>
      <c r="ET240" s="213"/>
      <c r="EU240" s="213"/>
      <c r="EV240" s="213"/>
      <c r="EW240" s="213"/>
      <c r="EX240" s="213"/>
      <c r="EY240" s="213"/>
      <c r="EZ240" s="213"/>
      <c r="FA240" s="213"/>
      <c r="FB240" s="213"/>
      <c r="FC240" s="213"/>
      <c r="FD240" s="213"/>
      <c r="FE240" s="213"/>
      <c r="FF240" s="213"/>
      <c r="FG240" s="213"/>
      <c r="FH240" s="213"/>
      <c r="FI240" s="213"/>
      <c r="FJ240" s="213"/>
      <c r="FK240" s="213"/>
      <c r="FL240" s="213"/>
      <c r="FM240" s="213"/>
      <c r="FN240" s="213"/>
      <c r="FO240" s="213"/>
      <c r="FP240" s="213"/>
      <c r="FQ240" s="213"/>
      <c r="FR240" s="213"/>
      <c r="FS240" s="213"/>
      <c r="FT240" s="213"/>
      <c r="FU240" s="213"/>
      <c r="FV240" s="213"/>
      <c r="FW240" s="213"/>
      <c r="GG240" s="213"/>
      <c r="GH240" s="213"/>
      <c r="GI240" s="213"/>
      <c r="GJ240" s="213"/>
      <c r="GK240" s="213"/>
      <c r="GV240" s="213"/>
    </row>
    <row r="241" spans="1:204" ht="12.75" customHeight="1" thickBot="1">
      <c r="A241" s="213"/>
      <c r="B241" s="204" t="s">
        <v>369</v>
      </c>
      <c r="C241" s="213"/>
      <c r="D241" s="126" t="s">
        <v>25</v>
      </c>
      <c r="E241" s="213"/>
      <c r="F241" s="213"/>
      <c r="G241" s="294">
        <f>G129</f>
        <v>0</v>
      </c>
      <c r="H241" s="294">
        <f t="shared" ref="H241:R241" si="46">H129</f>
        <v>0</v>
      </c>
      <c r="I241" s="294">
        <f t="shared" si="46"/>
        <v>0</v>
      </c>
      <c r="J241" s="294">
        <f t="shared" si="46"/>
        <v>0</v>
      </c>
      <c r="K241" s="294">
        <f t="shared" si="46"/>
        <v>0</v>
      </c>
      <c r="L241" s="294">
        <f t="shared" si="46"/>
        <v>0</v>
      </c>
      <c r="M241" s="294">
        <f t="shared" si="46"/>
        <v>0</v>
      </c>
      <c r="N241" s="294">
        <f t="shared" si="46"/>
        <v>0</v>
      </c>
      <c r="O241" s="294">
        <f t="shared" si="46"/>
        <v>0</v>
      </c>
      <c r="P241" s="294">
        <f t="shared" si="46"/>
        <v>0</v>
      </c>
      <c r="Q241" s="294">
        <f t="shared" si="46"/>
        <v>0</v>
      </c>
      <c r="R241" s="294">
        <f t="shared" si="46"/>
        <v>0</v>
      </c>
      <c r="S241" s="213"/>
      <c r="T241" s="213"/>
      <c r="U241" s="213"/>
      <c r="V241" s="213"/>
      <c r="W241" s="213"/>
      <c r="X241" s="213"/>
      <c r="Y241" s="213"/>
      <c r="Z241" s="213"/>
      <c r="AA241" s="213"/>
      <c r="AB241" s="213"/>
      <c r="AC241" s="213"/>
      <c r="AD241" s="213"/>
      <c r="AE241" s="213"/>
      <c r="AF241" s="213"/>
      <c r="AG241" s="213"/>
      <c r="AH241" s="213"/>
      <c r="AI241" s="213"/>
      <c r="AJ241" s="213"/>
      <c r="AK241" s="213"/>
      <c r="AL241" s="213"/>
      <c r="AM241" s="213"/>
      <c r="AN241" s="213"/>
      <c r="AO241" s="213"/>
      <c r="AP241" s="213"/>
      <c r="AQ241" s="213"/>
      <c r="AR241" s="213"/>
      <c r="AS241" s="213"/>
      <c r="AT241" s="213"/>
      <c r="AU241" s="213"/>
      <c r="AV241" s="213"/>
      <c r="AW241" s="213"/>
      <c r="AX241" s="213"/>
      <c r="AY241" s="213"/>
      <c r="AZ241" s="213"/>
      <c r="BA241" s="213"/>
      <c r="BB241" s="213"/>
      <c r="BC241" s="213"/>
      <c r="BD241" s="213"/>
      <c r="BE241" s="213"/>
      <c r="BF241" s="213"/>
      <c r="BG241" s="213"/>
      <c r="BH241" s="213"/>
      <c r="BI241" s="213"/>
      <c r="BJ241" s="213"/>
      <c r="BK241" s="213"/>
      <c r="BL241" s="213"/>
      <c r="BM241" s="213"/>
      <c r="BN241" s="213"/>
      <c r="BO241" s="213"/>
      <c r="BP241" s="213"/>
      <c r="BQ241" s="213"/>
      <c r="BR241" s="213"/>
      <c r="BS241" s="213"/>
      <c r="BT241" s="213"/>
      <c r="BU241" s="213"/>
      <c r="BV241" s="213"/>
      <c r="BW241" s="213"/>
      <c r="BX241" s="213"/>
      <c r="BY241" s="213"/>
      <c r="BZ241" s="213"/>
      <c r="CA241" s="213"/>
      <c r="CB241" s="213"/>
      <c r="CC241" s="213"/>
      <c r="CD241" s="213"/>
      <c r="CE241" s="213"/>
      <c r="CF241" s="213"/>
      <c r="CG241" s="967">
        <f>CG129</f>
        <v>-0.17008529999999999</v>
      </c>
      <c r="CH241" s="967">
        <f t="shared" ref="CH241:CR241" si="47">CH129</f>
        <v>-0.22534950000000001</v>
      </c>
      <c r="CI241" s="967">
        <f t="shared" si="47"/>
        <v>-0.187343496</v>
      </c>
      <c r="CJ241" s="967">
        <f t="shared" si="47"/>
        <v>-0.114385526</v>
      </c>
      <c r="CK241" s="967">
        <f t="shared" si="47"/>
        <v>-0.120993376</v>
      </c>
      <c r="CL241" s="967">
        <f t="shared" si="47"/>
        <v>-9.3588199999999996E-2</v>
      </c>
      <c r="CM241" s="967">
        <f t="shared" si="47"/>
        <v>1.1344783999999999</v>
      </c>
      <c r="CN241" s="967">
        <f t="shared" si="47"/>
        <v>-0.11849660000000001</v>
      </c>
      <c r="CO241" s="967">
        <f t="shared" si="47"/>
        <v>-0.105198282</v>
      </c>
      <c r="CP241" s="967">
        <f t="shared" si="47"/>
        <v>-0.13838995000000001</v>
      </c>
      <c r="CQ241" s="967">
        <f t="shared" si="47"/>
        <v>-0.12772320300000001</v>
      </c>
      <c r="CR241" s="967">
        <f t="shared" si="47"/>
        <v>-0.21282552399999993</v>
      </c>
      <c r="CS241" s="213"/>
      <c r="CT241" s="213"/>
      <c r="CU241" s="213"/>
      <c r="CV241" s="213"/>
      <c r="CW241" s="213"/>
      <c r="CX241" s="213"/>
      <c r="CY241" s="213"/>
      <c r="CZ241" s="213"/>
      <c r="DA241" s="213"/>
      <c r="DB241" s="213"/>
      <c r="DC241" s="213"/>
      <c r="DD241" s="213"/>
      <c r="DE241" s="213"/>
      <c r="DF241" s="213"/>
      <c r="DG241" s="213"/>
      <c r="DH241" s="213"/>
      <c r="DI241" s="213"/>
      <c r="DJ241" s="213"/>
      <c r="DK241" s="213"/>
      <c r="DL241" s="213"/>
      <c r="DM241" s="213"/>
      <c r="DN241" s="213"/>
      <c r="DO241" s="213"/>
      <c r="DP241" s="213"/>
      <c r="DQ241" s="213"/>
      <c r="DR241" s="213"/>
      <c r="DS241" s="213"/>
      <c r="DT241" s="213"/>
      <c r="DU241" s="213"/>
      <c r="DV241" s="213"/>
      <c r="DW241" s="213"/>
      <c r="DX241" s="213"/>
      <c r="DY241" s="213"/>
      <c r="DZ241" s="213"/>
      <c r="EA241" s="213"/>
      <c r="EB241" s="213"/>
      <c r="EC241" s="213"/>
      <c r="ED241" s="213"/>
      <c r="EE241" s="213"/>
      <c r="EF241" s="213"/>
      <c r="EG241" s="213"/>
      <c r="EH241" s="213"/>
      <c r="EI241" s="213"/>
      <c r="EJ241" s="213"/>
      <c r="EK241" s="213"/>
      <c r="EL241" s="213"/>
      <c r="EM241" s="213"/>
      <c r="EN241" s="213"/>
      <c r="EO241" s="213"/>
      <c r="EP241" s="213"/>
      <c r="EQ241" s="213"/>
      <c r="ER241" s="213"/>
      <c r="ES241" s="213"/>
      <c r="ET241" s="213"/>
      <c r="EU241" s="213"/>
      <c r="EV241" s="213"/>
      <c r="EW241" s="213"/>
      <c r="EX241" s="213"/>
      <c r="EY241" s="213"/>
      <c r="EZ241" s="213"/>
      <c r="FA241" s="213"/>
      <c r="FB241" s="213"/>
      <c r="FC241" s="213"/>
      <c r="FD241" s="213"/>
      <c r="FE241" s="213"/>
      <c r="FF241" s="213"/>
      <c r="FG241" s="213"/>
      <c r="FH241" s="213"/>
      <c r="FI241" s="213"/>
      <c r="FJ241" s="213"/>
      <c r="FK241" s="213"/>
      <c r="FL241" s="213"/>
      <c r="FM241" s="213"/>
      <c r="FN241" s="213"/>
      <c r="FO241" s="213"/>
      <c r="FP241" s="213"/>
      <c r="FQ241" s="213"/>
      <c r="FR241" s="213"/>
      <c r="FS241" s="213"/>
      <c r="FT241" s="213"/>
      <c r="FU241" s="213"/>
      <c r="FV241" s="213"/>
      <c r="FW241" s="213"/>
      <c r="GG241" s="213"/>
      <c r="GH241" s="213"/>
      <c r="GI241" s="213"/>
      <c r="GJ241" s="213"/>
      <c r="GK241" s="213"/>
      <c r="GV241" s="213"/>
    </row>
    <row r="242" spans="1:204" ht="12.75" customHeight="1">
      <c r="A242" s="213"/>
      <c r="B242" s="204" t="s">
        <v>368</v>
      </c>
      <c r="C242" s="213"/>
      <c r="D242" s="213"/>
      <c r="E242" s="213"/>
      <c r="F242" s="213"/>
      <c r="G242" s="213"/>
      <c r="H242" s="213"/>
      <c r="I242" s="213"/>
      <c r="J242" s="213"/>
      <c r="K242" s="213"/>
      <c r="L242" s="213"/>
      <c r="M242" s="213"/>
      <c r="N242" s="213"/>
      <c r="O242" s="213"/>
      <c r="P242" s="213"/>
      <c r="Q242" s="213"/>
      <c r="R242" s="213"/>
      <c r="S242" s="213"/>
      <c r="T242" s="213"/>
      <c r="U242" s="213"/>
      <c r="V242" s="213"/>
      <c r="W242" s="213"/>
      <c r="X242" s="213"/>
      <c r="Y242" s="213"/>
      <c r="Z242" s="213"/>
      <c r="AA242" s="213"/>
      <c r="AB242" s="213"/>
      <c r="AC242" s="213"/>
      <c r="AD242" s="213"/>
      <c r="AE242" s="213"/>
      <c r="AF242" s="213"/>
      <c r="AG242" s="213"/>
      <c r="AH242" s="213"/>
      <c r="AI242" s="213"/>
      <c r="AJ242" s="213"/>
      <c r="AK242" s="213"/>
      <c r="AL242" s="213"/>
      <c r="AM242" s="213"/>
      <c r="AN242" s="213"/>
      <c r="AO242" s="213"/>
      <c r="AP242" s="213"/>
      <c r="AQ242" s="213"/>
      <c r="AR242" s="213"/>
      <c r="AS242" s="213"/>
      <c r="AT242" s="213"/>
      <c r="AU242" s="213"/>
      <c r="AV242" s="213"/>
      <c r="AW242" s="213"/>
      <c r="AX242" s="213"/>
      <c r="AY242" s="213"/>
      <c r="AZ242" s="213"/>
      <c r="BA242" s="213"/>
      <c r="BB242" s="213"/>
      <c r="BC242" s="213"/>
      <c r="BD242" s="213"/>
      <c r="BE242" s="213"/>
      <c r="BF242" s="213"/>
      <c r="BG242" s="213"/>
      <c r="BH242" s="213"/>
      <c r="BI242" s="213"/>
      <c r="BJ242" s="213"/>
      <c r="BK242" s="213"/>
      <c r="BL242" s="213"/>
      <c r="BM242" s="213"/>
      <c r="BN242" s="213"/>
      <c r="BO242" s="213"/>
      <c r="BP242" s="213"/>
      <c r="BQ242" s="213"/>
      <c r="BR242" s="213"/>
      <c r="BS242" s="213"/>
      <c r="BT242" s="213"/>
      <c r="BU242" s="213"/>
      <c r="BV242" s="213"/>
      <c r="BW242" s="213"/>
      <c r="BX242" s="213"/>
      <c r="BY242" s="213"/>
      <c r="BZ242" s="213"/>
      <c r="CA242" s="213"/>
      <c r="CB242" s="213"/>
      <c r="CC242" s="213"/>
      <c r="CD242" s="213"/>
      <c r="CE242" s="213"/>
      <c r="CF242" s="213"/>
      <c r="CG242" s="967"/>
      <c r="CH242" s="967"/>
      <c r="CI242" s="967"/>
      <c r="CJ242" s="967"/>
      <c r="CK242" s="967"/>
      <c r="CL242" s="967"/>
      <c r="CM242" s="967"/>
      <c r="CN242" s="967"/>
      <c r="CO242" s="967"/>
      <c r="CP242" s="967"/>
      <c r="CQ242" s="967"/>
      <c r="CR242" s="967"/>
      <c r="CS242" s="213"/>
      <c r="CT242" s="213"/>
      <c r="CU242" s="213"/>
      <c r="CV242" s="213"/>
      <c r="CW242" s="213"/>
      <c r="CX242" s="213"/>
      <c r="CY242" s="213"/>
      <c r="CZ242" s="213"/>
      <c r="DA242" s="213"/>
      <c r="DB242" s="213"/>
      <c r="DC242" s="213"/>
      <c r="DD242" s="213"/>
      <c r="DE242" s="213"/>
      <c r="DF242" s="213"/>
      <c r="DG242" s="213"/>
      <c r="DH242" s="213"/>
      <c r="DI242" s="213"/>
      <c r="DJ242" s="213"/>
      <c r="DK242" s="213"/>
      <c r="DL242" s="213"/>
      <c r="DM242" s="213"/>
      <c r="DN242" s="213"/>
      <c r="DO242" s="213"/>
      <c r="DP242" s="213"/>
      <c r="DQ242" s="213"/>
      <c r="DR242" s="213"/>
      <c r="DS242" s="213"/>
      <c r="DT242" s="213"/>
      <c r="DU242" s="213"/>
      <c r="DV242" s="213"/>
      <c r="DW242" s="213"/>
      <c r="DX242" s="213"/>
      <c r="DY242" s="213"/>
      <c r="DZ242" s="213"/>
      <c r="EA242" s="213"/>
      <c r="EB242" s="213"/>
      <c r="EC242" s="213"/>
      <c r="ED242" s="213"/>
      <c r="EE242" s="213"/>
      <c r="EF242" s="213"/>
      <c r="EG242" s="213"/>
      <c r="EH242" s="213"/>
      <c r="EI242" s="213"/>
      <c r="EJ242" s="213"/>
      <c r="EK242" s="213"/>
      <c r="EL242" s="213"/>
      <c r="EM242" s="213"/>
      <c r="EN242" s="213"/>
      <c r="EO242" s="213"/>
      <c r="EP242" s="213"/>
      <c r="EQ242" s="213"/>
      <c r="ER242" s="213"/>
      <c r="ES242" s="213"/>
      <c r="ET242" s="213"/>
      <c r="EU242" s="213"/>
      <c r="EV242" s="213"/>
      <c r="EW242" s="213"/>
      <c r="EX242" s="213"/>
      <c r="EY242" s="213"/>
      <c r="EZ242" s="213"/>
      <c r="FA242" s="213"/>
      <c r="FB242" s="213"/>
      <c r="FC242" s="213"/>
      <c r="FD242" s="213"/>
      <c r="FE242" s="213"/>
      <c r="FF242" s="213"/>
      <c r="FG242" s="213"/>
      <c r="FH242" s="213"/>
      <c r="FI242" s="213"/>
      <c r="FJ242" s="213"/>
      <c r="FK242" s="213"/>
      <c r="FL242" s="213"/>
      <c r="FM242" s="213"/>
      <c r="FN242" s="213"/>
      <c r="FO242" s="213"/>
      <c r="FP242" s="213"/>
      <c r="FQ242" s="213"/>
      <c r="FR242" s="213"/>
      <c r="FS242" s="213"/>
      <c r="FT242" s="213"/>
      <c r="FU242" s="213"/>
      <c r="FV242" s="213"/>
      <c r="FW242" s="213"/>
      <c r="GG242" s="213"/>
      <c r="GH242" s="213"/>
      <c r="GI242" s="213"/>
      <c r="GJ242" s="213"/>
      <c r="GK242" s="213"/>
      <c r="GV242" s="213"/>
    </row>
    <row r="243" spans="1:204" ht="12.75" customHeight="1">
      <c r="A243" s="213"/>
      <c r="B243" s="204" t="s">
        <v>368</v>
      </c>
      <c r="C243" s="213"/>
      <c r="D243" s="213"/>
      <c r="E243" s="213"/>
      <c r="F243" s="213"/>
      <c r="G243" s="294">
        <f>G240-G131</f>
        <v>0</v>
      </c>
      <c r="H243" s="294">
        <f t="shared" ref="H243:R243" si="48">H240-H131</f>
        <v>0</v>
      </c>
      <c r="I243" s="294">
        <f t="shared" si="48"/>
        <v>0</v>
      </c>
      <c r="J243" s="294">
        <f t="shared" si="48"/>
        <v>0</v>
      </c>
      <c r="K243" s="294">
        <f t="shared" si="48"/>
        <v>0</v>
      </c>
      <c r="L243" s="294">
        <f t="shared" si="48"/>
        <v>0</v>
      </c>
      <c r="M243" s="294">
        <f t="shared" si="48"/>
        <v>0</v>
      </c>
      <c r="N243" s="294">
        <f t="shared" si="48"/>
        <v>0</v>
      </c>
      <c r="O243" s="294">
        <f t="shared" si="48"/>
        <v>0</v>
      </c>
      <c r="P243" s="294">
        <f t="shared" si="48"/>
        <v>0</v>
      </c>
      <c r="Q243" s="294">
        <f t="shared" si="48"/>
        <v>0</v>
      </c>
      <c r="R243" s="294">
        <f t="shared" si="48"/>
        <v>0</v>
      </c>
      <c r="S243" s="213"/>
      <c r="T243" s="213"/>
      <c r="U243" s="213"/>
      <c r="V243" s="213"/>
      <c r="W243" s="213"/>
      <c r="X243" s="213"/>
      <c r="Y243" s="213"/>
      <c r="Z243" s="213"/>
      <c r="AA243" s="213"/>
      <c r="AB243" s="213"/>
      <c r="AC243" s="213"/>
      <c r="AD243" s="213"/>
      <c r="AE243" s="213"/>
      <c r="AF243" s="213"/>
      <c r="AG243" s="213"/>
      <c r="AH243" s="213"/>
      <c r="AI243" s="213"/>
      <c r="AJ243" s="213"/>
      <c r="AK243" s="213"/>
      <c r="AL243" s="213"/>
      <c r="AM243" s="213"/>
      <c r="AN243" s="213"/>
      <c r="AO243" s="213"/>
      <c r="AP243" s="213"/>
      <c r="AQ243" s="213"/>
      <c r="AR243" s="213"/>
      <c r="AS243" s="213"/>
      <c r="AT243" s="213"/>
      <c r="AU243" s="213"/>
      <c r="AV243" s="213"/>
      <c r="AW243" s="213"/>
      <c r="AX243" s="213"/>
      <c r="AY243" s="213"/>
      <c r="AZ243" s="213"/>
      <c r="BA243" s="213"/>
      <c r="BB243" s="213"/>
      <c r="BC243" s="213"/>
      <c r="BD243" s="213"/>
      <c r="BE243" s="213"/>
      <c r="BF243" s="213"/>
      <c r="BG243" s="213"/>
      <c r="BH243" s="213"/>
      <c r="BI243" s="213"/>
      <c r="BJ243" s="213"/>
      <c r="BK243" s="213"/>
      <c r="BL243" s="213"/>
      <c r="BM243" s="213"/>
      <c r="BN243" s="213"/>
      <c r="BO243" s="213"/>
      <c r="BP243" s="213"/>
      <c r="BQ243" s="213"/>
      <c r="BR243" s="213"/>
      <c r="BS243" s="213"/>
      <c r="BT243" s="213"/>
      <c r="BU243" s="213"/>
      <c r="BV243" s="213"/>
      <c r="BW243" s="213"/>
      <c r="BX243" s="213"/>
      <c r="BY243" s="213"/>
      <c r="BZ243" s="213"/>
      <c r="CA243" s="213"/>
      <c r="CB243" s="213"/>
      <c r="CC243" s="213"/>
      <c r="CD243" s="213"/>
      <c r="CE243" s="213"/>
      <c r="CF243" s="213"/>
      <c r="CG243" s="968">
        <f>CG240-CG131+CG241</f>
        <v>-3.3306690738754696E-15</v>
      </c>
      <c r="CH243" s="968">
        <f t="shared" ref="CH243:CR243" si="49">CH240-CH131+CH241</f>
        <v>0</v>
      </c>
      <c r="CI243" s="968">
        <f t="shared" si="49"/>
        <v>-3.1086244689504383E-15</v>
      </c>
      <c r="CJ243" s="968">
        <f t="shared" si="49"/>
        <v>6.6197047843274959E-15</v>
      </c>
      <c r="CK243" s="968">
        <f t="shared" si="49"/>
        <v>-2.2898349882893854E-15</v>
      </c>
      <c r="CL243" s="968">
        <f t="shared" si="49"/>
        <v>-4.3159920082302961E-15</v>
      </c>
      <c r="CM243" s="968">
        <f t="shared" si="49"/>
        <v>0</v>
      </c>
      <c r="CN243" s="968">
        <f t="shared" si="49"/>
        <v>2.7755575615628914E-16</v>
      </c>
      <c r="CO243" s="968">
        <f t="shared" si="49"/>
        <v>0</v>
      </c>
      <c r="CP243" s="968">
        <f t="shared" si="49"/>
        <v>5.2735593669694936E-16</v>
      </c>
      <c r="CQ243" s="968">
        <f t="shared" si="49"/>
        <v>-1.3877787807814457E-15</v>
      </c>
      <c r="CR243" s="968">
        <f t="shared" si="49"/>
        <v>-4.0523140398818214E-15</v>
      </c>
      <c r="CS243" s="213"/>
      <c r="CT243" s="213"/>
      <c r="CU243" s="213"/>
      <c r="CV243" s="213"/>
      <c r="CW243" s="213"/>
      <c r="CX243" s="213"/>
      <c r="CY243" s="213"/>
      <c r="CZ243" s="213"/>
      <c r="DA243" s="213"/>
      <c r="DB243" s="213"/>
      <c r="DC243" s="213"/>
      <c r="DD243" s="213"/>
      <c r="DE243" s="213"/>
      <c r="DF243" s="213"/>
      <c r="DG243" s="213"/>
      <c r="DH243" s="213"/>
      <c r="DI243" s="213"/>
      <c r="DJ243" s="213"/>
      <c r="DK243" s="213"/>
      <c r="DL243" s="213"/>
      <c r="DM243" s="213"/>
      <c r="DN243" s="213"/>
      <c r="DO243" s="213"/>
      <c r="DP243" s="213"/>
      <c r="DQ243" s="213"/>
      <c r="DR243" s="213"/>
      <c r="DS243" s="213"/>
      <c r="DT243" s="213"/>
      <c r="DU243" s="213"/>
      <c r="DV243" s="213"/>
      <c r="DW243" s="213"/>
      <c r="DX243" s="213"/>
      <c r="DY243" s="213"/>
      <c r="DZ243" s="213"/>
      <c r="EA243" s="213"/>
      <c r="EB243" s="213"/>
      <c r="EC243" s="213"/>
      <c r="ED243" s="213"/>
      <c r="EE243" s="213"/>
      <c r="EF243" s="213"/>
      <c r="EG243" s="213"/>
      <c r="EH243" s="213"/>
      <c r="EI243" s="213"/>
      <c r="EJ243" s="213"/>
      <c r="EK243" s="213"/>
      <c r="EL243" s="213"/>
      <c r="EM243" s="213"/>
      <c r="EN243" s="213"/>
      <c r="EO243" s="213"/>
      <c r="EP243" s="213"/>
      <c r="EQ243" s="213"/>
      <c r="ER243" s="213"/>
      <c r="ES243" s="213"/>
      <c r="ET243" s="213"/>
      <c r="EU243" s="213"/>
      <c r="EV243" s="213"/>
      <c r="EW243" s="213"/>
      <c r="EX243" s="213"/>
      <c r="EY243" s="213"/>
      <c r="EZ243" s="213"/>
      <c r="FA243" s="213"/>
      <c r="FB243" s="213"/>
      <c r="FC243" s="213"/>
      <c r="FD243" s="213"/>
      <c r="FE243" s="213"/>
      <c r="FF243" s="213"/>
      <c r="FG243" s="213"/>
      <c r="FH243" s="213"/>
      <c r="FI243" s="213"/>
      <c r="FJ243" s="213"/>
      <c r="FK243" s="213"/>
      <c r="FL243" s="213"/>
      <c r="FM243" s="213"/>
      <c r="FN243" s="213"/>
      <c r="FO243" s="213"/>
      <c r="FP243" s="213"/>
      <c r="FQ243" s="213"/>
      <c r="FR243" s="213"/>
      <c r="FS243" s="213"/>
      <c r="FT243" s="213"/>
      <c r="FU243" s="213"/>
      <c r="FV243" s="213"/>
      <c r="FW243" s="213"/>
      <c r="GG243" s="213"/>
      <c r="GH243" s="213"/>
      <c r="GI243" s="213"/>
      <c r="GJ243" s="213"/>
      <c r="GK243" s="213"/>
      <c r="GV243" s="213"/>
    </row>
    <row r="244" spans="1:204" ht="12.75" customHeight="1">
      <c r="A244" s="213"/>
      <c r="B244" s="204" t="s">
        <v>369</v>
      </c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  <c r="N244" s="213"/>
      <c r="O244" s="213"/>
      <c r="P244" s="213"/>
      <c r="Q244" s="213"/>
      <c r="R244" s="213"/>
      <c r="S244" s="213"/>
      <c r="T244" s="213"/>
      <c r="U244" s="213"/>
      <c r="V244" s="213"/>
      <c r="W244" s="213"/>
      <c r="X244" s="213"/>
      <c r="Y244" s="213"/>
      <c r="Z244" s="213"/>
      <c r="AA244" s="213"/>
      <c r="AB244" s="213"/>
      <c r="AC244" s="213"/>
      <c r="AD244" s="213"/>
      <c r="AE244" s="213"/>
      <c r="AF244" s="213"/>
      <c r="AG244" s="213"/>
      <c r="AH244" s="213"/>
      <c r="AI244" s="213"/>
      <c r="AJ244" s="213"/>
      <c r="AK244" s="213"/>
      <c r="AL244" s="213"/>
      <c r="AM244" s="213"/>
      <c r="AN244" s="213"/>
      <c r="AO244" s="213"/>
      <c r="AP244" s="213"/>
      <c r="AQ244" s="213"/>
      <c r="AR244" s="213"/>
      <c r="AS244" s="213"/>
      <c r="AT244" s="213"/>
      <c r="AU244" s="213"/>
      <c r="AV244" s="213"/>
      <c r="AW244" s="213"/>
      <c r="AX244" s="213"/>
      <c r="AY244" s="213"/>
      <c r="AZ244" s="213"/>
      <c r="BA244" s="213"/>
      <c r="BB244" s="213"/>
      <c r="BC244" s="213"/>
      <c r="BD244" s="213"/>
      <c r="BE244" s="213"/>
      <c r="BF244" s="213"/>
      <c r="BG244" s="213"/>
      <c r="BH244" s="213"/>
      <c r="BI244" s="213"/>
      <c r="BJ244" s="213"/>
      <c r="BK244" s="213"/>
      <c r="BL244" s="213"/>
      <c r="BM244" s="213"/>
      <c r="BN244" s="213"/>
      <c r="BO244" s="213"/>
      <c r="BP244" s="213"/>
      <c r="BQ244" s="213"/>
      <c r="BR244" s="213"/>
      <c r="BS244" s="213"/>
      <c r="BT244" s="213"/>
      <c r="BU244" s="213"/>
      <c r="BV244" s="213"/>
      <c r="BW244" s="213"/>
      <c r="BX244" s="213"/>
      <c r="BY244" s="213"/>
      <c r="BZ244" s="213"/>
      <c r="CA244" s="213"/>
      <c r="CB244" s="213"/>
      <c r="CC244" s="213"/>
      <c r="CD244" s="213"/>
      <c r="CE244" s="213"/>
      <c r="CF244" s="213"/>
      <c r="CG244" s="213"/>
      <c r="CH244" s="213"/>
      <c r="CI244" s="213"/>
      <c r="CJ244" s="213"/>
      <c r="CK244" s="213"/>
      <c r="CL244" s="213"/>
      <c r="CM244" s="213"/>
      <c r="CN244" s="213"/>
      <c r="CO244" s="213"/>
      <c r="CP244" s="213"/>
      <c r="CQ244" s="213"/>
      <c r="CR244" s="213"/>
      <c r="CS244" s="213"/>
      <c r="CT244" s="213"/>
      <c r="CU244" s="213"/>
      <c r="CV244" s="213"/>
      <c r="CW244" s="213"/>
      <c r="CX244" s="213"/>
      <c r="CY244" s="213"/>
      <c r="CZ244" s="213"/>
      <c r="DA244" s="213"/>
      <c r="DB244" s="213"/>
      <c r="DC244" s="213"/>
      <c r="DD244" s="213"/>
      <c r="DE244" s="213"/>
      <c r="DF244" s="213"/>
      <c r="DG244" s="213"/>
      <c r="DH244" s="213"/>
      <c r="DI244" s="213"/>
      <c r="DJ244" s="213"/>
      <c r="DK244" s="213"/>
      <c r="DL244" s="213"/>
      <c r="DM244" s="213"/>
      <c r="DN244" s="213"/>
      <c r="DO244" s="213"/>
      <c r="DP244" s="213"/>
      <c r="DQ244" s="213"/>
      <c r="DR244" s="213"/>
      <c r="DS244" s="213"/>
      <c r="DT244" s="213"/>
      <c r="DU244" s="213"/>
      <c r="DV244" s="213"/>
      <c r="DW244" s="213"/>
      <c r="DX244" s="213"/>
      <c r="DY244" s="213"/>
      <c r="DZ244" s="213"/>
      <c r="EA244" s="213"/>
      <c r="EB244" s="213"/>
      <c r="EC244" s="213"/>
      <c r="ED244" s="213"/>
      <c r="EE244" s="213"/>
      <c r="EF244" s="213"/>
      <c r="EG244" s="213"/>
      <c r="EH244" s="213"/>
      <c r="EI244" s="213"/>
      <c r="EJ244" s="213"/>
      <c r="EK244" s="213"/>
      <c r="EL244" s="213"/>
      <c r="EM244" s="213"/>
      <c r="EN244" s="213"/>
      <c r="EO244" s="213"/>
      <c r="EP244" s="213"/>
      <c r="EQ244" s="213"/>
      <c r="ER244" s="213"/>
      <c r="ES244" s="213"/>
      <c r="ET244" s="213"/>
      <c r="EU244" s="213"/>
      <c r="EV244" s="213"/>
      <c r="EW244" s="213"/>
      <c r="EX244" s="213"/>
      <c r="EY244" s="213"/>
      <c r="EZ244" s="213"/>
      <c r="FA244" s="213"/>
      <c r="FB244" s="213"/>
      <c r="FC244" s="213"/>
      <c r="FD244" s="213"/>
      <c r="FE244" s="213"/>
      <c r="FF244" s="213"/>
      <c r="FG244" s="213"/>
      <c r="FH244" s="213"/>
      <c r="FI244" s="213"/>
      <c r="FJ244" s="213"/>
      <c r="FK244" s="213"/>
      <c r="FL244" s="213"/>
      <c r="FM244" s="213"/>
      <c r="FN244" s="213"/>
      <c r="FO244" s="213"/>
      <c r="FP244" s="213"/>
      <c r="FQ244" s="213"/>
      <c r="FR244" s="213"/>
      <c r="FS244" s="213"/>
      <c r="FT244" s="213"/>
      <c r="FU244" s="213"/>
      <c r="FV244" s="213"/>
      <c r="FW244" s="213"/>
      <c r="GG244" s="213"/>
      <c r="GH244" s="213"/>
      <c r="GI244" s="213"/>
      <c r="GJ244" s="213"/>
      <c r="GK244" s="213"/>
      <c r="GV244" s="213"/>
    </row>
    <row r="245" spans="1:204" ht="12.75" customHeight="1">
      <c r="A245" s="213"/>
      <c r="B245" s="204" t="s">
        <v>370</v>
      </c>
      <c r="C245" s="213"/>
      <c r="D245" s="955" t="s">
        <v>55</v>
      </c>
      <c r="E245" s="213"/>
      <c r="F245" s="213"/>
      <c r="G245" s="213"/>
      <c r="H245" s="294"/>
      <c r="I245" s="294"/>
      <c r="J245" s="294"/>
      <c r="K245" s="294"/>
      <c r="L245" s="294"/>
      <c r="M245" s="294"/>
      <c r="N245" s="294"/>
      <c r="O245" s="294"/>
      <c r="P245" s="294"/>
      <c r="Q245" s="294"/>
      <c r="R245" s="294"/>
      <c r="S245" s="213"/>
      <c r="T245" s="213"/>
      <c r="U245" s="213"/>
      <c r="V245" s="213"/>
      <c r="W245" s="213"/>
      <c r="X245" s="213"/>
      <c r="Y245" s="213"/>
      <c r="Z245" s="213"/>
      <c r="AA245" s="213"/>
      <c r="AB245" s="213"/>
      <c r="AC245" s="213"/>
      <c r="AD245" s="213"/>
      <c r="AE245" s="213"/>
      <c r="AF245" s="213"/>
      <c r="AG245" s="213"/>
      <c r="AH245" s="213"/>
      <c r="AI245" s="213"/>
      <c r="AJ245" s="213"/>
      <c r="AK245" s="213"/>
      <c r="AL245" s="213"/>
      <c r="AM245" s="213"/>
      <c r="AN245" s="213"/>
      <c r="AO245" s="213"/>
      <c r="AP245" s="213"/>
      <c r="AQ245" s="213"/>
      <c r="AR245" s="213"/>
      <c r="AS245" s="213"/>
      <c r="AT245" s="213"/>
      <c r="AU245" s="213"/>
      <c r="AV245" s="213"/>
      <c r="AW245" s="213"/>
      <c r="AX245" s="213"/>
      <c r="AY245" s="213"/>
      <c r="AZ245" s="213"/>
      <c r="BA245" s="213"/>
      <c r="BB245" s="213"/>
      <c r="BC245" s="213"/>
      <c r="BD245" s="213"/>
      <c r="BE245" s="213"/>
      <c r="BF245" s="213"/>
      <c r="BG245" s="213"/>
      <c r="BH245" s="213"/>
      <c r="BI245" s="213"/>
      <c r="BJ245" s="213"/>
      <c r="BK245" s="213"/>
      <c r="BL245" s="213"/>
      <c r="BM245" s="213"/>
      <c r="BN245" s="213"/>
      <c r="BO245" s="213"/>
      <c r="BP245" s="213"/>
      <c r="BQ245" s="213"/>
      <c r="BR245" s="213"/>
      <c r="BS245" s="213"/>
      <c r="BT245" s="213"/>
      <c r="BU245" s="213"/>
      <c r="BV245" s="213"/>
      <c r="BW245" s="213"/>
      <c r="BX245" s="213"/>
      <c r="BY245" s="213"/>
      <c r="BZ245" s="213"/>
      <c r="CA245" s="213"/>
      <c r="CB245" s="213"/>
      <c r="CC245" s="213"/>
      <c r="CD245" s="213"/>
      <c r="CE245" s="213"/>
      <c r="CF245" s="213"/>
      <c r="CG245" s="213"/>
      <c r="CH245" s="213"/>
      <c r="CI245" s="213"/>
      <c r="CJ245" s="213"/>
      <c r="CK245" s="213"/>
      <c r="CL245" s="213"/>
      <c r="CM245" s="213"/>
      <c r="CN245" s="213"/>
      <c r="CO245" s="213"/>
      <c r="CP245" s="213"/>
      <c r="CQ245" s="213"/>
      <c r="CR245" s="213"/>
      <c r="CS245" s="213"/>
      <c r="CT245" s="213"/>
      <c r="CU245" s="213"/>
      <c r="CV245" s="213"/>
      <c r="CW245" s="213"/>
      <c r="CX245" s="213"/>
      <c r="CY245" s="213"/>
      <c r="CZ245" s="213"/>
      <c r="DA245" s="213"/>
      <c r="DB245" s="213"/>
      <c r="DC245" s="213"/>
      <c r="DD245" s="213"/>
      <c r="DE245" s="213"/>
      <c r="DF245" s="213"/>
      <c r="DG245" s="213"/>
      <c r="DH245" s="213"/>
      <c r="DI245" s="213"/>
      <c r="DJ245" s="213"/>
      <c r="DK245" s="213"/>
      <c r="DL245" s="213"/>
      <c r="DM245" s="213"/>
      <c r="DN245" s="213"/>
      <c r="DO245" s="213"/>
      <c r="DP245" s="213"/>
      <c r="DQ245" s="213"/>
      <c r="DR245" s="213"/>
      <c r="DS245" s="213"/>
      <c r="DT245" s="213"/>
      <c r="DU245" s="213"/>
      <c r="DV245" s="213"/>
      <c r="DW245" s="213"/>
      <c r="DX245" s="213"/>
      <c r="DY245" s="213"/>
      <c r="DZ245" s="213"/>
      <c r="EA245" s="213"/>
      <c r="EB245" s="213"/>
      <c r="EC245" s="213"/>
      <c r="ED245" s="213"/>
      <c r="EE245" s="213"/>
      <c r="EF245" s="213"/>
      <c r="EG245" s="213"/>
      <c r="EH245" s="213"/>
      <c r="EI245" s="213"/>
      <c r="EJ245" s="213"/>
      <c r="EK245" s="213"/>
      <c r="EL245" s="213"/>
      <c r="EM245" s="213"/>
      <c r="EN245" s="213"/>
      <c r="EO245" s="213"/>
      <c r="EP245" s="213"/>
      <c r="EQ245" s="213"/>
      <c r="ER245" s="213"/>
      <c r="ES245" s="213"/>
      <c r="ET245" s="213"/>
      <c r="EU245" s="213"/>
      <c r="EV245" s="213"/>
      <c r="EW245" s="213"/>
      <c r="EX245" s="213"/>
      <c r="EY245" s="213"/>
      <c r="EZ245" s="213"/>
      <c r="FA245" s="213"/>
      <c r="FB245" s="213"/>
      <c r="FC245" s="213"/>
      <c r="FD245" s="213"/>
      <c r="FE245" s="213"/>
      <c r="FF245" s="213"/>
      <c r="FG245" s="213"/>
      <c r="FH245" s="213"/>
      <c r="FI245" s="213"/>
      <c r="FJ245" s="213"/>
      <c r="FK245" s="213"/>
      <c r="FL245" s="213"/>
      <c r="FM245" s="213"/>
      <c r="FN245" s="213"/>
      <c r="FO245" s="213"/>
      <c r="FP245" s="213"/>
      <c r="FQ245" s="213"/>
      <c r="FR245" s="213"/>
      <c r="FS245" s="213"/>
      <c r="FT245" s="213"/>
      <c r="FU245" s="213"/>
      <c r="FV245" s="213"/>
      <c r="FW245" s="213"/>
      <c r="GG245" s="213"/>
      <c r="GH245" s="213"/>
      <c r="GI245" s="213"/>
      <c r="GJ245" s="213"/>
      <c r="GK245" s="213"/>
      <c r="GV245" s="213"/>
    </row>
    <row r="246" spans="1:204" ht="12.75" customHeight="1">
      <c r="A246" s="213"/>
      <c r="B246" s="204" t="s">
        <v>371</v>
      </c>
      <c r="C246" s="213"/>
      <c r="D246" s="955" t="s">
        <v>26</v>
      </c>
      <c r="E246" s="213"/>
      <c r="F246" s="213"/>
      <c r="G246" s="213"/>
      <c r="H246" s="294">
        <f>H221+G221</f>
        <v>1773.8089999999997</v>
      </c>
      <c r="I246" s="294">
        <f>H246+I221</f>
        <v>2748.0879999999997</v>
      </c>
      <c r="J246" s="294">
        <f t="shared" ref="J246:R246" si="50">I246+J221</f>
        <v>3666.6949999999997</v>
      </c>
      <c r="K246" s="294">
        <f t="shared" si="50"/>
        <v>4761.6509999999989</v>
      </c>
      <c r="L246" s="294">
        <f t="shared" si="50"/>
        <v>5308.9119999999994</v>
      </c>
      <c r="M246" s="294">
        <f t="shared" si="50"/>
        <v>5911.9379999999992</v>
      </c>
      <c r="N246" s="294">
        <f t="shared" si="50"/>
        <v>6475.6859999999988</v>
      </c>
      <c r="O246" s="294">
        <f t="shared" si="50"/>
        <v>7060.5499999999993</v>
      </c>
      <c r="P246" s="294">
        <f t="shared" si="50"/>
        <v>7710.9559999999992</v>
      </c>
      <c r="Q246" s="294">
        <f t="shared" si="50"/>
        <v>8463.009</v>
      </c>
      <c r="R246" s="294">
        <f t="shared" si="50"/>
        <v>9161.494999999999</v>
      </c>
      <c r="S246" s="213"/>
      <c r="T246" s="213"/>
      <c r="U246" s="213"/>
      <c r="V246" s="213"/>
      <c r="W246" s="213"/>
      <c r="X246" s="213"/>
      <c r="Y246" s="213"/>
      <c r="Z246" s="213"/>
      <c r="AA246" s="213"/>
      <c r="AB246" s="213"/>
      <c r="AC246" s="213"/>
      <c r="AD246" s="213"/>
      <c r="AE246" s="213"/>
      <c r="AF246" s="213"/>
      <c r="AG246" s="213"/>
      <c r="AH246" s="213"/>
      <c r="AI246" s="213"/>
      <c r="AJ246" s="213"/>
      <c r="AK246" s="213"/>
      <c r="AL246" s="213"/>
      <c r="AM246" s="213"/>
      <c r="AN246" s="213"/>
      <c r="AO246" s="213"/>
      <c r="AP246" s="213"/>
      <c r="AQ246" s="213"/>
      <c r="AR246" s="213"/>
      <c r="AS246" s="213"/>
      <c r="AT246" s="213"/>
      <c r="AU246" s="213"/>
      <c r="AV246" s="213"/>
      <c r="AW246" s="213"/>
      <c r="AX246" s="213"/>
      <c r="AY246" s="213"/>
      <c r="AZ246" s="213"/>
      <c r="BA246" s="213"/>
      <c r="BB246" s="213"/>
      <c r="BC246" s="213"/>
      <c r="BD246" s="213"/>
      <c r="BE246" s="213"/>
      <c r="BF246" s="213"/>
      <c r="BG246" s="213"/>
      <c r="BH246" s="213"/>
      <c r="BI246" s="213"/>
      <c r="BJ246" s="213"/>
      <c r="BK246" s="213"/>
      <c r="BL246" s="213"/>
      <c r="BM246" s="213"/>
      <c r="BN246" s="213"/>
      <c r="BO246" s="213"/>
      <c r="BP246" s="213"/>
      <c r="BQ246" s="213"/>
      <c r="BR246" s="213"/>
      <c r="BS246" s="213"/>
      <c r="BT246" s="213"/>
      <c r="BU246" s="213"/>
      <c r="BV246" s="213"/>
      <c r="BW246" s="213"/>
      <c r="BX246" s="213"/>
      <c r="BY246" s="213"/>
      <c r="BZ246" s="213"/>
      <c r="CA246" s="213"/>
      <c r="CB246" s="213"/>
      <c r="CC246" s="213"/>
      <c r="CD246" s="213"/>
      <c r="CE246" s="213"/>
      <c r="CF246" s="213"/>
      <c r="CG246" s="213"/>
      <c r="CH246" s="293">
        <f>CH221+CG221</f>
        <v>22.490350135</v>
      </c>
      <c r="CI246" s="293">
        <f>CH246+CI221</f>
        <v>34.603438081</v>
      </c>
      <c r="CJ246" s="293">
        <f t="shared" ref="CJ246:CR246" si="51">CI246+CJ221</f>
        <v>46.119191049000001</v>
      </c>
      <c r="CK246" s="293">
        <f t="shared" si="51"/>
        <v>59.357367852000003</v>
      </c>
      <c r="CL246" s="293">
        <f t="shared" si="51"/>
        <v>66.690848451000008</v>
      </c>
      <c r="CM246" s="293">
        <f t="shared" si="51"/>
        <v>74.538504760000009</v>
      </c>
      <c r="CN246" s="293">
        <f t="shared" si="51"/>
        <v>81.818405909000006</v>
      </c>
      <c r="CO246" s="293">
        <f t="shared" si="51"/>
        <v>89.321630881000004</v>
      </c>
      <c r="CP246" s="293">
        <f t="shared" si="51"/>
        <v>97.70417758100001</v>
      </c>
      <c r="CQ246" s="293">
        <f t="shared" si="51"/>
        <v>107.46774571500001</v>
      </c>
      <c r="CR246" s="293">
        <f t="shared" si="51"/>
        <v>116.451875063</v>
      </c>
      <c r="CS246" s="213"/>
      <c r="CT246" s="213"/>
      <c r="CU246" s="213"/>
      <c r="CV246" s="213"/>
      <c r="CW246" s="213"/>
      <c r="CX246" s="213"/>
      <c r="CY246" s="213"/>
      <c r="CZ246" s="213"/>
      <c r="DA246" s="213"/>
      <c r="DB246" s="213"/>
      <c r="DC246" s="213"/>
      <c r="DD246" s="213"/>
      <c r="DE246" s="213"/>
      <c r="DF246" s="213"/>
      <c r="DG246" s="213"/>
      <c r="DH246" s="213"/>
      <c r="DI246" s="213"/>
      <c r="DJ246" s="213"/>
      <c r="DK246" s="213"/>
      <c r="DL246" s="213"/>
      <c r="DM246" s="213"/>
      <c r="DN246" s="213"/>
      <c r="DO246" s="213"/>
      <c r="DP246" s="213"/>
      <c r="DQ246" s="213"/>
      <c r="DR246" s="213"/>
      <c r="DS246" s="213"/>
      <c r="DT246" s="213"/>
      <c r="DU246" s="213"/>
      <c r="DV246" s="213"/>
      <c r="DW246" s="213"/>
      <c r="DX246" s="213"/>
      <c r="DY246" s="213"/>
      <c r="DZ246" s="213"/>
      <c r="EA246" s="213"/>
      <c r="EB246" s="213"/>
      <c r="EC246" s="213"/>
      <c r="ED246" s="213"/>
      <c r="EE246" s="213"/>
      <c r="EF246" s="213"/>
      <c r="EG246" s="213"/>
      <c r="EH246" s="213"/>
      <c r="EI246" s="213"/>
      <c r="EJ246" s="213"/>
      <c r="EK246" s="213"/>
      <c r="EL246" s="213"/>
      <c r="EM246" s="213"/>
      <c r="EN246" s="213"/>
      <c r="EO246" s="213"/>
      <c r="EP246" s="213"/>
      <c r="EQ246" s="213"/>
      <c r="ER246" s="213"/>
      <c r="ES246" s="213"/>
      <c r="ET246" s="213"/>
      <c r="EU246" s="213"/>
      <c r="EV246" s="213"/>
      <c r="EW246" s="213"/>
      <c r="EX246" s="213"/>
      <c r="EY246" s="213"/>
      <c r="EZ246" s="213"/>
      <c r="FA246" s="213"/>
      <c r="FB246" s="213"/>
      <c r="FC246" s="213"/>
      <c r="FD246" s="213"/>
      <c r="FE246" s="213"/>
      <c r="FF246" s="213"/>
      <c r="FG246" s="213"/>
      <c r="FH246" s="213"/>
      <c r="FI246" s="213"/>
      <c r="FJ246" s="213"/>
      <c r="FK246" s="213"/>
      <c r="FL246" s="213"/>
      <c r="FM246" s="213"/>
      <c r="FN246" s="213"/>
      <c r="FO246" s="213"/>
      <c r="FP246" s="213"/>
      <c r="FQ246" s="213"/>
      <c r="FR246" s="213"/>
      <c r="FS246" s="213"/>
      <c r="FT246" s="213"/>
      <c r="FU246" s="213"/>
      <c r="FV246" s="213"/>
      <c r="FW246" s="213"/>
      <c r="GG246" s="213"/>
      <c r="GH246" s="213"/>
      <c r="GI246" s="213"/>
      <c r="GJ246" s="213"/>
      <c r="GK246" s="213"/>
      <c r="GV246" s="213"/>
    </row>
    <row r="247" spans="1:204" ht="12.75" customHeight="1">
      <c r="A247" s="213"/>
      <c r="B247" s="204" t="s">
        <v>369</v>
      </c>
      <c r="C247" s="213"/>
      <c r="D247" s="955" t="s">
        <v>49</v>
      </c>
      <c r="E247" s="213"/>
      <c r="F247" s="213"/>
      <c r="G247" s="213"/>
      <c r="H247" s="294">
        <f t="shared" ref="H247:H266" si="52">H222+G222</f>
        <v>426.91200000000003</v>
      </c>
      <c r="I247" s="294">
        <f t="shared" ref="I247:R266" si="53">H247+I222</f>
        <v>602.00599999999997</v>
      </c>
      <c r="J247" s="294">
        <f t="shared" si="53"/>
        <v>732.17200000000003</v>
      </c>
      <c r="K247" s="294">
        <f t="shared" si="53"/>
        <v>745.25099999999998</v>
      </c>
      <c r="L247" s="294">
        <f t="shared" si="53"/>
        <v>745.25099999999998</v>
      </c>
      <c r="M247" s="294">
        <f t="shared" si="53"/>
        <v>745.25099999999998</v>
      </c>
      <c r="N247" s="294">
        <f t="shared" si="53"/>
        <v>745.25099999999998</v>
      </c>
      <c r="O247" s="294">
        <f t="shared" si="53"/>
        <v>761.52699999999993</v>
      </c>
      <c r="P247" s="294">
        <f t="shared" si="53"/>
        <v>789.94199999999989</v>
      </c>
      <c r="Q247" s="294">
        <f t="shared" si="53"/>
        <v>789.94199999999989</v>
      </c>
      <c r="R247" s="294">
        <f t="shared" si="53"/>
        <v>789.94199999999989</v>
      </c>
      <c r="S247" s="213"/>
      <c r="T247" s="213"/>
      <c r="U247" s="213"/>
      <c r="V247" s="213"/>
      <c r="W247" s="213"/>
      <c r="X247" s="213"/>
      <c r="Y247" s="213"/>
      <c r="Z247" s="213"/>
      <c r="AA247" s="213"/>
      <c r="AB247" s="213"/>
      <c r="AC247" s="213"/>
      <c r="AD247" s="213"/>
      <c r="AE247" s="213"/>
      <c r="AF247" s="213"/>
      <c r="AG247" s="213"/>
      <c r="AH247" s="213"/>
      <c r="AI247" s="213"/>
      <c r="AJ247" s="213"/>
      <c r="AK247" s="213"/>
      <c r="AL247" s="213"/>
      <c r="AM247" s="213"/>
      <c r="AN247" s="213"/>
      <c r="AO247" s="213"/>
      <c r="AP247" s="213"/>
      <c r="AQ247" s="213"/>
      <c r="AR247" s="213"/>
      <c r="AS247" s="213"/>
      <c r="AT247" s="213"/>
      <c r="AU247" s="213"/>
      <c r="AV247" s="213"/>
      <c r="AW247" s="213"/>
      <c r="AX247" s="213"/>
      <c r="AY247" s="213"/>
      <c r="AZ247" s="213"/>
      <c r="BA247" s="213"/>
      <c r="BB247" s="213"/>
      <c r="BC247" s="213"/>
      <c r="BD247" s="213"/>
      <c r="BE247" s="213"/>
      <c r="BF247" s="213"/>
      <c r="BG247" s="213"/>
      <c r="BH247" s="213"/>
      <c r="BI247" s="213"/>
      <c r="BJ247" s="213"/>
      <c r="BK247" s="213"/>
      <c r="BL247" s="213"/>
      <c r="BM247" s="213"/>
      <c r="BN247" s="213"/>
      <c r="BO247" s="213"/>
      <c r="BP247" s="213"/>
      <c r="BQ247" s="213"/>
      <c r="BR247" s="213"/>
      <c r="BS247" s="213"/>
      <c r="BT247" s="213"/>
      <c r="BU247" s="213"/>
      <c r="BV247" s="213"/>
      <c r="BW247" s="213"/>
      <c r="BX247" s="213"/>
      <c r="BY247" s="213"/>
      <c r="BZ247" s="213"/>
      <c r="CA247" s="213"/>
      <c r="CB247" s="213"/>
      <c r="CC247" s="213"/>
      <c r="CD247" s="213"/>
      <c r="CE247" s="213"/>
      <c r="CF247" s="213"/>
      <c r="CG247" s="213"/>
      <c r="CH247" s="293">
        <f t="shared" ref="CH247:CH266" si="54">CH222+CG222</f>
        <v>4.7972692979999998</v>
      </c>
      <c r="CI247" s="293">
        <f t="shared" ref="CI247:CR266" si="55">CH247+CI222</f>
        <v>6.7775180189999995</v>
      </c>
      <c r="CJ247" s="293">
        <f t="shared" si="55"/>
        <v>8.3298057720000003</v>
      </c>
      <c r="CK247" s="293">
        <f t="shared" si="55"/>
        <v>8.4859944780000003</v>
      </c>
      <c r="CL247" s="293">
        <f t="shared" si="55"/>
        <v>8.4859944780000003</v>
      </c>
      <c r="CM247" s="293">
        <f t="shared" si="55"/>
        <v>8.4859944780000003</v>
      </c>
      <c r="CN247" s="293">
        <f t="shared" si="55"/>
        <v>8.4859944780000003</v>
      </c>
      <c r="CO247" s="293">
        <f t="shared" si="55"/>
        <v>8.6545855820000011</v>
      </c>
      <c r="CP247" s="293">
        <f t="shared" si="55"/>
        <v>8.9489208140000009</v>
      </c>
      <c r="CQ247" s="293">
        <f t="shared" si="55"/>
        <v>8.9489208140000009</v>
      </c>
      <c r="CR247" s="293">
        <f t="shared" si="55"/>
        <v>8.9489208140000009</v>
      </c>
      <c r="CS247" s="213"/>
      <c r="CT247" s="213"/>
      <c r="CU247" s="213"/>
      <c r="CV247" s="213"/>
      <c r="CW247" s="213"/>
      <c r="CX247" s="213"/>
      <c r="CY247" s="213"/>
      <c r="CZ247" s="213"/>
      <c r="DA247" s="213"/>
      <c r="DB247" s="213"/>
      <c r="DC247" s="213"/>
      <c r="DD247" s="213"/>
      <c r="DE247" s="213"/>
      <c r="DF247" s="213"/>
      <c r="DG247" s="213"/>
      <c r="DH247" s="213"/>
      <c r="DI247" s="213"/>
      <c r="DJ247" s="213"/>
      <c r="DK247" s="213"/>
      <c r="DL247" s="213"/>
      <c r="DM247" s="213"/>
      <c r="DN247" s="213"/>
      <c r="DO247" s="213"/>
      <c r="DP247" s="213"/>
      <c r="DQ247" s="213"/>
      <c r="DR247" s="213"/>
      <c r="DS247" s="213"/>
      <c r="DT247" s="213"/>
      <c r="DU247" s="213"/>
      <c r="DV247" s="213"/>
      <c r="DW247" s="213"/>
      <c r="DX247" s="213"/>
      <c r="DY247" s="213"/>
      <c r="DZ247" s="213"/>
      <c r="EA247" s="213"/>
      <c r="EB247" s="213"/>
      <c r="EC247" s="213"/>
      <c r="ED247" s="213"/>
      <c r="EE247" s="213"/>
      <c r="EF247" s="213"/>
      <c r="EG247" s="213"/>
      <c r="EH247" s="213"/>
      <c r="EI247" s="213"/>
      <c r="EJ247" s="213"/>
      <c r="EK247" s="213"/>
      <c r="EL247" s="213"/>
      <c r="EM247" s="213"/>
      <c r="EN247" s="213"/>
      <c r="EO247" s="213"/>
      <c r="EP247" s="213"/>
      <c r="EQ247" s="213"/>
      <c r="ER247" s="213"/>
      <c r="ES247" s="213"/>
      <c r="ET247" s="213"/>
      <c r="EU247" s="213"/>
      <c r="EV247" s="213"/>
      <c r="EW247" s="213"/>
      <c r="EX247" s="213"/>
      <c r="EY247" s="213"/>
      <c r="EZ247" s="213"/>
      <c r="FA247" s="213"/>
      <c r="FB247" s="213"/>
      <c r="FC247" s="213"/>
      <c r="FD247" s="213"/>
      <c r="FE247" s="213"/>
      <c r="FF247" s="213"/>
      <c r="FG247" s="213"/>
      <c r="FH247" s="213"/>
      <c r="FI247" s="213"/>
      <c r="FJ247" s="213"/>
      <c r="FK247" s="213"/>
      <c r="FL247" s="213"/>
      <c r="FM247" s="213"/>
      <c r="FN247" s="213"/>
      <c r="FO247" s="213"/>
      <c r="FP247" s="213"/>
      <c r="FQ247" s="213"/>
      <c r="FR247" s="213"/>
      <c r="FS247" s="213"/>
      <c r="FT247" s="213"/>
      <c r="FU247" s="213"/>
      <c r="FV247" s="213"/>
      <c r="FW247" s="213"/>
      <c r="GG247" s="213"/>
      <c r="GH247" s="213"/>
      <c r="GI247" s="213"/>
      <c r="GJ247" s="213"/>
      <c r="GK247" s="213"/>
      <c r="GV247" s="213"/>
    </row>
    <row r="248" spans="1:204">
      <c r="D248" s="955" t="s">
        <v>27</v>
      </c>
      <c r="H248" s="294">
        <f t="shared" si="52"/>
        <v>236.22700000000003</v>
      </c>
      <c r="I248" s="294">
        <f t="shared" si="53"/>
        <v>324.53899999999999</v>
      </c>
      <c r="J248" s="294">
        <f t="shared" si="53"/>
        <v>512.52600000000007</v>
      </c>
      <c r="K248" s="294">
        <f t="shared" si="53"/>
        <v>753.27100000000007</v>
      </c>
      <c r="L248" s="294">
        <f t="shared" si="53"/>
        <v>874.5440000000001</v>
      </c>
      <c r="M248" s="294">
        <f t="shared" si="53"/>
        <v>936.83900000000006</v>
      </c>
      <c r="N248" s="294">
        <f t="shared" si="53"/>
        <v>936.83900000000006</v>
      </c>
      <c r="O248" s="294">
        <f t="shared" si="53"/>
        <v>936.83900000000006</v>
      </c>
      <c r="P248" s="294">
        <f t="shared" si="53"/>
        <v>1091.5706</v>
      </c>
      <c r="Q248" s="294">
        <f t="shared" si="53"/>
        <v>1513.0646000000002</v>
      </c>
      <c r="R248" s="294">
        <f t="shared" si="53"/>
        <v>1804.0066000000002</v>
      </c>
      <c r="CH248" s="293">
        <f t="shared" si="54"/>
        <v>3.1541372159999996</v>
      </c>
      <c r="CI248" s="293">
        <f t="shared" si="55"/>
        <v>4.3316252159999999</v>
      </c>
      <c r="CJ248" s="293">
        <f t="shared" si="55"/>
        <v>6.7659524159999993</v>
      </c>
      <c r="CK248" s="293">
        <f t="shared" si="55"/>
        <v>9.8558678399999984</v>
      </c>
      <c r="CL248" s="293">
        <f t="shared" si="55"/>
        <v>11.403313871999998</v>
      </c>
      <c r="CM248" s="293">
        <f t="shared" si="55"/>
        <v>12.227379503999998</v>
      </c>
      <c r="CN248" s="293">
        <f t="shared" si="55"/>
        <v>12.227379503999998</v>
      </c>
      <c r="CO248" s="293">
        <f t="shared" si="55"/>
        <v>12.227379503999998</v>
      </c>
      <c r="CP248" s="293">
        <f t="shared" si="55"/>
        <v>12.526527263999998</v>
      </c>
      <c r="CQ248" s="293">
        <f t="shared" si="55"/>
        <v>12.798155183999999</v>
      </c>
      <c r="CR248" s="293">
        <f t="shared" si="55"/>
        <v>13.360641503999998</v>
      </c>
    </row>
    <row r="249" spans="1:204">
      <c r="D249" s="955" t="s">
        <v>53</v>
      </c>
      <c r="H249" s="294">
        <f t="shared" si="52"/>
        <v>159.155</v>
      </c>
      <c r="I249" s="294">
        <f t="shared" si="53"/>
        <v>246.191</v>
      </c>
      <c r="J249" s="294">
        <f t="shared" si="53"/>
        <v>322.476</v>
      </c>
      <c r="K249" s="294">
        <f t="shared" si="53"/>
        <v>434.82499999999999</v>
      </c>
      <c r="L249" s="294">
        <f t="shared" si="53"/>
        <v>553.92599999999993</v>
      </c>
      <c r="M249" s="294">
        <f t="shared" si="53"/>
        <v>624.57999999999993</v>
      </c>
      <c r="N249" s="294">
        <f t="shared" si="53"/>
        <v>740.84199999999987</v>
      </c>
      <c r="O249" s="294">
        <f t="shared" si="53"/>
        <v>825.24799999999982</v>
      </c>
      <c r="P249" s="294">
        <f t="shared" si="53"/>
        <v>876.30499999999984</v>
      </c>
      <c r="Q249" s="294">
        <f t="shared" si="53"/>
        <v>886.20999999999981</v>
      </c>
      <c r="R249" s="294">
        <f t="shared" si="53"/>
        <v>953.00799999999981</v>
      </c>
      <c r="CH249" s="293">
        <f t="shared" si="54"/>
        <v>2.4670257480000002</v>
      </c>
      <c r="CI249" s="293">
        <f t="shared" si="55"/>
        <v>3.8136993000000001</v>
      </c>
      <c r="CJ249" s="293">
        <f t="shared" si="55"/>
        <v>4.9874381700000008</v>
      </c>
      <c r="CK249" s="293">
        <f t="shared" si="55"/>
        <v>6.7130042020000005</v>
      </c>
      <c r="CL249" s="293">
        <f t="shared" si="55"/>
        <v>8.5379847620000007</v>
      </c>
      <c r="CM249" s="293">
        <f t="shared" si="55"/>
        <v>9.686919434</v>
      </c>
      <c r="CN249" s="293">
        <f t="shared" si="55"/>
        <v>11.539574582</v>
      </c>
      <c r="CO249" s="293">
        <f t="shared" si="55"/>
        <v>12.864317486000001</v>
      </c>
      <c r="CP249" s="293">
        <f t="shared" si="55"/>
        <v>13.637451254</v>
      </c>
      <c r="CQ249" s="293">
        <f t="shared" si="55"/>
        <v>13.788795938</v>
      </c>
      <c r="CR249" s="293">
        <f t="shared" si="55"/>
        <v>14.85148577</v>
      </c>
    </row>
    <row r="250" spans="1:204">
      <c r="D250" s="955" t="s">
        <v>54</v>
      </c>
      <c r="H250" s="294">
        <f t="shared" si="52"/>
        <v>92.623999999999995</v>
      </c>
      <c r="I250" s="294">
        <f t="shared" si="53"/>
        <v>301.66300000000001</v>
      </c>
      <c r="J250" s="294">
        <f t="shared" si="53"/>
        <v>417.70799999999997</v>
      </c>
      <c r="K250" s="294">
        <f t="shared" si="53"/>
        <v>463.37099999999998</v>
      </c>
      <c r="L250" s="294">
        <f t="shared" si="53"/>
        <v>583.74400000000003</v>
      </c>
      <c r="M250" s="294">
        <f t="shared" si="53"/>
        <v>679.59199999999998</v>
      </c>
      <c r="N250" s="294">
        <f t="shared" si="53"/>
        <v>692.49400000000003</v>
      </c>
      <c r="O250" s="294">
        <f t="shared" si="53"/>
        <v>755.72</v>
      </c>
      <c r="P250" s="294">
        <f t="shared" si="53"/>
        <v>918.97400000000005</v>
      </c>
      <c r="Q250" s="294">
        <f t="shared" si="53"/>
        <v>934.40600000000006</v>
      </c>
      <c r="R250" s="294">
        <f t="shared" si="53"/>
        <v>1079.479</v>
      </c>
      <c r="CH250" s="293">
        <f t="shared" si="54"/>
        <v>1.4828590079999999</v>
      </c>
      <c r="CI250" s="293">
        <f t="shared" si="55"/>
        <v>4.8306610560000003</v>
      </c>
      <c r="CJ250" s="293">
        <f t="shared" si="55"/>
        <v>6.689698752</v>
      </c>
      <c r="CK250" s="293">
        <f t="shared" si="55"/>
        <v>7.4031399840000001</v>
      </c>
      <c r="CL250" s="293">
        <f t="shared" si="55"/>
        <v>9.3406810259999986</v>
      </c>
      <c r="CM250" s="293">
        <f t="shared" si="55"/>
        <v>10.891475777999998</v>
      </c>
      <c r="CN250" s="293">
        <f t="shared" si="55"/>
        <v>11.100236609999998</v>
      </c>
      <c r="CO250" s="293">
        <f t="shared" si="55"/>
        <v>12.123226817999997</v>
      </c>
      <c r="CP250" s="293">
        <f t="shared" si="55"/>
        <v>14.764734785999998</v>
      </c>
      <c r="CQ250" s="293">
        <f t="shared" si="55"/>
        <v>14.981131265999998</v>
      </c>
      <c r="CR250" s="293">
        <f t="shared" si="55"/>
        <v>17.328448001999998</v>
      </c>
    </row>
    <row r="251" spans="1:204">
      <c r="D251" s="955" t="s">
        <v>52</v>
      </c>
      <c r="H251" s="294">
        <f t="shared" si="52"/>
        <v>0</v>
      </c>
      <c r="I251" s="294">
        <f t="shared" si="53"/>
        <v>48.758999999999993</v>
      </c>
      <c r="J251" s="294">
        <f t="shared" si="53"/>
        <v>102.16799999999998</v>
      </c>
      <c r="K251" s="294">
        <f t="shared" si="53"/>
        <v>121.40099999999998</v>
      </c>
      <c r="L251" s="294">
        <f t="shared" si="53"/>
        <v>179.33799999999999</v>
      </c>
      <c r="M251" s="294">
        <f t="shared" si="53"/>
        <v>269.01299999999998</v>
      </c>
      <c r="N251" s="294">
        <f t="shared" si="53"/>
        <v>323.36799999999994</v>
      </c>
      <c r="O251" s="294">
        <f t="shared" si="53"/>
        <v>464.18899999999996</v>
      </c>
      <c r="P251" s="294">
        <f t="shared" si="53"/>
        <v>464.18899999999996</v>
      </c>
      <c r="Q251" s="294">
        <f t="shared" si="53"/>
        <v>464.18899999999996</v>
      </c>
      <c r="R251" s="294">
        <f t="shared" si="53"/>
        <v>586.99299999999994</v>
      </c>
      <c r="CH251" s="293">
        <f t="shared" si="54"/>
        <v>0</v>
      </c>
      <c r="CI251" s="293">
        <f t="shared" si="55"/>
        <v>0.98115989999999997</v>
      </c>
      <c r="CJ251" s="293">
        <f t="shared" si="55"/>
        <v>2.21694455</v>
      </c>
      <c r="CK251" s="293">
        <f t="shared" si="55"/>
        <v>2.7171566</v>
      </c>
      <c r="CL251" s="293">
        <f t="shared" si="55"/>
        <v>4.0617214500000003</v>
      </c>
      <c r="CM251" s="293">
        <f t="shared" si="55"/>
        <v>6.1253504999999997</v>
      </c>
      <c r="CN251" s="293">
        <f t="shared" si="55"/>
        <v>7.3598844999999997</v>
      </c>
      <c r="CO251" s="293">
        <f t="shared" si="55"/>
        <v>10.679076949999999</v>
      </c>
      <c r="CP251" s="293">
        <f t="shared" si="55"/>
        <v>10.679076949999999</v>
      </c>
      <c r="CQ251" s="293">
        <f t="shared" si="55"/>
        <v>10.679076949999999</v>
      </c>
      <c r="CR251" s="293">
        <f t="shared" si="55"/>
        <v>13.554248599999999</v>
      </c>
    </row>
    <row r="252" spans="1:204">
      <c r="D252" s="955" t="s">
        <v>56</v>
      </c>
      <c r="H252" s="294">
        <f t="shared" si="52"/>
        <v>26.207999999999998</v>
      </c>
      <c r="I252" s="294">
        <f t="shared" si="53"/>
        <v>56.203000000000003</v>
      </c>
      <c r="J252" s="294">
        <f t="shared" si="53"/>
        <v>86.01</v>
      </c>
      <c r="K252" s="294">
        <f t="shared" si="53"/>
        <v>115.67400000000001</v>
      </c>
      <c r="L252" s="294">
        <f t="shared" si="53"/>
        <v>115.67400000000001</v>
      </c>
      <c r="M252" s="294">
        <f t="shared" si="53"/>
        <v>171.935</v>
      </c>
      <c r="N252" s="294">
        <f t="shared" si="53"/>
        <v>181.55799999999999</v>
      </c>
      <c r="O252" s="294">
        <f t="shared" si="53"/>
        <v>202.52099999999999</v>
      </c>
      <c r="P252" s="294">
        <f t="shared" si="53"/>
        <v>242.16099999999997</v>
      </c>
      <c r="Q252" s="294">
        <f t="shared" si="53"/>
        <v>242.16099999999997</v>
      </c>
      <c r="R252" s="294">
        <f t="shared" si="53"/>
        <v>242.16099999999997</v>
      </c>
      <c r="CH252" s="293">
        <f t="shared" si="54"/>
        <v>0.2821728</v>
      </c>
      <c r="CI252" s="293">
        <f t="shared" si="55"/>
        <v>0.60512111999999996</v>
      </c>
      <c r="CJ252" s="293">
        <f t="shared" si="55"/>
        <v>0.92605391999999997</v>
      </c>
      <c r="CK252" s="293">
        <f t="shared" si="55"/>
        <v>1.24543632</v>
      </c>
      <c r="CL252" s="293">
        <f t="shared" si="55"/>
        <v>1.24543632</v>
      </c>
      <c r="CM252" s="293">
        <f t="shared" si="55"/>
        <v>1.8511776</v>
      </c>
      <c r="CN252" s="293">
        <f t="shared" si="55"/>
        <v>1.9887836399999999</v>
      </c>
      <c r="CO252" s="293">
        <f t="shared" si="55"/>
        <v>2.2885516799999999</v>
      </c>
      <c r="CP252" s="293">
        <f t="shared" si="55"/>
        <v>2.7375089999999997</v>
      </c>
      <c r="CQ252" s="293">
        <f t="shared" si="55"/>
        <v>2.7375089999999997</v>
      </c>
      <c r="CR252" s="293">
        <f t="shared" si="55"/>
        <v>2.7375089999999997</v>
      </c>
    </row>
    <row r="253" spans="1:204">
      <c r="D253" s="955" t="s">
        <v>57</v>
      </c>
      <c r="H253" s="294">
        <f t="shared" si="52"/>
        <v>72.300000000000011</v>
      </c>
      <c r="I253" s="294">
        <f t="shared" si="53"/>
        <v>72.300000000000011</v>
      </c>
      <c r="J253" s="294">
        <f t="shared" si="53"/>
        <v>88.658000000000015</v>
      </c>
      <c r="K253" s="294">
        <f t="shared" si="53"/>
        <v>178.62800000000001</v>
      </c>
      <c r="L253" s="294">
        <f t="shared" si="53"/>
        <v>178.62800000000001</v>
      </c>
      <c r="M253" s="294">
        <f t="shared" si="53"/>
        <v>194.98600000000002</v>
      </c>
      <c r="N253" s="294">
        <f t="shared" si="53"/>
        <v>194.98600000000002</v>
      </c>
      <c r="O253" s="294">
        <f t="shared" si="53"/>
        <v>227.70200000000003</v>
      </c>
      <c r="P253" s="294">
        <f t="shared" si="53"/>
        <v>293.13400000000001</v>
      </c>
      <c r="Q253" s="294">
        <f t="shared" si="53"/>
        <v>293.13400000000001</v>
      </c>
      <c r="R253" s="294">
        <f t="shared" si="53"/>
        <v>293.13400000000001</v>
      </c>
      <c r="CH253" s="293">
        <f t="shared" si="54"/>
        <v>1.1536806160000002</v>
      </c>
      <c r="CI253" s="293">
        <f t="shared" si="55"/>
        <v>1.1536806160000002</v>
      </c>
      <c r="CJ253" s="293">
        <f t="shared" si="55"/>
        <v>1.3058523150000001</v>
      </c>
      <c r="CK253" s="293">
        <f t="shared" si="55"/>
        <v>2.1369447589999999</v>
      </c>
      <c r="CL253" s="293">
        <f t="shared" si="55"/>
        <v>2.1369447589999999</v>
      </c>
      <c r="CM253" s="293">
        <f t="shared" si="55"/>
        <v>2.2938603719999997</v>
      </c>
      <c r="CN253" s="293">
        <f t="shared" si="55"/>
        <v>2.2938603719999997</v>
      </c>
      <c r="CO253" s="293">
        <f t="shared" si="55"/>
        <v>2.6306518879999996</v>
      </c>
      <c r="CP253" s="293">
        <f t="shared" si="55"/>
        <v>3.3061902759999997</v>
      </c>
      <c r="CQ253" s="293">
        <f t="shared" si="55"/>
        <v>3.3061902759999997</v>
      </c>
      <c r="CR253" s="293">
        <f t="shared" si="55"/>
        <v>3.3061902759999997</v>
      </c>
    </row>
    <row r="254" spans="1:204">
      <c r="D254" s="955" t="s">
        <v>28</v>
      </c>
      <c r="H254" s="294">
        <f t="shared" si="52"/>
        <v>60.550000000000004</v>
      </c>
      <c r="I254" s="294">
        <f t="shared" si="53"/>
        <v>226.93099999999998</v>
      </c>
      <c r="J254" s="294">
        <f t="shared" si="53"/>
        <v>379.53999999999996</v>
      </c>
      <c r="K254" s="294">
        <f t="shared" si="53"/>
        <v>424.79799999999994</v>
      </c>
      <c r="L254" s="294">
        <f t="shared" si="53"/>
        <v>460.61399999999992</v>
      </c>
      <c r="M254" s="294">
        <f t="shared" si="53"/>
        <v>532.16599999999994</v>
      </c>
      <c r="N254" s="294">
        <f t="shared" si="53"/>
        <v>594.13699999999994</v>
      </c>
      <c r="O254" s="294">
        <f t="shared" si="53"/>
        <v>691.98599999999999</v>
      </c>
      <c r="P254" s="294">
        <f t="shared" si="53"/>
        <v>761.14099999999996</v>
      </c>
      <c r="Q254" s="294">
        <f t="shared" si="53"/>
        <v>769.13599999999997</v>
      </c>
      <c r="R254" s="294">
        <f t="shared" si="53"/>
        <v>850.55700000000002</v>
      </c>
      <c r="CH254" s="293">
        <f t="shared" si="54"/>
        <v>1.070949852</v>
      </c>
      <c r="CI254" s="293">
        <f t="shared" si="55"/>
        <v>2.9630790720000002</v>
      </c>
      <c r="CJ254" s="293">
        <f t="shared" si="55"/>
        <v>5.3354885460000006</v>
      </c>
      <c r="CK254" s="293">
        <f t="shared" si="55"/>
        <v>6.1007420740000011</v>
      </c>
      <c r="CL254" s="293">
        <f t="shared" si="55"/>
        <v>6.6306012740000009</v>
      </c>
      <c r="CM254" s="293">
        <f t="shared" si="55"/>
        <v>7.9302420020000008</v>
      </c>
      <c r="CN254" s="293">
        <f t="shared" si="55"/>
        <v>8.8274455220000014</v>
      </c>
      <c r="CO254" s="293">
        <f t="shared" si="55"/>
        <v>10.421811314000001</v>
      </c>
      <c r="CP254" s="293">
        <f t="shared" si="55"/>
        <v>11.747507498000001</v>
      </c>
      <c r="CQ254" s="293">
        <f t="shared" si="55"/>
        <v>11.959426939</v>
      </c>
      <c r="CR254" s="293">
        <f t="shared" si="55"/>
        <v>13.295137531</v>
      </c>
    </row>
    <row r="255" spans="1:204">
      <c r="D255" s="955" t="s">
        <v>16</v>
      </c>
      <c r="H255" s="294">
        <f t="shared" si="52"/>
        <v>3332.3700000000008</v>
      </c>
      <c r="I255" s="294">
        <f t="shared" si="53"/>
        <v>4640.8300000000008</v>
      </c>
      <c r="J255" s="294">
        <f t="shared" si="53"/>
        <v>6148.4400000000005</v>
      </c>
      <c r="K255" s="294">
        <f t="shared" si="53"/>
        <v>7148.7400000000007</v>
      </c>
      <c r="L255" s="294">
        <f t="shared" si="53"/>
        <v>7148.7400000000007</v>
      </c>
      <c r="M255" s="294">
        <f t="shared" si="53"/>
        <v>7237.4500000000007</v>
      </c>
      <c r="N255" s="294">
        <f t="shared" si="53"/>
        <v>7592.8000000000011</v>
      </c>
      <c r="O255" s="294">
        <f t="shared" si="53"/>
        <v>9124.6100000000024</v>
      </c>
      <c r="P255" s="294">
        <f t="shared" si="53"/>
        <v>10295.025000000001</v>
      </c>
      <c r="Q255" s="294">
        <f t="shared" si="53"/>
        <v>11849.623000000001</v>
      </c>
      <c r="R255" s="294">
        <f t="shared" si="53"/>
        <v>13875.573000000002</v>
      </c>
      <c r="CH255" s="293">
        <f t="shared" si="54"/>
        <v>20.582002243999991</v>
      </c>
      <c r="CI255" s="293">
        <f t="shared" si="55"/>
        <v>28.076265743999993</v>
      </c>
      <c r="CJ255" s="293">
        <f t="shared" si="55"/>
        <v>36.749730843999998</v>
      </c>
      <c r="CK255" s="293">
        <f t="shared" si="55"/>
        <v>42.628336644000001</v>
      </c>
      <c r="CL255" s="293">
        <f t="shared" si="55"/>
        <v>42.628336644000001</v>
      </c>
      <c r="CM255" s="293">
        <f t="shared" si="55"/>
        <v>43.054144644000004</v>
      </c>
      <c r="CN255" s="293">
        <f t="shared" si="55"/>
        <v>44.759824644000005</v>
      </c>
      <c r="CO255" s="293">
        <f t="shared" si="55"/>
        <v>52.121309944000004</v>
      </c>
      <c r="CP255" s="293">
        <f t="shared" si="55"/>
        <v>58.082328490000002</v>
      </c>
      <c r="CQ255" s="293">
        <f t="shared" si="55"/>
        <v>66.082714651000003</v>
      </c>
      <c r="CR255" s="293">
        <f t="shared" si="55"/>
        <v>76.726481660999994</v>
      </c>
    </row>
    <row r="256" spans="1:204">
      <c r="D256" s="955" t="s">
        <v>51</v>
      </c>
      <c r="H256" s="294">
        <f t="shared" si="52"/>
        <v>235.97999999999982</v>
      </c>
      <c r="I256" s="294">
        <f t="shared" si="53"/>
        <v>319.9799999999999</v>
      </c>
      <c r="J256" s="294">
        <f t="shared" si="53"/>
        <v>487.82999999999976</v>
      </c>
      <c r="K256" s="294">
        <f t="shared" si="53"/>
        <v>487.82999999999976</v>
      </c>
      <c r="L256" s="294">
        <f t="shared" si="53"/>
        <v>487.82999999999976</v>
      </c>
      <c r="M256" s="294">
        <f t="shared" si="53"/>
        <v>487.82999999999976</v>
      </c>
      <c r="N256" s="294">
        <f t="shared" si="53"/>
        <v>487.82999999999976</v>
      </c>
      <c r="O256" s="294">
        <f t="shared" si="53"/>
        <v>487.82999999999976</v>
      </c>
      <c r="P256" s="294">
        <f t="shared" si="53"/>
        <v>487.82999999999976</v>
      </c>
      <c r="Q256" s="294">
        <f t="shared" si="53"/>
        <v>487.82999999999976</v>
      </c>
      <c r="R256" s="294">
        <f t="shared" si="53"/>
        <v>487.82999999999976</v>
      </c>
      <c r="CH256" s="293">
        <f t="shared" si="54"/>
        <v>3.3465995070000027</v>
      </c>
      <c r="CI256" s="293">
        <f t="shared" si="55"/>
        <v>4.5432866060000041</v>
      </c>
      <c r="CJ256" s="293">
        <f t="shared" si="55"/>
        <v>6.9209392680000068</v>
      </c>
      <c r="CK256" s="293">
        <f t="shared" si="55"/>
        <v>6.9209392680000068</v>
      </c>
      <c r="CL256" s="293">
        <f t="shared" si="55"/>
        <v>6.9209392680000068</v>
      </c>
      <c r="CM256" s="293">
        <f t="shared" si="55"/>
        <v>6.9209392680000068</v>
      </c>
      <c r="CN256" s="293">
        <f t="shared" si="55"/>
        <v>6.9209392680000068</v>
      </c>
      <c r="CO256" s="293">
        <f t="shared" si="55"/>
        <v>6.9209392680000068</v>
      </c>
      <c r="CP256" s="293">
        <f t="shared" si="55"/>
        <v>6.9209392680000068</v>
      </c>
      <c r="CQ256" s="293">
        <f t="shared" si="55"/>
        <v>6.9209392680000068</v>
      </c>
      <c r="CR256" s="293">
        <f t="shared" si="55"/>
        <v>6.9209392680000068</v>
      </c>
    </row>
    <row r="257" spans="4:96">
      <c r="D257" s="955" t="s">
        <v>17</v>
      </c>
      <c r="H257" s="294">
        <f t="shared" si="52"/>
        <v>919.67899999999997</v>
      </c>
      <c r="I257" s="294">
        <f t="shared" si="53"/>
        <v>1491.9670000000001</v>
      </c>
      <c r="J257" s="294">
        <f t="shared" si="53"/>
        <v>1765.433</v>
      </c>
      <c r="K257" s="294">
        <f t="shared" si="53"/>
        <v>1794.1469999999999</v>
      </c>
      <c r="L257" s="294">
        <f t="shared" si="53"/>
        <v>1940.0369999999998</v>
      </c>
      <c r="M257" s="294">
        <f t="shared" si="53"/>
        <v>2276.2269999999999</v>
      </c>
      <c r="N257" s="294">
        <f t="shared" si="53"/>
        <v>2570.125</v>
      </c>
      <c r="O257" s="294">
        <f t="shared" si="53"/>
        <v>2799.1880000000001</v>
      </c>
      <c r="P257" s="294">
        <f t="shared" si="53"/>
        <v>3044.654</v>
      </c>
      <c r="Q257" s="294">
        <f t="shared" si="53"/>
        <v>3435.6509999999998</v>
      </c>
      <c r="R257" s="294">
        <f t="shared" si="53"/>
        <v>3990.998</v>
      </c>
      <c r="CH257" s="293">
        <f t="shared" si="54"/>
        <v>9.5943214449999985</v>
      </c>
      <c r="CI257" s="293">
        <f t="shared" si="55"/>
        <v>14.018884226999999</v>
      </c>
      <c r="CJ257" s="293">
        <f t="shared" si="55"/>
        <v>16.605998637999999</v>
      </c>
      <c r="CK257" s="293">
        <f t="shared" si="55"/>
        <v>16.970516493999998</v>
      </c>
      <c r="CL257" s="293">
        <f t="shared" si="55"/>
        <v>18.140671964999999</v>
      </c>
      <c r="CM257" s="293">
        <f t="shared" si="55"/>
        <v>20.801018776999999</v>
      </c>
      <c r="CN257" s="293">
        <f t="shared" si="55"/>
        <v>23.565430743</v>
      </c>
      <c r="CO257" s="293">
        <f t="shared" si="55"/>
        <v>25.677093980999999</v>
      </c>
      <c r="CP257" s="293">
        <f t="shared" si="55"/>
        <v>28.305292846999997</v>
      </c>
      <c r="CQ257" s="293">
        <f t="shared" si="55"/>
        <v>31.684113110999995</v>
      </c>
      <c r="CR257" s="293">
        <f t="shared" si="55"/>
        <v>35.754795434999991</v>
      </c>
    </row>
    <row r="258" spans="4:96">
      <c r="D258" s="955" t="s">
        <v>18</v>
      </c>
      <c r="H258" s="294">
        <f t="shared" si="52"/>
        <v>10.373000000000001</v>
      </c>
      <c r="I258" s="294">
        <f t="shared" si="53"/>
        <v>29.093</v>
      </c>
      <c r="J258" s="294">
        <f t="shared" si="53"/>
        <v>29.093</v>
      </c>
      <c r="K258" s="294">
        <f t="shared" si="53"/>
        <v>66.533000000000001</v>
      </c>
      <c r="L258" s="294">
        <f t="shared" si="53"/>
        <v>96.335000000000008</v>
      </c>
      <c r="M258" s="294">
        <f t="shared" si="53"/>
        <v>142.631</v>
      </c>
      <c r="N258" s="294">
        <f t="shared" si="53"/>
        <v>196.19900000000001</v>
      </c>
      <c r="O258" s="294">
        <f t="shared" si="53"/>
        <v>219.24900000000002</v>
      </c>
      <c r="P258" s="294">
        <f t="shared" si="53"/>
        <v>223.35900000000004</v>
      </c>
      <c r="Q258" s="294">
        <f t="shared" si="53"/>
        <v>223.35900000000004</v>
      </c>
      <c r="R258" s="294">
        <f t="shared" si="53"/>
        <v>223.35900000000004</v>
      </c>
      <c r="CH258" s="293">
        <f t="shared" si="54"/>
        <v>0.114251454</v>
      </c>
      <c r="CI258" s="293">
        <f t="shared" si="55"/>
        <v>0.31680315400000003</v>
      </c>
      <c r="CJ258" s="293">
        <f t="shared" si="55"/>
        <v>0.31680315400000003</v>
      </c>
      <c r="CK258" s="293">
        <f t="shared" si="55"/>
        <v>0.7231753540000001</v>
      </c>
      <c r="CL258" s="293">
        <f t="shared" si="55"/>
        <v>1.0622528570000001</v>
      </c>
      <c r="CM258" s="293">
        <f t="shared" si="55"/>
        <v>1.6013178530000001</v>
      </c>
      <c r="CN258" s="293">
        <f t="shared" si="55"/>
        <v>2.187354563</v>
      </c>
      <c r="CO258" s="293">
        <f t="shared" si="55"/>
        <v>2.4535710069999999</v>
      </c>
      <c r="CP258" s="293">
        <f t="shared" si="55"/>
        <v>2.5027197569999999</v>
      </c>
      <c r="CQ258" s="293">
        <f t="shared" si="55"/>
        <v>2.5027197569999999</v>
      </c>
      <c r="CR258" s="293">
        <f t="shared" si="55"/>
        <v>2.5027197569999999</v>
      </c>
    </row>
    <row r="259" spans="4:96">
      <c r="D259" s="955"/>
      <c r="H259" s="294">
        <f t="shared" si="52"/>
        <v>0</v>
      </c>
      <c r="I259" s="294">
        <f t="shared" si="53"/>
        <v>0</v>
      </c>
      <c r="J259" s="294">
        <f t="shared" si="53"/>
        <v>0</v>
      </c>
      <c r="K259" s="294">
        <f t="shared" si="53"/>
        <v>0</v>
      </c>
      <c r="L259" s="294">
        <f t="shared" si="53"/>
        <v>0</v>
      </c>
      <c r="M259" s="294">
        <f t="shared" si="53"/>
        <v>0</v>
      </c>
      <c r="N259" s="294">
        <f t="shared" si="53"/>
        <v>0</v>
      </c>
      <c r="O259" s="294">
        <f t="shared" si="53"/>
        <v>0</v>
      </c>
      <c r="P259" s="294">
        <f t="shared" si="53"/>
        <v>0</v>
      </c>
      <c r="Q259" s="294">
        <f t="shared" si="53"/>
        <v>0</v>
      </c>
      <c r="R259" s="294">
        <f t="shared" si="53"/>
        <v>0</v>
      </c>
      <c r="CH259" s="293">
        <f t="shared" si="54"/>
        <v>0</v>
      </c>
      <c r="CI259" s="293">
        <f t="shared" si="55"/>
        <v>0</v>
      </c>
      <c r="CJ259" s="293">
        <f t="shared" si="55"/>
        <v>0</v>
      </c>
      <c r="CK259" s="293">
        <f t="shared" si="55"/>
        <v>0</v>
      </c>
      <c r="CL259" s="293">
        <f t="shared" si="55"/>
        <v>0</v>
      </c>
      <c r="CM259" s="293">
        <f t="shared" si="55"/>
        <v>0</v>
      </c>
      <c r="CN259" s="293">
        <f t="shared" si="55"/>
        <v>0</v>
      </c>
      <c r="CO259" s="293">
        <f t="shared" si="55"/>
        <v>0</v>
      </c>
      <c r="CP259" s="293">
        <f t="shared" si="55"/>
        <v>0</v>
      </c>
      <c r="CQ259" s="293">
        <f t="shared" si="55"/>
        <v>0</v>
      </c>
      <c r="CR259" s="293">
        <f t="shared" si="55"/>
        <v>0</v>
      </c>
    </row>
    <row r="260" spans="4:96">
      <c r="D260" s="957" t="s">
        <v>21</v>
      </c>
      <c r="H260" s="294">
        <f t="shared" si="52"/>
        <v>7346.1869999999999</v>
      </c>
      <c r="I260" s="294">
        <f t="shared" si="53"/>
        <v>11108.55</v>
      </c>
      <c r="J260" s="294">
        <f t="shared" si="53"/>
        <v>14738.749</v>
      </c>
      <c r="K260" s="294">
        <f t="shared" si="53"/>
        <v>17496.12</v>
      </c>
      <c r="L260" s="294">
        <f t="shared" si="53"/>
        <v>18673.573</v>
      </c>
      <c r="M260" s="294">
        <f t="shared" si="53"/>
        <v>20210.438000000002</v>
      </c>
      <c r="N260" s="294">
        <f t="shared" si="53"/>
        <v>21732.115000000002</v>
      </c>
      <c r="O260" s="294">
        <f t="shared" si="53"/>
        <v>24557.159000000003</v>
      </c>
      <c r="P260" s="294">
        <f t="shared" si="53"/>
        <v>27199.240600000005</v>
      </c>
      <c r="Q260" s="294">
        <f t="shared" si="53"/>
        <v>30351.714600000007</v>
      </c>
      <c r="R260" s="294">
        <f t="shared" si="53"/>
        <v>34338.53560000001</v>
      </c>
      <c r="CH260" s="293">
        <f t="shared" si="54"/>
        <v>70.535619322999992</v>
      </c>
      <c r="CI260" s="293">
        <f t="shared" si="55"/>
        <v>107.01522211099999</v>
      </c>
      <c r="CJ260" s="293">
        <f t="shared" si="55"/>
        <v>143.269897394</v>
      </c>
      <c r="CK260" s="293">
        <f t="shared" si="55"/>
        <v>171.258621869</v>
      </c>
      <c r="CL260" s="293">
        <f t="shared" si="55"/>
        <v>187.28572712599998</v>
      </c>
      <c r="CM260" s="293">
        <f t="shared" si="55"/>
        <v>206.40832497</v>
      </c>
      <c r="CN260" s="293">
        <f t="shared" si="55"/>
        <v>223.07511433499999</v>
      </c>
      <c r="CO260" s="293">
        <f t="shared" si="55"/>
        <v>248.38414630299999</v>
      </c>
      <c r="CP260" s="293">
        <f t="shared" si="55"/>
        <v>271.86337578500002</v>
      </c>
      <c r="CQ260" s="293">
        <f t="shared" si="55"/>
        <v>293.85743886900002</v>
      </c>
      <c r="CR260" s="293">
        <f t="shared" si="55"/>
        <v>325.73939268100003</v>
      </c>
    </row>
    <row r="261" spans="4:96">
      <c r="D261" s="956" t="s">
        <v>22</v>
      </c>
      <c r="H261" s="294">
        <f t="shared" si="52"/>
        <v>70.206680000000006</v>
      </c>
      <c r="I261" s="294">
        <f t="shared" si="53"/>
        <v>126.00308000000001</v>
      </c>
      <c r="J261" s="294">
        <f t="shared" si="53"/>
        <v>167.64746000000002</v>
      </c>
      <c r="K261" s="294">
        <f t="shared" si="53"/>
        <v>190.67570000000003</v>
      </c>
      <c r="L261" s="294">
        <f t="shared" si="53"/>
        <v>237.41100000000003</v>
      </c>
      <c r="M261" s="294">
        <f t="shared" si="53"/>
        <v>292.05890000000005</v>
      </c>
      <c r="N261" s="294">
        <f t="shared" si="53"/>
        <v>348.14256000000006</v>
      </c>
      <c r="O261" s="294">
        <f t="shared" si="53"/>
        <v>435.0511600000001</v>
      </c>
      <c r="P261" s="294">
        <f t="shared" si="53"/>
        <v>500.3753200000001</v>
      </c>
      <c r="Q261" s="294">
        <f t="shared" si="53"/>
        <v>563.58018000000015</v>
      </c>
      <c r="R261" s="294">
        <f t="shared" si="53"/>
        <v>617.22632000000021</v>
      </c>
      <c r="CH261" s="293">
        <f t="shared" si="54"/>
        <v>4.306962188</v>
      </c>
      <c r="CI261" s="293">
        <f t="shared" si="55"/>
        <v>7.3844594360000002</v>
      </c>
      <c r="CJ261" s="293">
        <f t="shared" si="55"/>
        <v>9.9295553430000005</v>
      </c>
      <c r="CK261" s="293">
        <f t="shared" si="55"/>
        <v>12.136981521000001</v>
      </c>
      <c r="CL261" s="293">
        <f t="shared" si="55"/>
        <v>15.410907387</v>
      </c>
      <c r="CM261" s="293">
        <f t="shared" si="55"/>
        <v>19.549674265</v>
      </c>
      <c r="CN261" s="293">
        <f t="shared" si="55"/>
        <v>22.676319577000001</v>
      </c>
      <c r="CO261" s="293">
        <f t="shared" si="55"/>
        <v>27.262540291000001</v>
      </c>
      <c r="CP261" s="293">
        <f t="shared" si="55"/>
        <v>31.845628614999999</v>
      </c>
      <c r="CQ261" s="293">
        <f t="shared" si="55"/>
        <v>35.536821080999999</v>
      </c>
      <c r="CR261" s="293">
        <f t="shared" si="55"/>
        <v>39.252475519000001</v>
      </c>
    </row>
    <row r="262" spans="4:96">
      <c r="D262" s="957" t="s">
        <v>21</v>
      </c>
      <c r="H262" s="294">
        <f t="shared" si="52"/>
        <v>7416.393680000001</v>
      </c>
      <c r="I262" s="294">
        <f t="shared" si="53"/>
        <v>11234.553080000002</v>
      </c>
      <c r="J262" s="294">
        <f t="shared" si="53"/>
        <v>14906.396460000002</v>
      </c>
      <c r="K262" s="294">
        <f t="shared" si="53"/>
        <v>17686.795700000002</v>
      </c>
      <c r="L262" s="294">
        <f t="shared" si="53"/>
        <v>18910.984000000004</v>
      </c>
      <c r="M262" s="294">
        <f t="shared" si="53"/>
        <v>20502.496900000006</v>
      </c>
      <c r="N262" s="294">
        <f t="shared" si="53"/>
        <v>22080.257560000005</v>
      </c>
      <c r="O262" s="294">
        <f t="shared" si="53"/>
        <v>24992.210160000006</v>
      </c>
      <c r="P262" s="294">
        <f t="shared" si="53"/>
        <v>27699.615920000007</v>
      </c>
      <c r="Q262" s="294">
        <f t="shared" si="53"/>
        <v>30915.294780000007</v>
      </c>
      <c r="R262" s="294">
        <f t="shared" si="53"/>
        <v>34955.761920000012</v>
      </c>
      <c r="CH262" s="293">
        <f t="shared" si="54"/>
        <v>74.842581510999992</v>
      </c>
      <c r="CI262" s="293">
        <f t="shared" si="55"/>
        <v>114.399681547</v>
      </c>
      <c r="CJ262" s="293">
        <f t="shared" si="55"/>
        <v>153.199452737</v>
      </c>
      <c r="CK262" s="293">
        <f t="shared" si="55"/>
        <v>183.39560338999999</v>
      </c>
      <c r="CL262" s="293">
        <f t="shared" si="55"/>
        <v>202.69663451299999</v>
      </c>
      <c r="CM262" s="293">
        <f t="shared" si="55"/>
        <v>225.95799923499999</v>
      </c>
      <c r="CN262" s="293">
        <f t="shared" si="55"/>
        <v>245.75143391199998</v>
      </c>
      <c r="CO262" s="293">
        <f t="shared" si="55"/>
        <v>275.64668659399996</v>
      </c>
      <c r="CP262" s="293">
        <f t="shared" si="55"/>
        <v>303.70900439999997</v>
      </c>
      <c r="CQ262" s="293">
        <f t="shared" si="55"/>
        <v>329.39425994999999</v>
      </c>
      <c r="CR262" s="293">
        <f t="shared" si="55"/>
        <v>364.9918682</v>
      </c>
    </row>
    <row r="263" spans="4:96" ht="13.5" thickBot="1">
      <c r="D263" s="126" t="s">
        <v>59</v>
      </c>
      <c r="H263" s="294">
        <f t="shared" si="52"/>
        <v>0</v>
      </c>
      <c r="I263" s="294">
        <f t="shared" si="53"/>
        <v>0</v>
      </c>
      <c r="J263" s="294">
        <f t="shared" si="53"/>
        <v>0</v>
      </c>
      <c r="K263" s="294">
        <f t="shared" si="53"/>
        <v>0</v>
      </c>
      <c r="L263" s="294">
        <f t="shared" si="53"/>
        <v>0</v>
      </c>
      <c r="M263" s="294">
        <f t="shared" si="53"/>
        <v>0</v>
      </c>
      <c r="N263" s="294">
        <f t="shared" si="53"/>
        <v>0</v>
      </c>
      <c r="O263" s="294">
        <f t="shared" si="53"/>
        <v>0</v>
      </c>
      <c r="P263" s="294">
        <f t="shared" si="53"/>
        <v>0</v>
      </c>
      <c r="Q263" s="294">
        <f t="shared" si="53"/>
        <v>0</v>
      </c>
      <c r="R263" s="294">
        <f t="shared" si="53"/>
        <v>0</v>
      </c>
      <c r="CH263" s="293">
        <f t="shared" si="54"/>
        <v>0.21857258700000001</v>
      </c>
      <c r="CI263" s="293">
        <f t="shared" si="55"/>
        <v>0.34857720999999997</v>
      </c>
      <c r="CJ263" s="293">
        <f t="shared" si="55"/>
        <v>0.43820943599999995</v>
      </c>
      <c r="CK263" s="293">
        <f t="shared" si="55"/>
        <v>0.53179583999999991</v>
      </c>
      <c r="CL263" s="293">
        <f t="shared" si="55"/>
        <v>0.65921947699999994</v>
      </c>
      <c r="CM263" s="293">
        <f t="shared" si="55"/>
        <v>0.8950118749999999</v>
      </c>
      <c r="CN263" s="293">
        <f t="shared" si="55"/>
        <v>0.9525131939999999</v>
      </c>
      <c r="CO263" s="293">
        <f t="shared" si="55"/>
        <v>1.0857684179999998</v>
      </c>
      <c r="CP263" s="293">
        <f t="shared" si="55"/>
        <v>2.3582424459999998</v>
      </c>
      <c r="CQ263" s="293">
        <f t="shared" si="55"/>
        <v>2.6610573249999998</v>
      </c>
      <c r="CR263" s="293">
        <f t="shared" si="55"/>
        <v>2.1833027869999997</v>
      </c>
    </row>
    <row r="264" spans="4:96" ht="14.25">
      <c r="D264" s="958" t="s">
        <v>23</v>
      </c>
      <c r="H264" s="294">
        <f t="shared" si="52"/>
        <v>124.82000000000001</v>
      </c>
      <c r="I264" s="294">
        <f t="shared" si="53"/>
        <v>176.96</v>
      </c>
      <c r="J264" s="294">
        <f t="shared" si="53"/>
        <v>242.15</v>
      </c>
      <c r="K264" s="294">
        <f t="shared" si="53"/>
        <v>299.07</v>
      </c>
      <c r="L264" s="294">
        <f t="shared" si="53"/>
        <v>332.55</v>
      </c>
      <c r="M264" s="294">
        <f t="shared" si="53"/>
        <v>371.45000000000005</v>
      </c>
      <c r="N264" s="294">
        <f t="shared" si="53"/>
        <v>391.58000000000004</v>
      </c>
      <c r="O264" s="294">
        <f t="shared" si="53"/>
        <v>428.1</v>
      </c>
      <c r="P264" s="294">
        <f t="shared" si="53"/>
        <v>465.99600000000004</v>
      </c>
      <c r="Q264" s="294">
        <f t="shared" si="53"/>
        <v>523.98599999999999</v>
      </c>
      <c r="R264" s="294">
        <f t="shared" si="53"/>
        <v>543.14599999999996</v>
      </c>
      <c r="CH264" s="293">
        <f t="shared" si="54"/>
        <v>0.30448109099999998</v>
      </c>
      <c r="CI264" s="293">
        <f t="shared" si="55"/>
        <v>0.42982252300000001</v>
      </c>
      <c r="CJ264" s="293">
        <f t="shared" si="55"/>
        <v>0.60526251799999997</v>
      </c>
      <c r="CK264" s="293">
        <f t="shared" si="55"/>
        <v>0.71335218899999997</v>
      </c>
      <c r="CL264" s="293">
        <f t="shared" si="55"/>
        <v>0.771076329</v>
      </c>
      <c r="CM264" s="293">
        <f t="shared" si="55"/>
        <v>0.83714086500000007</v>
      </c>
      <c r="CN264" s="293">
        <f t="shared" si="55"/>
        <v>0.87208466100000004</v>
      </c>
      <c r="CO264" s="293">
        <f t="shared" si="55"/>
        <v>0.92965314600000004</v>
      </c>
      <c r="CP264" s="293">
        <f t="shared" si="55"/>
        <v>0.981939742</v>
      </c>
      <c r="CQ264" s="293">
        <f t="shared" si="55"/>
        <v>1.0519276989999999</v>
      </c>
      <c r="CR264" s="293">
        <f t="shared" si="55"/>
        <v>1.074579916</v>
      </c>
    </row>
    <row r="265" spans="4:96">
      <c r="D265" s="688"/>
      <c r="H265" s="294">
        <f t="shared" si="52"/>
        <v>7541.2136800000007</v>
      </c>
      <c r="I265" s="294">
        <f t="shared" si="53"/>
        <v>11411.513080000001</v>
      </c>
      <c r="J265" s="294">
        <f t="shared" si="53"/>
        <v>15148.546460000001</v>
      </c>
      <c r="K265" s="294">
        <f t="shared" si="53"/>
        <v>17985.865700000002</v>
      </c>
      <c r="L265" s="294">
        <f t="shared" si="53"/>
        <v>19243.534000000003</v>
      </c>
      <c r="M265" s="294">
        <f t="shared" si="53"/>
        <v>20873.946900000003</v>
      </c>
      <c r="N265" s="294">
        <f t="shared" si="53"/>
        <v>22471.837560000004</v>
      </c>
      <c r="O265" s="294">
        <f t="shared" si="53"/>
        <v>25420.310160000005</v>
      </c>
      <c r="P265" s="294">
        <f t="shared" si="53"/>
        <v>28165.611920000003</v>
      </c>
      <c r="Q265" s="294">
        <f t="shared" si="53"/>
        <v>31439.280780000001</v>
      </c>
      <c r="R265" s="294">
        <f t="shared" si="53"/>
        <v>35498.907920000005</v>
      </c>
      <c r="CH265" s="293">
        <f t="shared" si="54"/>
        <v>75.365635188999988</v>
      </c>
      <c r="CI265" s="293">
        <f t="shared" si="55"/>
        <v>115.17808127999999</v>
      </c>
      <c r="CJ265" s="293">
        <f t="shared" si="55"/>
        <v>154.24292469099998</v>
      </c>
      <c r="CK265" s="293">
        <f t="shared" si="55"/>
        <v>184.64075141899997</v>
      </c>
      <c r="CL265" s="293">
        <f t="shared" si="55"/>
        <v>204.12693031899997</v>
      </c>
      <c r="CM265" s="293">
        <f t="shared" si="55"/>
        <v>227.69015197499996</v>
      </c>
      <c r="CN265" s="293">
        <f t="shared" si="55"/>
        <v>247.57603176699996</v>
      </c>
      <c r="CO265" s="293">
        <f t="shared" si="55"/>
        <v>277.66210815799997</v>
      </c>
      <c r="CP265" s="293">
        <f t="shared" si="55"/>
        <v>307.04918658799994</v>
      </c>
      <c r="CQ265" s="293">
        <f t="shared" si="55"/>
        <v>333.10724497399991</v>
      </c>
      <c r="CR265" s="293">
        <f t="shared" si="55"/>
        <v>368.24975090299989</v>
      </c>
    </row>
    <row r="266" spans="4:96" ht="13.5" thickBot="1">
      <c r="D266" s="126" t="s">
        <v>25</v>
      </c>
      <c r="H266" s="294">
        <f t="shared" si="52"/>
        <v>0</v>
      </c>
      <c r="I266" s="294">
        <f t="shared" si="53"/>
        <v>0</v>
      </c>
      <c r="J266" s="294">
        <f t="shared" si="53"/>
        <v>0</v>
      </c>
      <c r="K266" s="294">
        <f t="shared" si="53"/>
        <v>0</v>
      </c>
      <c r="L266" s="294">
        <f t="shared" si="53"/>
        <v>0</v>
      </c>
      <c r="M266" s="294">
        <f t="shared" si="53"/>
        <v>0</v>
      </c>
      <c r="N266" s="294">
        <f t="shared" si="53"/>
        <v>0</v>
      </c>
      <c r="O266" s="294">
        <f t="shared" si="53"/>
        <v>0</v>
      </c>
      <c r="P266" s="294">
        <f t="shared" si="53"/>
        <v>0</v>
      </c>
      <c r="Q266" s="294">
        <f t="shared" si="53"/>
        <v>0</v>
      </c>
      <c r="R266" s="294">
        <f t="shared" si="53"/>
        <v>0</v>
      </c>
      <c r="CH266" s="293">
        <f t="shared" si="54"/>
        <v>-0.39543479999999998</v>
      </c>
      <c r="CI266" s="293">
        <f t="shared" si="55"/>
        <v>-0.58277829599999997</v>
      </c>
      <c r="CJ266" s="293">
        <f t="shared" si="55"/>
        <v>-0.69716382199999993</v>
      </c>
      <c r="CK266" s="293">
        <f t="shared" si="55"/>
        <v>-0.81815719799999997</v>
      </c>
      <c r="CL266" s="293">
        <f t="shared" si="55"/>
        <v>-0.91174539799999998</v>
      </c>
      <c r="CM266" s="293">
        <f t="shared" si="55"/>
        <v>0.2227330019999999</v>
      </c>
      <c r="CN266" s="293">
        <f t="shared" si="55"/>
        <v>0.10423640199999989</v>
      </c>
      <c r="CO266" s="293">
        <f t="shared" si="55"/>
        <v>-9.6188000000010931E-4</v>
      </c>
      <c r="CP266" s="293">
        <f t="shared" si="55"/>
        <v>-0.13935183000000012</v>
      </c>
      <c r="CQ266" s="293">
        <f t="shared" si="55"/>
        <v>-0.26707503300000013</v>
      </c>
      <c r="CR266" s="293">
        <f t="shared" si="55"/>
        <v>-0.47990055700000006</v>
      </c>
    </row>
    <row r="267" spans="4:96">
      <c r="CH267" s="642">
        <f>SUM(CH265:CH266)</f>
        <v>74.970200388999984</v>
      </c>
      <c r="CI267" s="642">
        <f t="shared" ref="CI267:CR267" si="56">SUM(CI265:CI266)</f>
        <v>114.59530298399999</v>
      </c>
      <c r="CJ267" s="642">
        <f t="shared" si="56"/>
        <v>153.54576086899999</v>
      </c>
      <c r="CK267" s="642">
        <f t="shared" si="56"/>
        <v>183.82259422099997</v>
      </c>
      <c r="CL267" s="642">
        <f t="shared" si="56"/>
        <v>203.21518492099997</v>
      </c>
      <c r="CM267" s="642">
        <f t="shared" si="56"/>
        <v>227.91288497699998</v>
      </c>
      <c r="CN267" s="642">
        <f t="shared" si="56"/>
        <v>247.68026816899996</v>
      </c>
      <c r="CO267" s="642">
        <f t="shared" si="56"/>
        <v>277.66114627799999</v>
      </c>
      <c r="CP267" s="642">
        <f t="shared" si="56"/>
        <v>306.90983475799993</v>
      </c>
      <c r="CQ267" s="642">
        <f t="shared" si="56"/>
        <v>332.84016994099989</v>
      </c>
      <c r="CR267" s="642">
        <f t="shared" si="56"/>
        <v>367.76985034599988</v>
      </c>
    </row>
  </sheetData>
  <autoFilter ref="B5:HG247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7" showButton="0"/>
    <filterColumn colId="168" showButton="0"/>
    <filterColumn colId="169" showButton="0"/>
    <filterColumn colId="170" showButton="0"/>
    <filterColumn colId="171" showButton="0"/>
  </autoFilter>
  <mergeCells count="57">
    <mergeCell ref="D123:F123"/>
    <mergeCell ref="D127:F127"/>
    <mergeCell ref="D128:F128"/>
    <mergeCell ref="D129:F129"/>
    <mergeCell ref="D131:F131"/>
    <mergeCell ref="D87:F87"/>
    <mergeCell ref="D88:F88"/>
    <mergeCell ref="D101:F101"/>
    <mergeCell ref="D108:F108"/>
    <mergeCell ref="D116:F116"/>
    <mergeCell ref="D117:F117"/>
    <mergeCell ref="GT5:GT6"/>
    <mergeCell ref="GU5:GU6"/>
    <mergeCell ref="GY5:GY6"/>
    <mergeCell ref="HA5:HA6"/>
    <mergeCell ref="D31:F31"/>
    <mergeCell ref="D38:F38"/>
    <mergeCell ref="GN5:GN6"/>
    <mergeCell ref="GO5:GO6"/>
    <mergeCell ref="GP5:GP6"/>
    <mergeCell ref="GQ5:GQ6"/>
    <mergeCell ref="GR5:GR6"/>
    <mergeCell ref="GS5:GS6"/>
    <mergeCell ref="GF5:GF6"/>
    <mergeCell ref="GH5:GH6"/>
    <mergeCell ref="GI5:GI6"/>
    <mergeCell ref="FW5:FW6"/>
    <mergeCell ref="GK5:GK6"/>
    <mergeCell ref="GL5:GL6"/>
    <mergeCell ref="GM5:GM6"/>
    <mergeCell ref="FZ5:FZ6"/>
    <mergeCell ref="GA5:GA6"/>
    <mergeCell ref="GB5:GB6"/>
    <mergeCell ref="GC5:GC6"/>
    <mergeCell ref="GD5:GD6"/>
    <mergeCell ref="GE5:GE6"/>
    <mergeCell ref="ET4:FR4"/>
    <mergeCell ref="DT5:EE5"/>
    <mergeCell ref="EG5:ER5"/>
    <mergeCell ref="ET5:FE5"/>
    <mergeCell ref="FG5:FR5"/>
    <mergeCell ref="FT4:GF4"/>
    <mergeCell ref="FY5:FY6"/>
    <mergeCell ref="GH4:GT4"/>
    <mergeCell ref="G5:R5"/>
    <mergeCell ref="T5:AE5"/>
    <mergeCell ref="AG5:AR5"/>
    <mergeCell ref="AT5:BE5"/>
    <mergeCell ref="BG5:BR5"/>
    <mergeCell ref="BT5:CE5"/>
    <mergeCell ref="CG5:CR5"/>
    <mergeCell ref="CT5:DE5"/>
    <mergeCell ref="DG5:DR5"/>
    <mergeCell ref="G4:AR4"/>
    <mergeCell ref="AT4:CE4"/>
    <mergeCell ref="CG4:DR4"/>
    <mergeCell ref="DT4:ER4"/>
  </mergeCells>
  <conditionalFormatting sqref="CR3:CR5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V340"/>
  <sheetViews>
    <sheetView zoomScale="84" zoomScaleNormal="84" workbookViewId="0">
      <pane xSplit="13" ySplit="6" topLeftCell="AS161" activePane="bottomRight" state="frozen"/>
      <selection pane="topRight" activeCell="N1" sqref="N1"/>
      <selection pane="bottomLeft" activeCell="A7" sqref="A7"/>
      <selection pane="bottomRight" activeCell="AS175" sqref="AS175"/>
    </sheetView>
  </sheetViews>
  <sheetFormatPr defaultRowHeight="15"/>
  <cols>
    <col min="1" max="1" width="14.28515625" style="687" customWidth="1"/>
    <col min="2" max="2" width="10.85546875" style="688" customWidth="1"/>
    <col min="3" max="3" width="22.28515625" style="688" customWidth="1"/>
    <col min="4" max="4" width="10" style="688" customWidth="1"/>
    <col min="5" max="5" width="10.7109375" style="688" customWidth="1"/>
    <col min="6" max="6" width="10.5703125" style="688" customWidth="1"/>
    <col min="7" max="8" width="10.5703125" style="927" customWidth="1"/>
    <col min="9" max="9" width="10.5703125" style="688" customWidth="1"/>
    <col min="10" max="10" width="12.42578125" style="927" customWidth="1"/>
    <col min="11" max="11" width="11" style="678" customWidth="1"/>
    <col min="12" max="12" width="11.140625" style="688" customWidth="1"/>
    <col min="13" max="13" width="11" style="688" customWidth="1"/>
    <col min="14" max="14" width="11.85546875" style="688" customWidth="1"/>
    <col min="15" max="15" width="10.42578125" style="688" customWidth="1"/>
    <col min="16" max="16" width="11.140625" style="688" customWidth="1"/>
    <col min="17" max="17" width="7.7109375" style="688" customWidth="1"/>
    <col min="18" max="18" width="12.140625" style="682" customWidth="1"/>
    <col min="19" max="19" width="16.5703125" style="678" customWidth="1"/>
    <col min="20" max="20" width="3.85546875" style="678" customWidth="1"/>
    <col min="21" max="32" width="10" style="688" customWidth="1"/>
    <col min="33" max="33" width="11.140625" style="688" customWidth="1"/>
    <col min="34" max="36" width="9.28515625" style="688" customWidth="1"/>
    <col min="37" max="38" width="9.5703125" style="688" customWidth="1"/>
    <col min="39" max="41" width="9.28515625" style="688" bestFit="1" customWidth="1"/>
    <col min="42" max="42" width="9.5703125" style="688" bestFit="1" customWidth="1"/>
    <col min="43" max="43" width="9.28515625" style="688" bestFit="1" customWidth="1"/>
    <col min="44" max="44" width="9.28515625" style="928" bestFit="1" customWidth="1"/>
    <col min="45" max="45" width="9.28515625" style="688" bestFit="1" customWidth="1"/>
    <col min="46" max="46" width="9.5703125" style="688" bestFit="1" customWidth="1"/>
    <col min="47" max="49" width="9.28515625" style="688" bestFit="1" customWidth="1"/>
    <col min="50" max="50" width="9.5703125" style="688" bestFit="1" customWidth="1"/>
    <col min="51" max="256" width="9.140625" style="688"/>
    <col min="257" max="257" width="18.42578125" style="688" customWidth="1"/>
    <col min="258" max="258" width="10.85546875" style="688" customWidth="1"/>
    <col min="259" max="259" width="21.5703125" style="688" customWidth="1"/>
    <col min="260" max="260" width="22.42578125" style="688" customWidth="1"/>
    <col min="261" max="261" width="33" style="688" customWidth="1"/>
    <col min="262" max="269" width="0" style="688" hidden="1" customWidth="1"/>
    <col min="270" max="270" width="11.85546875" style="688" customWidth="1"/>
    <col min="271" max="271" width="10.42578125" style="688" customWidth="1"/>
    <col min="272" max="272" width="11.140625" style="688" customWidth="1"/>
    <col min="273" max="273" width="7.7109375" style="688" customWidth="1"/>
    <col min="274" max="274" width="12.140625" style="688" customWidth="1"/>
    <col min="275" max="275" width="16.5703125" style="688" customWidth="1"/>
    <col min="276" max="276" width="3.85546875" style="688" customWidth="1"/>
    <col min="277" max="288" width="10" style="688" customWidth="1"/>
    <col min="289" max="289" width="11.140625" style="688" customWidth="1"/>
    <col min="290" max="292" width="9.28515625" style="688" customWidth="1"/>
    <col min="293" max="294" width="9.5703125" style="688" customWidth="1"/>
    <col min="295" max="297" width="9.28515625" style="688" bestFit="1" customWidth="1"/>
    <col min="298" max="298" width="9.5703125" style="688" bestFit="1" customWidth="1"/>
    <col min="299" max="301" width="9.28515625" style="688" bestFit="1" customWidth="1"/>
    <col min="302" max="302" width="9.5703125" style="688" bestFit="1" customWidth="1"/>
    <col min="303" max="305" width="9.28515625" style="688" bestFit="1" customWidth="1"/>
    <col min="306" max="306" width="9.5703125" style="688" bestFit="1" customWidth="1"/>
    <col min="307" max="512" width="9.140625" style="688"/>
    <col min="513" max="513" width="18.42578125" style="688" customWidth="1"/>
    <col min="514" max="514" width="10.85546875" style="688" customWidth="1"/>
    <col min="515" max="515" width="21.5703125" style="688" customWidth="1"/>
    <col min="516" max="516" width="22.42578125" style="688" customWidth="1"/>
    <col min="517" max="517" width="33" style="688" customWidth="1"/>
    <col min="518" max="525" width="0" style="688" hidden="1" customWidth="1"/>
    <col min="526" max="526" width="11.85546875" style="688" customWidth="1"/>
    <col min="527" max="527" width="10.42578125" style="688" customWidth="1"/>
    <col min="528" max="528" width="11.140625" style="688" customWidth="1"/>
    <col min="529" max="529" width="7.7109375" style="688" customWidth="1"/>
    <col min="530" max="530" width="12.140625" style="688" customWidth="1"/>
    <col min="531" max="531" width="16.5703125" style="688" customWidth="1"/>
    <col min="532" max="532" width="3.85546875" style="688" customWidth="1"/>
    <col min="533" max="544" width="10" style="688" customWidth="1"/>
    <col min="545" max="545" width="11.140625" style="688" customWidth="1"/>
    <col min="546" max="548" width="9.28515625" style="688" customWidth="1"/>
    <col min="549" max="550" width="9.5703125" style="688" customWidth="1"/>
    <col min="551" max="553" width="9.28515625" style="688" bestFit="1" customWidth="1"/>
    <col min="554" max="554" width="9.5703125" style="688" bestFit="1" customWidth="1"/>
    <col min="555" max="557" width="9.28515625" style="688" bestFit="1" customWidth="1"/>
    <col min="558" max="558" width="9.5703125" style="688" bestFit="1" customWidth="1"/>
    <col min="559" max="561" width="9.28515625" style="688" bestFit="1" customWidth="1"/>
    <col min="562" max="562" width="9.5703125" style="688" bestFit="1" customWidth="1"/>
    <col min="563" max="768" width="9.140625" style="688"/>
    <col min="769" max="769" width="18.42578125" style="688" customWidth="1"/>
    <col min="770" max="770" width="10.85546875" style="688" customWidth="1"/>
    <col min="771" max="771" width="21.5703125" style="688" customWidth="1"/>
    <col min="772" max="772" width="22.42578125" style="688" customWidth="1"/>
    <col min="773" max="773" width="33" style="688" customWidth="1"/>
    <col min="774" max="781" width="0" style="688" hidden="1" customWidth="1"/>
    <col min="782" max="782" width="11.85546875" style="688" customWidth="1"/>
    <col min="783" max="783" width="10.42578125" style="688" customWidth="1"/>
    <col min="784" max="784" width="11.140625" style="688" customWidth="1"/>
    <col min="785" max="785" width="7.7109375" style="688" customWidth="1"/>
    <col min="786" max="786" width="12.140625" style="688" customWidth="1"/>
    <col min="787" max="787" width="16.5703125" style="688" customWidth="1"/>
    <col min="788" max="788" width="3.85546875" style="688" customWidth="1"/>
    <col min="789" max="800" width="10" style="688" customWidth="1"/>
    <col min="801" max="801" width="11.140625" style="688" customWidth="1"/>
    <col min="802" max="804" width="9.28515625" style="688" customWidth="1"/>
    <col min="805" max="806" width="9.5703125" style="688" customWidth="1"/>
    <col min="807" max="809" width="9.28515625" style="688" bestFit="1" customWidth="1"/>
    <col min="810" max="810" width="9.5703125" style="688" bestFit="1" customWidth="1"/>
    <col min="811" max="813" width="9.28515625" style="688" bestFit="1" customWidth="1"/>
    <col min="814" max="814" width="9.5703125" style="688" bestFit="1" customWidth="1"/>
    <col min="815" max="817" width="9.28515625" style="688" bestFit="1" customWidth="1"/>
    <col min="818" max="818" width="9.5703125" style="688" bestFit="1" customWidth="1"/>
    <col min="819" max="1024" width="9.140625" style="688"/>
    <col min="1025" max="1025" width="18.42578125" style="688" customWidth="1"/>
    <col min="1026" max="1026" width="10.85546875" style="688" customWidth="1"/>
    <col min="1027" max="1027" width="21.5703125" style="688" customWidth="1"/>
    <col min="1028" max="1028" width="22.42578125" style="688" customWidth="1"/>
    <col min="1029" max="1029" width="33" style="688" customWidth="1"/>
    <col min="1030" max="1037" width="0" style="688" hidden="1" customWidth="1"/>
    <col min="1038" max="1038" width="11.85546875" style="688" customWidth="1"/>
    <col min="1039" max="1039" width="10.42578125" style="688" customWidth="1"/>
    <col min="1040" max="1040" width="11.140625" style="688" customWidth="1"/>
    <col min="1041" max="1041" width="7.7109375" style="688" customWidth="1"/>
    <col min="1042" max="1042" width="12.140625" style="688" customWidth="1"/>
    <col min="1043" max="1043" width="16.5703125" style="688" customWidth="1"/>
    <col min="1044" max="1044" width="3.85546875" style="688" customWidth="1"/>
    <col min="1045" max="1056" width="10" style="688" customWidth="1"/>
    <col min="1057" max="1057" width="11.140625" style="688" customWidth="1"/>
    <col min="1058" max="1060" width="9.28515625" style="688" customWidth="1"/>
    <col min="1061" max="1062" width="9.5703125" style="688" customWidth="1"/>
    <col min="1063" max="1065" width="9.28515625" style="688" bestFit="1" customWidth="1"/>
    <col min="1066" max="1066" width="9.5703125" style="688" bestFit="1" customWidth="1"/>
    <col min="1067" max="1069" width="9.28515625" style="688" bestFit="1" customWidth="1"/>
    <col min="1070" max="1070" width="9.5703125" style="688" bestFit="1" customWidth="1"/>
    <col min="1071" max="1073" width="9.28515625" style="688" bestFit="1" customWidth="1"/>
    <col min="1074" max="1074" width="9.5703125" style="688" bestFit="1" customWidth="1"/>
    <col min="1075" max="1280" width="9.140625" style="688"/>
    <col min="1281" max="1281" width="18.42578125" style="688" customWidth="1"/>
    <col min="1282" max="1282" width="10.85546875" style="688" customWidth="1"/>
    <col min="1283" max="1283" width="21.5703125" style="688" customWidth="1"/>
    <col min="1284" max="1284" width="22.42578125" style="688" customWidth="1"/>
    <col min="1285" max="1285" width="33" style="688" customWidth="1"/>
    <col min="1286" max="1293" width="0" style="688" hidden="1" customWidth="1"/>
    <col min="1294" max="1294" width="11.85546875" style="688" customWidth="1"/>
    <col min="1295" max="1295" width="10.42578125" style="688" customWidth="1"/>
    <col min="1296" max="1296" width="11.140625" style="688" customWidth="1"/>
    <col min="1297" max="1297" width="7.7109375" style="688" customWidth="1"/>
    <col min="1298" max="1298" width="12.140625" style="688" customWidth="1"/>
    <col min="1299" max="1299" width="16.5703125" style="688" customWidth="1"/>
    <col min="1300" max="1300" width="3.85546875" style="688" customWidth="1"/>
    <col min="1301" max="1312" width="10" style="688" customWidth="1"/>
    <col min="1313" max="1313" width="11.140625" style="688" customWidth="1"/>
    <col min="1314" max="1316" width="9.28515625" style="688" customWidth="1"/>
    <col min="1317" max="1318" width="9.5703125" style="688" customWidth="1"/>
    <col min="1319" max="1321" width="9.28515625" style="688" bestFit="1" customWidth="1"/>
    <col min="1322" max="1322" width="9.5703125" style="688" bestFit="1" customWidth="1"/>
    <col min="1323" max="1325" width="9.28515625" style="688" bestFit="1" customWidth="1"/>
    <col min="1326" max="1326" width="9.5703125" style="688" bestFit="1" customWidth="1"/>
    <col min="1327" max="1329" width="9.28515625" style="688" bestFit="1" customWidth="1"/>
    <col min="1330" max="1330" width="9.5703125" style="688" bestFit="1" customWidth="1"/>
    <col min="1331" max="1536" width="9.140625" style="688"/>
    <col min="1537" max="1537" width="18.42578125" style="688" customWidth="1"/>
    <col min="1538" max="1538" width="10.85546875" style="688" customWidth="1"/>
    <col min="1539" max="1539" width="21.5703125" style="688" customWidth="1"/>
    <col min="1540" max="1540" width="22.42578125" style="688" customWidth="1"/>
    <col min="1541" max="1541" width="33" style="688" customWidth="1"/>
    <col min="1542" max="1549" width="0" style="688" hidden="1" customWidth="1"/>
    <col min="1550" max="1550" width="11.85546875" style="688" customWidth="1"/>
    <col min="1551" max="1551" width="10.42578125" style="688" customWidth="1"/>
    <col min="1552" max="1552" width="11.140625" style="688" customWidth="1"/>
    <col min="1553" max="1553" width="7.7109375" style="688" customWidth="1"/>
    <col min="1554" max="1554" width="12.140625" style="688" customWidth="1"/>
    <col min="1555" max="1555" width="16.5703125" style="688" customWidth="1"/>
    <col min="1556" max="1556" width="3.85546875" style="688" customWidth="1"/>
    <col min="1557" max="1568" width="10" style="688" customWidth="1"/>
    <col min="1569" max="1569" width="11.140625" style="688" customWidth="1"/>
    <col min="1570" max="1572" width="9.28515625" style="688" customWidth="1"/>
    <col min="1573" max="1574" width="9.5703125" style="688" customWidth="1"/>
    <col min="1575" max="1577" width="9.28515625" style="688" bestFit="1" customWidth="1"/>
    <col min="1578" max="1578" width="9.5703125" style="688" bestFit="1" customWidth="1"/>
    <col min="1579" max="1581" width="9.28515625" style="688" bestFit="1" customWidth="1"/>
    <col min="1582" max="1582" width="9.5703125" style="688" bestFit="1" customWidth="1"/>
    <col min="1583" max="1585" width="9.28515625" style="688" bestFit="1" customWidth="1"/>
    <col min="1586" max="1586" width="9.5703125" style="688" bestFit="1" customWidth="1"/>
    <col min="1587" max="1792" width="9.140625" style="688"/>
    <col min="1793" max="1793" width="18.42578125" style="688" customWidth="1"/>
    <col min="1794" max="1794" width="10.85546875" style="688" customWidth="1"/>
    <col min="1795" max="1795" width="21.5703125" style="688" customWidth="1"/>
    <col min="1796" max="1796" width="22.42578125" style="688" customWidth="1"/>
    <col min="1797" max="1797" width="33" style="688" customWidth="1"/>
    <col min="1798" max="1805" width="0" style="688" hidden="1" customWidth="1"/>
    <col min="1806" max="1806" width="11.85546875" style="688" customWidth="1"/>
    <col min="1807" max="1807" width="10.42578125" style="688" customWidth="1"/>
    <col min="1808" max="1808" width="11.140625" style="688" customWidth="1"/>
    <col min="1809" max="1809" width="7.7109375" style="688" customWidth="1"/>
    <col min="1810" max="1810" width="12.140625" style="688" customWidth="1"/>
    <col min="1811" max="1811" width="16.5703125" style="688" customWidth="1"/>
    <col min="1812" max="1812" width="3.85546875" style="688" customWidth="1"/>
    <col min="1813" max="1824" width="10" style="688" customWidth="1"/>
    <col min="1825" max="1825" width="11.140625" style="688" customWidth="1"/>
    <col min="1826" max="1828" width="9.28515625" style="688" customWidth="1"/>
    <col min="1829" max="1830" width="9.5703125" style="688" customWidth="1"/>
    <col min="1831" max="1833" width="9.28515625" style="688" bestFit="1" customWidth="1"/>
    <col min="1834" max="1834" width="9.5703125" style="688" bestFit="1" customWidth="1"/>
    <col min="1835" max="1837" width="9.28515625" style="688" bestFit="1" customWidth="1"/>
    <col min="1838" max="1838" width="9.5703125" style="688" bestFit="1" customWidth="1"/>
    <col min="1839" max="1841" width="9.28515625" style="688" bestFit="1" customWidth="1"/>
    <col min="1842" max="1842" width="9.5703125" style="688" bestFit="1" customWidth="1"/>
    <col min="1843" max="2048" width="9.140625" style="688"/>
    <col min="2049" max="2049" width="18.42578125" style="688" customWidth="1"/>
    <col min="2050" max="2050" width="10.85546875" style="688" customWidth="1"/>
    <col min="2051" max="2051" width="21.5703125" style="688" customWidth="1"/>
    <col min="2052" max="2052" width="22.42578125" style="688" customWidth="1"/>
    <col min="2053" max="2053" width="33" style="688" customWidth="1"/>
    <col min="2054" max="2061" width="0" style="688" hidden="1" customWidth="1"/>
    <col min="2062" max="2062" width="11.85546875" style="688" customWidth="1"/>
    <col min="2063" max="2063" width="10.42578125" style="688" customWidth="1"/>
    <col min="2064" max="2064" width="11.140625" style="688" customWidth="1"/>
    <col min="2065" max="2065" width="7.7109375" style="688" customWidth="1"/>
    <col min="2066" max="2066" width="12.140625" style="688" customWidth="1"/>
    <col min="2067" max="2067" width="16.5703125" style="688" customWidth="1"/>
    <col min="2068" max="2068" width="3.85546875" style="688" customWidth="1"/>
    <col min="2069" max="2080" width="10" style="688" customWidth="1"/>
    <col min="2081" max="2081" width="11.140625" style="688" customWidth="1"/>
    <col min="2082" max="2084" width="9.28515625" style="688" customWidth="1"/>
    <col min="2085" max="2086" width="9.5703125" style="688" customWidth="1"/>
    <col min="2087" max="2089" width="9.28515625" style="688" bestFit="1" customWidth="1"/>
    <col min="2090" max="2090" width="9.5703125" style="688" bestFit="1" customWidth="1"/>
    <col min="2091" max="2093" width="9.28515625" style="688" bestFit="1" customWidth="1"/>
    <col min="2094" max="2094" width="9.5703125" style="688" bestFit="1" customWidth="1"/>
    <col min="2095" max="2097" width="9.28515625" style="688" bestFit="1" customWidth="1"/>
    <col min="2098" max="2098" width="9.5703125" style="688" bestFit="1" customWidth="1"/>
    <col min="2099" max="2304" width="9.140625" style="688"/>
    <col min="2305" max="2305" width="18.42578125" style="688" customWidth="1"/>
    <col min="2306" max="2306" width="10.85546875" style="688" customWidth="1"/>
    <col min="2307" max="2307" width="21.5703125" style="688" customWidth="1"/>
    <col min="2308" max="2308" width="22.42578125" style="688" customWidth="1"/>
    <col min="2309" max="2309" width="33" style="688" customWidth="1"/>
    <col min="2310" max="2317" width="0" style="688" hidden="1" customWidth="1"/>
    <col min="2318" max="2318" width="11.85546875" style="688" customWidth="1"/>
    <col min="2319" max="2319" width="10.42578125" style="688" customWidth="1"/>
    <col min="2320" max="2320" width="11.140625" style="688" customWidth="1"/>
    <col min="2321" max="2321" width="7.7109375" style="688" customWidth="1"/>
    <col min="2322" max="2322" width="12.140625" style="688" customWidth="1"/>
    <col min="2323" max="2323" width="16.5703125" style="688" customWidth="1"/>
    <col min="2324" max="2324" width="3.85546875" style="688" customWidth="1"/>
    <col min="2325" max="2336" width="10" style="688" customWidth="1"/>
    <col min="2337" max="2337" width="11.140625" style="688" customWidth="1"/>
    <col min="2338" max="2340" width="9.28515625" style="688" customWidth="1"/>
    <col min="2341" max="2342" width="9.5703125" style="688" customWidth="1"/>
    <col min="2343" max="2345" width="9.28515625" style="688" bestFit="1" customWidth="1"/>
    <col min="2346" max="2346" width="9.5703125" style="688" bestFit="1" customWidth="1"/>
    <col min="2347" max="2349" width="9.28515625" style="688" bestFit="1" customWidth="1"/>
    <col min="2350" max="2350" width="9.5703125" style="688" bestFit="1" customWidth="1"/>
    <col min="2351" max="2353" width="9.28515625" style="688" bestFit="1" customWidth="1"/>
    <col min="2354" max="2354" width="9.5703125" style="688" bestFit="1" customWidth="1"/>
    <col min="2355" max="2560" width="9.140625" style="688"/>
    <col min="2561" max="2561" width="18.42578125" style="688" customWidth="1"/>
    <col min="2562" max="2562" width="10.85546875" style="688" customWidth="1"/>
    <col min="2563" max="2563" width="21.5703125" style="688" customWidth="1"/>
    <col min="2564" max="2564" width="22.42578125" style="688" customWidth="1"/>
    <col min="2565" max="2565" width="33" style="688" customWidth="1"/>
    <col min="2566" max="2573" width="0" style="688" hidden="1" customWidth="1"/>
    <col min="2574" max="2574" width="11.85546875" style="688" customWidth="1"/>
    <col min="2575" max="2575" width="10.42578125" style="688" customWidth="1"/>
    <col min="2576" max="2576" width="11.140625" style="688" customWidth="1"/>
    <col min="2577" max="2577" width="7.7109375" style="688" customWidth="1"/>
    <col min="2578" max="2578" width="12.140625" style="688" customWidth="1"/>
    <col min="2579" max="2579" width="16.5703125" style="688" customWidth="1"/>
    <col min="2580" max="2580" width="3.85546875" style="688" customWidth="1"/>
    <col min="2581" max="2592" width="10" style="688" customWidth="1"/>
    <col min="2593" max="2593" width="11.140625" style="688" customWidth="1"/>
    <col min="2594" max="2596" width="9.28515625" style="688" customWidth="1"/>
    <col min="2597" max="2598" width="9.5703125" style="688" customWidth="1"/>
    <col min="2599" max="2601" width="9.28515625" style="688" bestFit="1" customWidth="1"/>
    <col min="2602" max="2602" width="9.5703125" style="688" bestFit="1" customWidth="1"/>
    <col min="2603" max="2605" width="9.28515625" style="688" bestFit="1" customWidth="1"/>
    <col min="2606" max="2606" width="9.5703125" style="688" bestFit="1" customWidth="1"/>
    <col min="2607" max="2609" width="9.28515625" style="688" bestFit="1" customWidth="1"/>
    <col min="2610" max="2610" width="9.5703125" style="688" bestFit="1" customWidth="1"/>
    <col min="2611" max="2816" width="9.140625" style="688"/>
    <col min="2817" max="2817" width="18.42578125" style="688" customWidth="1"/>
    <col min="2818" max="2818" width="10.85546875" style="688" customWidth="1"/>
    <col min="2819" max="2819" width="21.5703125" style="688" customWidth="1"/>
    <col min="2820" max="2820" width="22.42578125" style="688" customWidth="1"/>
    <col min="2821" max="2821" width="33" style="688" customWidth="1"/>
    <col min="2822" max="2829" width="0" style="688" hidden="1" customWidth="1"/>
    <col min="2830" max="2830" width="11.85546875" style="688" customWidth="1"/>
    <col min="2831" max="2831" width="10.42578125" style="688" customWidth="1"/>
    <col min="2832" max="2832" width="11.140625" style="688" customWidth="1"/>
    <col min="2833" max="2833" width="7.7109375" style="688" customWidth="1"/>
    <col min="2834" max="2834" width="12.140625" style="688" customWidth="1"/>
    <col min="2835" max="2835" width="16.5703125" style="688" customWidth="1"/>
    <col min="2836" max="2836" width="3.85546875" style="688" customWidth="1"/>
    <col min="2837" max="2848" width="10" style="688" customWidth="1"/>
    <col min="2849" max="2849" width="11.140625" style="688" customWidth="1"/>
    <col min="2850" max="2852" width="9.28515625" style="688" customWidth="1"/>
    <col min="2853" max="2854" width="9.5703125" style="688" customWidth="1"/>
    <col min="2855" max="2857" width="9.28515625" style="688" bestFit="1" customWidth="1"/>
    <col min="2858" max="2858" width="9.5703125" style="688" bestFit="1" customWidth="1"/>
    <col min="2859" max="2861" width="9.28515625" style="688" bestFit="1" customWidth="1"/>
    <col min="2862" max="2862" width="9.5703125" style="688" bestFit="1" customWidth="1"/>
    <col min="2863" max="2865" width="9.28515625" style="688" bestFit="1" customWidth="1"/>
    <col min="2866" max="2866" width="9.5703125" style="688" bestFit="1" customWidth="1"/>
    <col min="2867" max="3072" width="9.140625" style="688"/>
    <col min="3073" max="3073" width="18.42578125" style="688" customWidth="1"/>
    <col min="3074" max="3074" width="10.85546875" style="688" customWidth="1"/>
    <col min="3075" max="3075" width="21.5703125" style="688" customWidth="1"/>
    <col min="3076" max="3076" width="22.42578125" style="688" customWidth="1"/>
    <col min="3077" max="3077" width="33" style="688" customWidth="1"/>
    <col min="3078" max="3085" width="0" style="688" hidden="1" customWidth="1"/>
    <col min="3086" max="3086" width="11.85546875" style="688" customWidth="1"/>
    <col min="3087" max="3087" width="10.42578125" style="688" customWidth="1"/>
    <col min="3088" max="3088" width="11.140625" style="688" customWidth="1"/>
    <col min="3089" max="3089" width="7.7109375" style="688" customWidth="1"/>
    <col min="3090" max="3090" width="12.140625" style="688" customWidth="1"/>
    <col min="3091" max="3091" width="16.5703125" style="688" customWidth="1"/>
    <col min="3092" max="3092" width="3.85546875" style="688" customWidth="1"/>
    <col min="3093" max="3104" width="10" style="688" customWidth="1"/>
    <col min="3105" max="3105" width="11.140625" style="688" customWidth="1"/>
    <col min="3106" max="3108" width="9.28515625" style="688" customWidth="1"/>
    <col min="3109" max="3110" width="9.5703125" style="688" customWidth="1"/>
    <col min="3111" max="3113" width="9.28515625" style="688" bestFit="1" customWidth="1"/>
    <col min="3114" max="3114" width="9.5703125" style="688" bestFit="1" customWidth="1"/>
    <col min="3115" max="3117" width="9.28515625" style="688" bestFit="1" customWidth="1"/>
    <col min="3118" max="3118" width="9.5703125" style="688" bestFit="1" customWidth="1"/>
    <col min="3119" max="3121" width="9.28515625" style="688" bestFit="1" customWidth="1"/>
    <col min="3122" max="3122" width="9.5703125" style="688" bestFit="1" customWidth="1"/>
    <col min="3123" max="3328" width="9.140625" style="688"/>
    <col min="3329" max="3329" width="18.42578125" style="688" customWidth="1"/>
    <col min="3330" max="3330" width="10.85546875" style="688" customWidth="1"/>
    <col min="3331" max="3331" width="21.5703125" style="688" customWidth="1"/>
    <col min="3332" max="3332" width="22.42578125" style="688" customWidth="1"/>
    <col min="3333" max="3333" width="33" style="688" customWidth="1"/>
    <col min="3334" max="3341" width="0" style="688" hidden="1" customWidth="1"/>
    <col min="3342" max="3342" width="11.85546875" style="688" customWidth="1"/>
    <col min="3343" max="3343" width="10.42578125" style="688" customWidth="1"/>
    <col min="3344" max="3344" width="11.140625" style="688" customWidth="1"/>
    <col min="3345" max="3345" width="7.7109375" style="688" customWidth="1"/>
    <col min="3346" max="3346" width="12.140625" style="688" customWidth="1"/>
    <col min="3347" max="3347" width="16.5703125" style="688" customWidth="1"/>
    <col min="3348" max="3348" width="3.85546875" style="688" customWidth="1"/>
    <col min="3349" max="3360" width="10" style="688" customWidth="1"/>
    <col min="3361" max="3361" width="11.140625" style="688" customWidth="1"/>
    <col min="3362" max="3364" width="9.28515625" style="688" customWidth="1"/>
    <col min="3365" max="3366" width="9.5703125" style="688" customWidth="1"/>
    <col min="3367" max="3369" width="9.28515625" style="688" bestFit="1" customWidth="1"/>
    <col min="3370" max="3370" width="9.5703125" style="688" bestFit="1" customWidth="1"/>
    <col min="3371" max="3373" width="9.28515625" style="688" bestFit="1" customWidth="1"/>
    <col min="3374" max="3374" width="9.5703125" style="688" bestFit="1" customWidth="1"/>
    <col min="3375" max="3377" width="9.28515625" style="688" bestFit="1" customWidth="1"/>
    <col min="3378" max="3378" width="9.5703125" style="688" bestFit="1" customWidth="1"/>
    <col min="3379" max="3584" width="9.140625" style="688"/>
    <col min="3585" max="3585" width="18.42578125" style="688" customWidth="1"/>
    <col min="3586" max="3586" width="10.85546875" style="688" customWidth="1"/>
    <col min="3587" max="3587" width="21.5703125" style="688" customWidth="1"/>
    <col min="3588" max="3588" width="22.42578125" style="688" customWidth="1"/>
    <col min="3589" max="3589" width="33" style="688" customWidth="1"/>
    <col min="3590" max="3597" width="0" style="688" hidden="1" customWidth="1"/>
    <col min="3598" max="3598" width="11.85546875" style="688" customWidth="1"/>
    <col min="3599" max="3599" width="10.42578125" style="688" customWidth="1"/>
    <col min="3600" max="3600" width="11.140625" style="688" customWidth="1"/>
    <col min="3601" max="3601" width="7.7109375" style="688" customWidth="1"/>
    <col min="3602" max="3602" width="12.140625" style="688" customWidth="1"/>
    <col min="3603" max="3603" width="16.5703125" style="688" customWidth="1"/>
    <col min="3604" max="3604" width="3.85546875" style="688" customWidth="1"/>
    <col min="3605" max="3616" width="10" style="688" customWidth="1"/>
    <col min="3617" max="3617" width="11.140625" style="688" customWidth="1"/>
    <col min="3618" max="3620" width="9.28515625" style="688" customWidth="1"/>
    <col min="3621" max="3622" width="9.5703125" style="688" customWidth="1"/>
    <col min="3623" max="3625" width="9.28515625" style="688" bestFit="1" customWidth="1"/>
    <col min="3626" max="3626" width="9.5703125" style="688" bestFit="1" customWidth="1"/>
    <col min="3627" max="3629" width="9.28515625" style="688" bestFit="1" customWidth="1"/>
    <col min="3630" max="3630" width="9.5703125" style="688" bestFit="1" customWidth="1"/>
    <col min="3631" max="3633" width="9.28515625" style="688" bestFit="1" customWidth="1"/>
    <col min="3634" max="3634" width="9.5703125" style="688" bestFit="1" customWidth="1"/>
    <col min="3635" max="3840" width="9.140625" style="688"/>
    <col min="3841" max="3841" width="18.42578125" style="688" customWidth="1"/>
    <col min="3842" max="3842" width="10.85546875" style="688" customWidth="1"/>
    <col min="3843" max="3843" width="21.5703125" style="688" customWidth="1"/>
    <col min="3844" max="3844" width="22.42578125" style="688" customWidth="1"/>
    <col min="3845" max="3845" width="33" style="688" customWidth="1"/>
    <col min="3846" max="3853" width="0" style="688" hidden="1" customWidth="1"/>
    <col min="3854" max="3854" width="11.85546875" style="688" customWidth="1"/>
    <col min="3855" max="3855" width="10.42578125" style="688" customWidth="1"/>
    <col min="3856" max="3856" width="11.140625" style="688" customWidth="1"/>
    <col min="3857" max="3857" width="7.7109375" style="688" customWidth="1"/>
    <col min="3858" max="3858" width="12.140625" style="688" customWidth="1"/>
    <col min="3859" max="3859" width="16.5703125" style="688" customWidth="1"/>
    <col min="3860" max="3860" width="3.85546875" style="688" customWidth="1"/>
    <col min="3861" max="3872" width="10" style="688" customWidth="1"/>
    <col min="3873" max="3873" width="11.140625" style="688" customWidth="1"/>
    <col min="3874" max="3876" width="9.28515625" style="688" customWidth="1"/>
    <col min="3877" max="3878" width="9.5703125" style="688" customWidth="1"/>
    <col min="3879" max="3881" width="9.28515625" style="688" bestFit="1" customWidth="1"/>
    <col min="3882" max="3882" width="9.5703125" style="688" bestFit="1" customWidth="1"/>
    <col min="3883" max="3885" width="9.28515625" style="688" bestFit="1" customWidth="1"/>
    <col min="3886" max="3886" width="9.5703125" style="688" bestFit="1" customWidth="1"/>
    <col min="3887" max="3889" width="9.28515625" style="688" bestFit="1" customWidth="1"/>
    <col min="3890" max="3890" width="9.5703125" style="688" bestFit="1" customWidth="1"/>
    <col min="3891" max="4096" width="9.140625" style="688"/>
    <col min="4097" max="4097" width="18.42578125" style="688" customWidth="1"/>
    <col min="4098" max="4098" width="10.85546875" style="688" customWidth="1"/>
    <col min="4099" max="4099" width="21.5703125" style="688" customWidth="1"/>
    <col min="4100" max="4100" width="22.42578125" style="688" customWidth="1"/>
    <col min="4101" max="4101" width="33" style="688" customWidth="1"/>
    <col min="4102" max="4109" width="0" style="688" hidden="1" customWidth="1"/>
    <col min="4110" max="4110" width="11.85546875" style="688" customWidth="1"/>
    <col min="4111" max="4111" width="10.42578125" style="688" customWidth="1"/>
    <col min="4112" max="4112" width="11.140625" style="688" customWidth="1"/>
    <col min="4113" max="4113" width="7.7109375" style="688" customWidth="1"/>
    <col min="4114" max="4114" width="12.140625" style="688" customWidth="1"/>
    <col min="4115" max="4115" width="16.5703125" style="688" customWidth="1"/>
    <col min="4116" max="4116" width="3.85546875" style="688" customWidth="1"/>
    <col min="4117" max="4128" width="10" style="688" customWidth="1"/>
    <col min="4129" max="4129" width="11.140625" style="688" customWidth="1"/>
    <col min="4130" max="4132" width="9.28515625" style="688" customWidth="1"/>
    <col min="4133" max="4134" width="9.5703125" style="688" customWidth="1"/>
    <col min="4135" max="4137" width="9.28515625" style="688" bestFit="1" customWidth="1"/>
    <col min="4138" max="4138" width="9.5703125" style="688" bestFit="1" customWidth="1"/>
    <col min="4139" max="4141" width="9.28515625" style="688" bestFit="1" customWidth="1"/>
    <col min="4142" max="4142" width="9.5703125" style="688" bestFit="1" customWidth="1"/>
    <col min="4143" max="4145" width="9.28515625" style="688" bestFit="1" customWidth="1"/>
    <col min="4146" max="4146" width="9.5703125" style="688" bestFit="1" customWidth="1"/>
    <col min="4147" max="4352" width="9.140625" style="688"/>
    <col min="4353" max="4353" width="18.42578125" style="688" customWidth="1"/>
    <col min="4354" max="4354" width="10.85546875" style="688" customWidth="1"/>
    <col min="4355" max="4355" width="21.5703125" style="688" customWidth="1"/>
    <col min="4356" max="4356" width="22.42578125" style="688" customWidth="1"/>
    <col min="4357" max="4357" width="33" style="688" customWidth="1"/>
    <col min="4358" max="4365" width="0" style="688" hidden="1" customWidth="1"/>
    <col min="4366" max="4366" width="11.85546875" style="688" customWidth="1"/>
    <col min="4367" max="4367" width="10.42578125" style="688" customWidth="1"/>
    <col min="4368" max="4368" width="11.140625" style="688" customWidth="1"/>
    <col min="4369" max="4369" width="7.7109375" style="688" customWidth="1"/>
    <col min="4370" max="4370" width="12.140625" style="688" customWidth="1"/>
    <col min="4371" max="4371" width="16.5703125" style="688" customWidth="1"/>
    <col min="4372" max="4372" width="3.85546875" style="688" customWidth="1"/>
    <col min="4373" max="4384" width="10" style="688" customWidth="1"/>
    <col min="4385" max="4385" width="11.140625" style="688" customWidth="1"/>
    <col min="4386" max="4388" width="9.28515625" style="688" customWidth="1"/>
    <col min="4389" max="4390" width="9.5703125" style="688" customWidth="1"/>
    <col min="4391" max="4393" width="9.28515625" style="688" bestFit="1" customWidth="1"/>
    <col min="4394" max="4394" width="9.5703125" style="688" bestFit="1" customWidth="1"/>
    <col min="4395" max="4397" width="9.28515625" style="688" bestFit="1" customWidth="1"/>
    <col min="4398" max="4398" width="9.5703125" style="688" bestFit="1" customWidth="1"/>
    <col min="4399" max="4401" width="9.28515625" style="688" bestFit="1" customWidth="1"/>
    <col min="4402" max="4402" width="9.5703125" style="688" bestFit="1" customWidth="1"/>
    <col min="4403" max="4608" width="9.140625" style="688"/>
    <col min="4609" max="4609" width="18.42578125" style="688" customWidth="1"/>
    <col min="4610" max="4610" width="10.85546875" style="688" customWidth="1"/>
    <col min="4611" max="4611" width="21.5703125" style="688" customWidth="1"/>
    <col min="4612" max="4612" width="22.42578125" style="688" customWidth="1"/>
    <col min="4613" max="4613" width="33" style="688" customWidth="1"/>
    <col min="4614" max="4621" width="0" style="688" hidden="1" customWidth="1"/>
    <col min="4622" max="4622" width="11.85546875" style="688" customWidth="1"/>
    <col min="4623" max="4623" width="10.42578125" style="688" customWidth="1"/>
    <col min="4624" max="4624" width="11.140625" style="688" customWidth="1"/>
    <col min="4625" max="4625" width="7.7109375" style="688" customWidth="1"/>
    <col min="4626" max="4626" width="12.140625" style="688" customWidth="1"/>
    <col min="4627" max="4627" width="16.5703125" style="688" customWidth="1"/>
    <col min="4628" max="4628" width="3.85546875" style="688" customWidth="1"/>
    <col min="4629" max="4640" width="10" style="688" customWidth="1"/>
    <col min="4641" max="4641" width="11.140625" style="688" customWidth="1"/>
    <col min="4642" max="4644" width="9.28515625" style="688" customWidth="1"/>
    <col min="4645" max="4646" width="9.5703125" style="688" customWidth="1"/>
    <col min="4647" max="4649" width="9.28515625" style="688" bestFit="1" customWidth="1"/>
    <col min="4650" max="4650" width="9.5703125" style="688" bestFit="1" customWidth="1"/>
    <col min="4651" max="4653" width="9.28515625" style="688" bestFit="1" customWidth="1"/>
    <col min="4654" max="4654" width="9.5703125" style="688" bestFit="1" customWidth="1"/>
    <col min="4655" max="4657" width="9.28515625" style="688" bestFit="1" customWidth="1"/>
    <col min="4658" max="4658" width="9.5703125" style="688" bestFit="1" customWidth="1"/>
    <col min="4659" max="4864" width="9.140625" style="688"/>
    <col min="4865" max="4865" width="18.42578125" style="688" customWidth="1"/>
    <col min="4866" max="4866" width="10.85546875" style="688" customWidth="1"/>
    <col min="4867" max="4867" width="21.5703125" style="688" customWidth="1"/>
    <col min="4868" max="4868" width="22.42578125" style="688" customWidth="1"/>
    <col min="4869" max="4869" width="33" style="688" customWidth="1"/>
    <col min="4870" max="4877" width="0" style="688" hidden="1" customWidth="1"/>
    <col min="4878" max="4878" width="11.85546875" style="688" customWidth="1"/>
    <col min="4879" max="4879" width="10.42578125" style="688" customWidth="1"/>
    <col min="4880" max="4880" width="11.140625" style="688" customWidth="1"/>
    <col min="4881" max="4881" width="7.7109375" style="688" customWidth="1"/>
    <col min="4882" max="4882" width="12.140625" style="688" customWidth="1"/>
    <col min="4883" max="4883" width="16.5703125" style="688" customWidth="1"/>
    <col min="4884" max="4884" width="3.85546875" style="688" customWidth="1"/>
    <col min="4885" max="4896" width="10" style="688" customWidth="1"/>
    <col min="4897" max="4897" width="11.140625" style="688" customWidth="1"/>
    <col min="4898" max="4900" width="9.28515625" style="688" customWidth="1"/>
    <col min="4901" max="4902" width="9.5703125" style="688" customWidth="1"/>
    <col min="4903" max="4905" width="9.28515625" style="688" bestFit="1" customWidth="1"/>
    <col min="4906" max="4906" width="9.5703125" style="688" bestFit="1" customWidth="1"/>
    <col min="4907" max="4909" width="9.28515625" style="688" bestFit="1" customWidth="1"/>
    <col min="4910" max="4910" width="9.5703125" style="688" bestFit="1" customWidth="1"/>
    <col min="4911" max="4913" width="9.28515625" style="688" bestFit="1" customWidth="1"/>
    <col min="4914" max="4914" width="9.5703125" style="688" bestFit="1" customWidth="1"/>
    <col min="4915" max="5120" width="9.140625" style="688"/>
    <col min="5121" max="5121" width="18.42578125" style="688" customWidth="1"/>
    <col min="5122" max="5122" width="10.85546875" style="688" customWidth="1"/>
    <col min="5123" max="5123" width="21.5703125" style="688" customWidth="1"/>
    <col min="5124" max="5124" width="22.42578125" style="688" customWidth="1"/>
    <col min="5125" max="5125" width="33" style="688" customWidth="1"/>
    <col min="5126" max="5133" width="0" style="688" hidden="1" customWidth="1"/>
    <col min="5134" max="5134" width="11.85546875" style="688" customWidth="1"/>
    <col min="5135" max="5135" width="10.42578125" style="688" customWidth="1"/>
    <col min="5136" max="5136" width="11.140625" style="688" customWidth="1"/>
    <col min="5137" max="5137" width="7.7109375" style="688" customWidth="1"/>
    <col min="5138" max="5138" width="12.140625" style="688" customWidth="1"/>
    <col min="5139" max="5139" width="16.5703125" style="688" customWidth="1"/>
    <col min="5140" max="5140" width="3.85546875" style="688" customWidth="1"/>
    <col min="5141" max="5152" width="10" style="688" customWidth="1"/>
    <col min="5153" max="5153" width="11.140625" style="688" customWidth="1"/>
    <col min="5154" max="5156" width="9.28515625" style="688" customWidth="1"/>
    <col min="5157" max="5158" width="9.5703125" style="688" customWidth="1"/>
    <col min="5159" max="5161" width="9.28515625" style="688" bestFit="1" customWidth="1"/>
    <col min="5162" max="5162" width="9.5703125" style="688" bestFit="1" customWidth="1"/>
    <col min="5163" max="5165" width="9.28515625" style="688" bestFit="1" customWidth="1"/>
    <col min="5166" max="5166" width="9.5703125" style="688" bestFit="1" customWidth="1"/>
    <col min="5167" max="5169" width="9.28515625" style="688" bestFit="1" customWidth="1"/>
    <col min="5170" max="5170" width="9.5703125" style="688" bestFit="1" customWidth="1"/>
    <col min="5171" max="5376" width="9.140625" style="688"/>
    <col min="5377" max="5377" width="18.42578125" style="688" customWidth="1"/>
    <col min="5378" max="5378" width="10.85546875" style="688" customWidth="1"/>
    <col min="5379" max="5379" width="21.5703125" style="688" customWidth="1"/>
    <col min="5380" max="5380" width="22.42578125" style="688" customWidth="1"/>
    <col min="5381" max="5381" width="33" style="688" customWidth="1"/>
    <col min="5382" max="5389" width="0" style="688" hidden="1" customWidth="1"/>
    <col min="5390" max="5390" width="11.85546875" style="688" customWidth="1"/>
    <col min="5391" max="5391" width="10.42578125" style="688" customWidth="1"/>
    <col min="5392" max="5392" width="11.140625" style="688" customWidth="1"/>
    <col min="5393" max="5393" width="7.7109375" style="688" customWidth="1"/>
    <col min="5394" max="5394" width="12.140625" style="688" customWidth="1"/>
    <col min="5395" max="5395" width="16.5703125" style="688" customWidth="1"/>
    <col min="5396" max="5396" width="3.85546875" style="688" customWidth="1"/>
    <col min="5397" max="5408" width="10" style="688" customWidth="1"/>
    <col min="5409" max="5409" width="11.140625" style="688" customWidth="1"/>
    <col min="5410" max="5412" width="9.28515625" style="688" customWidth="1"/>
    <col min="5413" max="5414" width="9.5703125" style="688" customWidth="1"/>
    <col min="5415" max="5417" width="9.28515625" style="688" bestFit="1" customWidth="1"/>
    <col min="5418" max="5418" width="9.5703125" style="688" bestFit="1" customWidth="1"/>
    <col min="5419" max="5421" width="9.28515625" style="688" bestFit="1" customWidth="1"/>
    <col min="5422" max="5422" width="9.5703125" style="688" bestFit="1" customWidth="1"/>
    <col min="5423" max="5425" width="9.28515625" style="688" bestFit="1" customWidth="1"/>
    <col min="5426" max="5426" width="9.5703125" style="688" bestFit="1" customWidth="1"/>
    <col min="5427" max="5632" width="9.140625" style="688"/>
    <col min="5633" max="5633" width="18.42578125" style="688" customWidth="1"/>
    <col min="5634" max="5634" width="10.85546875" style="688" customWidth="1"/>
    <col min="5635" max="5635" width="21.5703125" style="688" customWidth="1"/>
    <col min="5636" max="5636" width="22.42578125" style="688" customWidth="1"/>
    <col min="5637" max="5637" width="33" style="688" customWidth="1"/>
    <col min="5638" max="5645" width="0" style="688" hidden="1" customWidth="1"/>
    <col min="5646" max="5646" width="11.85546875" style="688" customWidth="1"/>
    <col min="5647" max="5647" width="10.42578125" style="688" customWidth="1"/>
    <col min="5648" max="5648" width="11.140625" style="688" customWidth="1"/>
    <col min="5649" max="5649" width="7.7109375" style="688" customWidth="1"/>
    <col min="5650" max="5650" width="12.140625" style="688" customWidth="1"/>
    <col min="5651" max="5651" width="16.5703125" style="688" customWidth="1"/>
    <col min="5652" max="5652" width="3.85546875" style="688" customWidth="1"/>
    <col min="5653" max="5664" width="10" style="688" customWidth="1"/>
    <col min="5665" max="5665" width="11.140625" style="688" customWidth="1"/>
    <col min="5666" max="5668" width="9.28515625" style="688" customWidth="1"/>
    <col min="5669" max="5670" width="9.5703125" style="688" customWidth="1"/>
    <col min="5671" max="5673" width="9.28515625" style="688" bestFit="1" customWidth="1"/>
    <col min="5674" max="5674" width="9.5703125" style="688" bestFit="1" customWidth="1"/>
    <col min="5675" max="5677" width="9.28515625" style="688" bestFit="1" customWidth="1"/>
    <col min="5678" max="5678" width="9.5703125" style="688" bestFit="1" customWidth="1"/>
    <col min="5679" max="5681" width="9.28515625" style="688" bestFit="1" customWidth="1"/>
    <col min="5682" max="5682" width="9.5703125" style="688" bestFit="1" customWidth="1"/>
    <col min="5683" max="5888" width="9.140625" style="688"/>
    <col min="5889" max="5889" width="18.42578125" style="688" customWidth="1"/>
    <col min="5890" max="5890" width="10.85546875" style="688" customWidth="1"/>
    <col min="5891" max="5891" width="21.5703125" style="688" customWidth="1"/>
    <col min="5892" max="5892" width="22.42578125" style="688" customWidth="1"/>
    <col min="5893" max="5893" width="33" style="688" customWidth="1"/>
    <col min="5894" max="5901" width="0" style="688" hidden="1" customWidth="1"/>
    <col min="5902" max="5902" width="11.85546875" style="688" customWidth="1"/>
    <col min="5903" max="5903" width="10.42578125" style="688" customWidth="1"/>
    <col min="5904" max="5904" width="11.140625" style="688" customWidth="1"/>
    <col min="5905" max="5905" width="7.7109375" style="688" customWidth="1"/>
    <col min="5906" max="5906" width="12.140625" style="688" customWidth="1"/>
    <col min="5907" max="5907" width="16.5703125" style="688" customWidth="1"/>
    <col min="5908" max="5908" width="3.85546875" style="688" customWidth="1"/>
    <col min="5909" max="5920" width="10" style="688" customWidth="1"/>
    <col min="5921" max="5921" width="11.140625" style="688" customWidth="1"/>
    <col min="5922" max="5924" width="9.28515625" style="688" customWidth="1"/>
    <col min="5925" max="5926" width="9.5703125" style="688" customWidth="1"/>
    <col min="5927" max="5929" width="9.28515625" style="688" bestFit="1" customWidth="1"/>
    <col min="5930" max="5930" width="9.5703125" style="688" bestFit="1" customWidth="1"/>
    <col min="5931" max="5933" width="9.28515625" style="688" bestFit="1" customWidth="1"/>
    <col min="5934" max="5934" width="9.5703125" style="688" bestFit="1" customWidth="1"/>
    <col min="5935" max="5937" width="9.28515625" style="688" bestFit="1" customWidth="1"/>
    <col min="5938" max="5938" width="9.5703125" style="688" bestFit="1" customWidth="1"/>
    <col min="5939" max="6144" width="9.140625" style="688"/>
    <col min="6145" max="6145" width="18.42578125" style="688" customWidth="1"/>
    <col min="6146" max="6146" width="10.85546875" style="688" customWidth="1"/>
    <col min="6147" max="6147" width="21.5703125" style="688" customWidth="1"/>
    <col min="6148" max="6148" width="22.42578125" style="688" customWidth="1"/>
    <col min="6149" max="6149" width="33" style="688" customWidth="1"/>
    <col min="6150" max="6157" width="0" style="688" hidden="1" customWidth="1"/>
    <col min="6158" max="6158" width="11.85546875" style="688" customWidth="1"/>
    <col min="6159" max="6159" width="10.42578125" style="688" customWidth="1"/>
    <col min="6160" max="6160" width="11.140625" style="688" customWidth="1"/>
    <col min="6161" max="6161" width="7.7109375" style="688" customWidth="1"/>
    <col min="6162" max="6162" width="12.140625" style="688" customWidth="1"/>
    <col min="6163" max="6163" width="16.5703125" style="688" customWidth="1"/>
    <col min="6164" max="6164" width="3.85546875" style="688" customWidth="1"/>
    <col min="6165" max="6176" width="10" style="688" customWidth="1"/>
    <col min="6177" max="6177" width="11.140625" style="688" customWidth="1"/>
    <col min="6178" max="6180" width="9.28515625" style="688" customWidth="1"/>
    <col min="6181" max="6182" width="9.5703125" style="688" customWidth="1"/>
    <col min="6183" max="6185" width="9.28515625" style="688" bestFit="1" customWidth="1"/>
    <col min="6186" max="6186" width="9.5703125" style="688" bestFit="1" customWidth="1"/>
    <col min="6187" max="6189" width="9.28515625" style="688" bestFit="1" customWidth="1"/>
    <col min="6190" max="6190" width="9.5703125" style="688" bestFit="1" customWidth="1"/>
    <col min="6191" max="6193" width="9.28515625" style="688" bestFit="1" customWidth="1"/>
    <col min="6194" max="6194" width="9.5703125" style="688" bestFit="1" customWidth="1"/>
    <col min="6195" max="6400" width="9.140625" style="688"/>
    <col min="6401" max="6401" width="18.42578125" style="688" customWidth="1"/>
    <col min="6402" max="6402" width="10.85546875" style="688" customWidth="1"/>
    <col min="6403" max="6403" width="21.5703125" style="688" customWidth="1"/>
    <col min="6404" max="6404" width="22.42578125" style="688" customWidth="1"/>
    <col min="6405" max="6405" width="33" style="688" customWidth="1"/>
    <col min="6406" max="6413" width="0" style="688" hidden="1" customWidth="1"/>
    <col min="6414" max="6414" width="11.85546875" style="688" customWidth="1"/>
    <col min="6415" max="6415" width="10.42578125" style="688" customWidth="1"/>
    <col min="6416" max="6416" width="11.140625" style="688" customWidth="1"/>
    <col min="6417" max="6417" width="7.7109375" style="688" customWidth="1"/>
    <col min="6418" max="6418" width="12.140625" style="688" customWidth="1"/>
    <col min="6419" max="6419" width="16.5703125" style="688" customWidth="1"/>
    <col min="6420" max="6420" width="3.85546875" style="688" customWidth="1"/>
    <col min="6421" max="6432" width="10" style="688" customWidth="1"/>
    <col min="6433" max="6433" width="11.140625" style="688" customWidth="1"/>
    <col min="6434" max="6436" width="9.28515625" style="688" customWidth="1"/>
    <col min="6437" max="6438" width="9.5703125" style="688" customWidth="1"/>
    <col min="6439" max="6441" width="9.28515625" style="688" bestFit="1" customWidth="1"/>
    <col min="6442" max="6442" width="9.5703125" style="688" bestFit="1" customWidth="1"/>
    <col min="6443" max="6445" width="9.28515625" style="688" bestFit="1" customWidth="1"/>
    <col min="6446" max="6446" width="9.5703125" style="688" bestFit="1" customWidth="1"/>
    <col min="6447" max="6449" width="9.28515625" style="688" bestFit="1" customWidth="1"/>
    <col min="6450" max="6450" width="9.5703125" style="688" bestFit="1" customWidth="1"/>
    <col min="6451" max="6656" width="9.140625" style="688"/>
    <col min="6657" max="6657" width="18.42578125" style="688" customWidth="1"/>
    <col min="6658" max="6658" width="10.85546875" style="688" customWidth="1"/>
    <col min="6659" max="6659" width="21.5703125" style="688" customWidth="1"/>
    <col min="6660" max="6660" width="22.42578125" style="688" customWidth="1"/>
    <col min="6661" max="6661" width="33" style="688" customWidth="1"/>
    <col min="6662" max="6669" width="0" style="688" hidden="1" customWidth="1"/>
    <col min="6670" max="6670" width="11.85546875" style="688" customWidth="1"/>
    <col min="6671" max="6671" width="10.42578125" style="688" customWidth="1"/>
    <col min="6672" max="6672" width="11.140625" style="688" customWidth="1"/>
    <col min="6673" max="6673" width="7.7109375" style="688" customWidth="1"/>
    <col min="6674" max="6674" width="12.140625" style="688" customWidth="1"/>
    <col min="6675" max="6675" width="16.5703125" style="688" customWidth="1"/>
    <col min="6676" max="6676" width="3.85546875" style="688" customWidth="1"/>
    <col min="6677" max="6688" width="10" style="688" customWidth="1"/>
    <col min="6689" max="6689" width="11.140625" style="688" customWidth="1"/>
    <col min="6690" max="6692" width="9.28515625" style="688" customWidth="1"/>
    <col min="6693" max="6694" width="9.5703125" style="688" customWidth="1"/>
    <col min="6695" max="6697" width="9.28515625" style="688" bestFit="1" customWidth="1"/>
    <col min="6698" max="6698" width="9.5703125" style="688" bestFit="1" customWidth="1"/>
    <col min="6699" max="6701" width="9.28515625" style="688" bestFit="1" customWidth="1"/>
    <col min="6702" max="6702" width="9.5703125" style="688" bestFit="1" customWidth="1"/>
    <col min="6703" max="6705" width="9.28515625" style="688" bestFit="1" customWidth="1"/>
    <col min="6706" max="6706" width="9.5703125" style="688" bestFit="1" customWidth="1"/>
    <col min="6707" max="6912" width="9.140625" style="688"/>
    <col min="6913" max="6913" width="18.42578125" style="688" customWidth="1"/>
    <col min="6914" max="6914" width="10.85546875" style="688" customWidth="1"/>
    <col min="6915" max="6915" width="21.5703125" style="688" customWidth="1"/>
    <col min="6916" max="6916" width="22.42578125" style="688" customWidth="1"/>
    <col min="6917" max="6917" width="33" style="688" customWidth="1"/>
    <col min="6918" max="6925" width="0" style="688" hidden="1" customWidth="1"/>
    <col min="6926" max="6926" width="11.85546875" style="688" customWidth="1"/>
    <col min="6927" max="6927" width="10.42578125" style="688" customWidth="1"/>
    <col min="6928" max="6928" width="11.140625" style="688" customWidth="1"/>
    <col min="6929" max="6929" width="7.7109375" style="688" customWidth="1"/>
    <col min="6930" max="6930" width="12.140625" style="688" customWidth="1"/>
    <col min="6931" max="6931" width="16.5703125" style="688" customWidth="1"/>
    <col min="6932" max="6932" width="3.85546875" style="688" customWidth="1"/>
    <col min="6933" max="6944" width="10" style="688" customWidth="1"/>
    <col min="6945" max="6945" width="11.140625" style="688" customWidth="1"/>
    <col min="6946" max="6948" width="9.28515625" style="688" customWidth="1"/>
    <col min="6949" max="6950" width="9.5703125" style="688" customWidth="1"/>
    <col min="6951" max="6953" width="9.28515625" style="688" bestFit="1" customWidth="1"/>
    <col min="6954" max="6954" width="9.5703125" style="688" bestFit="1" customWidth="1"/>
    <col min="6955" max="6957" width="9.28515625" style="688" bestFit="1" customWidth="1"/>
    <col min="6958" max="6958" width="9.5703125" style="688" bestFit="1" customWidth="1"/>
    <col min="6959" max="6961" width="9.28515625" style="688" bestFit="1" customWidth="1"/>
    <col min="6962" max="6962" width="9.5703125" style="688" bestFit="1" customWidth="1"/>
    <col min="6963" max="7168" width="9.140625" style="688"/>
    <col min="7169" max="7169" width="18.42578125" style="688" customWidth="1"/>
    <col min="7170" max="7170" width="10.85546875" style="688" customWidth="1"/>
    <col min="7171" max="7171" width="21.5703125" style="688" customWidth="1"/>
    <col min="7172" max="7172" width="22.42578125" style="688" customWidth="1"/>
    <col min="7173" max="7173" width="33" style="688" customWidth="1"/>
    <col min="7174" max="7181" width="0" style="688" hidden="1" customWidth="1"/>
    <col min="7182" max="7182" width="11.85546875" style="688" customWidth="1"/>
    <col min="7183" max="7183" width="10.42578125" style="688" customWidth="1"/>
    <col min="7184" max="7184" width="11.140625" style="688" customWidth="1"/>
    <col min="7185" max="7185" width="7.7109375" style="688" customWidth="1"/>
    <col min="7186" max="7186" width="12.140625" style="688" customWidth="1"/>
    <col min="7187" max="7187" width="16.5703125" style="688" customWidth="1"/>
    <col min="7188" max="7188" width="3.85546875" style="688" customWidth="1"/>
    <col min="7189" max="7200" width="10" style="688" customWidth="1"/>
    <col min="7201" max="7201" width="11.140625" style="688" customWidth="1"/>
    <col min="7202" max="7204" width="9.28515625" style="688" customWidth="1"/>
    <col min="7205" max="7206" width="9.5703125" style="688" customWidth="1"/>
    <col min="7207" max="7209" width="9.28515625" style="688" bestFit="1" customWidth="1"/>
    <col min="7210" max="7210" width="9.5703125" style="688" bestFit="1" customWidth="1"/>
    <col min="7211" max="7213" width="9.28515625" style="688" bestFit="1" customWidth="1"/>
    <col min="7214" max="7214" width="9.5703125" style="688" bestFit="1" customWidth="1"/>
    <col min="7215" max="7217" width="9.28515625" style="688" bestFit="1" customWidth="1"/>
    <col min="7218" max="7218" width="9.5703125" style="688" bestFit="1" customWidth="1"/>
    <col min="7219" max="7424" width="9.140625" style="688"/>
    <col min="7425" max="7425" width="18.42578125" style="688" customWidth="1"/>
    <col min="7426" max="7426" width="10.85546875" style="688" customWidth="1"/>
    <col min="7427" max="7427" width="21.5703125" style="688" customWidth="1"/>
    <col min="7428" max="7428" width="22.42578125" style="688" customWidth="1"/>
    <col min="7429" max="7429" width="33" style="688" customWidth="1"/>
    <col min="7430" max="7437" width="0" style="688" hidden="1" customWidth="1"/>
    <col min="7438" max="7438" width="11.85546875" style="688" customWidth="1"/>
    <col min="7439" max="7439" width="10.42578125" style="688" customWidth="1"/>
    <col min="7440" max="7440" width="11.140625" style="688" customWidth="1"/>
    <col min="7441" max="7441" width="7.7109375" style="688" customWidth="1"/>
    <col min="7442" max="7442" width="12.140625" style="688" customWidth="1"/>
    <col min="7443" max="7443" width="16.5703125" style="688" customWidth="1"/>
    <col min="7444" max="7444" width="3.85546875" style="688" customWidth="1"/>
    <col min="7445" max="7456" width="10" style="688" customWidth="1"/>
    <col min="7457" max="7457" width="11.140625" style="688" customWidth="1"/>
    <col min="7458" max="7460" width="9.28515625" style="688" customWidth="1"/>
    <col min="7461" max="7462" width="9.5703125" style="688" customWidth="1"/>
    <col min="7463" max="7465" width="9.28515625" style="688" bestFit="1" customWidth="1"/>
    <col min="7466" max="7466" width="9.5703125" style="688" bestFit="1" customWidth="1"/>
    <col min="7467" max="7469" width="9.28515625" style="688" bestFit="1" customWidth="1"/>
    <col min="7470" max="7470" width="9.5703125" style="688" bestFit="1" customWidth="1"/>
    <col min="7471" max="7473" width="9.28515625" style="688" bestFit="1" customWidth="1"/>
    <col min="7474" max="7474" width="9.5703125" style="688" bestFit="1" customWidth="1"/>
    <col min="7475" max="7680" width="9.140625" style="688"/>
    <col min="7681" max="7681" width="18.42578125" style="688" customWidth="1"/>
    <col min="7682" max="7682" width="10.85546875" style="688" customWidth="1"/>
    <col min="7683" max="7683" width="21.5703125" style="688" customWidth="1"/>
    <col min="7684" max="7684" width="22.42578125" style="688" customWidth="1"/>
    <col min="7685" max="7685" width="33" style="688" customWidth="1"/>
    <col min="7686" max="7693" width="0" style="688" hidden="1" customWidth="1"/>
    <col min="7694" max="7694" width="11.85546875" style="688" customWidth="1"/>
    <col min="7695" max="7695" width="10.42578125" style="688" customWidth="1"/>
    <col min="7696" max="7696" width="11.140625" style="688" customWidth="1"/>
    <col min="7697" max="7697" width="7.7109375" style="688" customWidth="1"/>
    <col min="7698" max="7698" width="12.140625" style="688" customWidth="1"/>
    <col min="7699" max="7699" width="16.5703125" style="688" customWidth="1"/>
    <col min="7700" max="7700" width="3.85546875" style="688" customWidth="1"/>
    <col min="7701" max="7712" width="10" style="688" customWidth="1"/>
    <col min="7713" max="7713" width="11.140625" style="688" customWidth="1"/>
    <col min="7714" max="7716" width="9.28515625" style="688" customWidth="1"/>
    <col min="7717" max="7718" width="9.5703125" style="688" customWidth="1"/>
    <col min="7719" max="7721" width="9.28515625" style="688" bestFit="1" customWidth="1"/>
    <col min="7722" max="7722" width="9.5703125" style="688" bestFit="1" customWidth="1"/>
    <col min="7723" max="7725" width="9.28515625" style="688" bestFit="1" customWidth="1"/>
    <col min="7726" max="7726" width="9.5703125" style="688" bestFit="1" customWidth="1"/>
    <col min="7727" max="7729" width="9.28515625" style="688" bestFit="1" customWidth="1"/>
    <col min="7730" max="7730" width="9.5703125" style="688" bestFit="1" customWidth="1"/>
    <col min="7731" max="7936" width="9.140625" style="688"/>
    <col min="7937" max="7937" width="18.42578125" style="688" customWidth="1"/>
    <col min="7938" max="7938" width="10.85546875" style="688" customWidth="1"/>
    <col min="7939" max="7939" width="21.5703125" style="688" customWidth="1"/>
    <col min="7940" max="7940" width="22.42578125" style="688" customWidth="1"/>
    <col min="7941" max="7941" width="33" style="688" customWidth="1"/>
    <col min="7942" max="7949" width="0" style="688" hidden="1" customWidth="1"/>
    <col min="7950" max="7950" width="11.85546875" style="688" customWidth="1"/>
    <col min="7951" max="7951" width="10.42578125" style="688" customWidth="1"/>
    <col min="7952" max="7952" width="11.140625" style="688" customWidth="1"/>
    <col min="7953" max="7953" width="7.7109375" style="688" customWidth="1"/>
    <col min="7954" max="7954" width="12.140625" style="688" customWidth="1"/>
    <col min="7955" max="7955" width="16.5703125" style="688" customWidth="1"/>
    <col min="7956" max="7956" width="3.85546875" style="688" customWidth="1"/>
    <col min="7957" max="7968" width="10" style="688" customWidth="1"/>
    <col min="7969" max="7969" width="11.140625" style="688" customWidth="1"/>
    <col min="7970" max="7972" width="9.28515625" style="688" customWidth="1"/>
    <col min="7973" max="7974" width="9.5703125" style="688" customWidth="1"/>
    <col min="7975" max="7977" width="9.28515625" style="688" bestFit="1" customWidth="1"/>
    <col min="7978" max="7978" width="9.5703125" style="688" bestFit="1" customWidth="1"/>
    <col min="7979" max="7981" width="9.28515625" style="688" bestFit="1" customWidth="1"/>
    <col min="7982" max="7982" width="9.5703125" style="688" bestFit="1" customWidth="1"/>
    <col min="7983" max="7985" width="9.28515625" style="688" bestFit="1" customWidth="1"/>
    <col min="7986" max="7986" width="9.5703125" style="688" bestFit="1" customWidth="1"/>
    <col min="7987" max="8192" width="9.140625" style="688"/>
    <col min="8193" max="8193" width="18.42578125" style="688" customWidth="1"/>
    <col min="8194" max="8194" width="10.85546875" style="688" customWidth="1"/>
    <col min="8195" max="8195" width="21.5703125" style="688" customWidth="1"/>
    <col min="8196" max="8196" width="22.42578125" style="688" customWidth="1"/>
    <col min="8197" max="8197" width="33" style="688" customWidth="1"/>
    <col min="8198" max="8205" width="0" style="688" hidden="1" customWidth="1"/>
    <col min="8206" max="8206" width="11.85546875" style="688" customWidth="1"/>
    <col min="8207" max="8207" width="10.42578125" style="688" customWidth="1"/>
    <col min="8208" max="8208" width="11.140625" style="688" customWidth="1"/>
    <col min="8209" max="8209" width="7.7109375" style="688" customWidth="1"/>
    <col min="8210" max="8210" width="12.140625" style="688" customWidth="1"/>
    <col min="8211" max="8211" width="16.5703125" style="688" customWidth="1"/>
    <col min="8212" max="8212" width="3.85546875" style="688" customWidth="1"/>
    <col min="8213" max="8224" width="10" style="688" customWidth="1"/>
    <col min="8225" max="8225" width="11.140625" style="688" customWidth="1"/>
    <col min="8226" max="8228" width="9.28515625" style="688" customWidth="1"/>
    <col min="8229" max="8230" width="9.5703125" style="688" customWidth="1"/>
    <col min="8231" max="8233" width="9.28515625" style="688" bestFit="1" customWidth="1"/>
    <col min="8234" max="8234" width="9.5703125" style="688" bestFit="1" customWidth="1"/>
    <col min="8235" max="8237" width="9.28515625" style="688" bestFit="1" customWidth="1"/>
    <col min="8238" max="8238" width="9.5703125" style="688" bestFit="1" customWidth="1"/>
    <col min="8239" max="8241" width="9.28515625" style="688" bestFit="1" customWidth="1"/>
    <col min="8242" max="8242" width="9.5703125" style="688" bestFit="1" customWidth="1"/>
    <col min="8243" max="8448" width="9.140625" style="688"/>
    <col min="8449" max="8449" width="18.42578125" style="688" customWidth="1"/>
    <col min="8450" max="8450" width="10.85546875" style="688" customWidth="1"/>
    <col min="8451" max="8451" width="21.5703125" style="688" customWidth="1"/>
    <col min="8452" max="8452" width="22.42578125" style="688" customWidth="1"/>
    <col min="8453" max="8453" width="33" style="688" customWidth="1"/>
    <col min="8454" max="8461" width="0" style="688" hidden="1" customWidth="1"/>
    <col min="8462" max="8462" width="11.85546875" style="688" customWidth="1"/>
    <col min="8463" max="8463" width="10.42578125" style="688" customWidth="1"/>
    <col min="8464" max="8464" width="11.140625" style="688" customWidth="1"/>
    <col min="8465" max="8465" width="7.7109375" style="688" customWidth="1"/>
    <col min="8466" max="8466" width="12.140625" style="688" customWidth="1"/>
    <col min="8467" max="8467" width="16.5703125" style="688" customWidth="1"/>
    <col min="8468" max="8468" width="3.85546875" style="688" customWidth="1"/>
    <col min="8469" max="8480" width="10" style="688" customWidth="1"/>
    <col min="8481" max="8481" width="11.140625" style="688" customWidth="1"/>
    <col min="8482" max="8484" width="9.28515625" style="688" customWidth="1"/>
    <col min="8485" max="8486" width="9.5703125" style="688" customWidth="1"/>
    <col min="8487" max="8489" width="9.28515625" style="688" bestFit="1" customWidth="1"/>
    <col min="8490" max="8490" width="9.5703125" style="688" bestFit="1" customWidth="1"/>
    <col min="8491" max="8493" width="9.28515625" style="688" bestFit="1" customWidth="1"/>
    <col min="8494" max="8494" width="9.5703125" style="688" bestFit="1" customWidth="1"/>
    <col min="8495" max="8497" width="9.28515625" style="688" bestFit="1" customWidth="1"/>
    <col min="8498" max="8498" width="9.5703125" style="688" bestFit="1" customWidth="1"/>
    <col min="8499" max="8704" width="9.140625" style="688"/>
    <col min="8705" max="8705" width="18.42578125" style="688" customWidth="1"/>
    <col min="8706" max="8706" width="10.85546875" style="688" customWidth="1"/>
    <col min="8707" max="8707" width="21.5703125" style="688" customWidth="1"/>
    <col min="8708" max="8708" width="22.42578125" style="688" customWidth="1"/>
    <col min="8709" max="8709" width="33" style="688" customWidth="1"/>
    <col min="8710" max="8717" width="0" style="688" hidden="1" customWidth="1"/>
    <col min="8718" max="8718" width="11.85546875" style="688" customWidth="1"/>
    <col min="8719" max="8719" width="10.42578125" style="688" customWidth="1"/>
    <col min="8720" max="8720" width="11.140625" style="688" customWidth="1"/>
    <col min="8721" max="8721" width="7.7109375" style="688" customWidth="1"/>
    <col min="8722" max="8722" width="12.140625" style="688" customWidth="1"/>
    <col min="8723" max="8723" width="16.5703125" style="688" customWidth="1"/>
    <col min="8724" max="8724" width="3.85546875" style="688" customWidth="1"/>
    <col min="8725" max="8736" width="10" style="688" customWidth="1"/>
    <col min="8737" max="8737" width="11.140625" style="688" customWidth="1"/>
    <col min="8738" max="8740" width="9.28515625" style="688" customWidth="1"/>
    <col min="8741" max="8742" width="9.5703125" style="688" customWidth="1"/>
    <col min="8743" max="8745" width="9.28515625" style="688" bestFit="1" customWidth="1"/>
    <col min="8746" max="8746" width="9.5703125" style="688" bestFit="1" customWidth="1"/>
    <col min="8747" max="8749" width="9.28515625" style="688" bestFit="1" customWidth="1"/>
    <col min="8750" max="8750" width="9.5703125" style="688" bestFit="1" customWidth="1"/>
    <col min="8751" max="8753" width="9.28515625" style="688" bestFit="1" customWidth="1"/>
    <col min="8754" max="8754" width="9.5703125" style="688" bestFit="1" customWidth="1"/>
    <col min="8755" max="8960" width="9.140625" style="688"/>
    <col min="8961" max="8961" width="18.42578125" style="688" customWidth="1"/>
    <col min="8962" max="8962" width="10.85546875" style="688" customWidth="1"/>
    <col min="8963" max="8963" width="21.5703125" style="688" customWidth="1"/>
    <col min="8964" max="8964" width="22.42578125" style="688" customWidth="1"/>
    <col min="8965" max="8965" width="33" style="688" customWidth="1"/>
    <col min="8966" max="8973" width="0" style="688" hidden="1" customWidth="1"/>
    <col min="8974" max="8974" width="11.85546875" style="688" customWidth="1"/>
    <col min="8975" max="8975" width="10.42578125" style="688" customWidth="1"/>
    <col min="8976" max="8976" width="11.140625" style="688" customWidth="1"/>
    <col min="8977" max="8977" width="7.7109375" style="688" customWidth="1"/>
    <col min="8978" max="8978" width="12.140625" style="688" customWidth="1"/>
    <col min="8979" max="8979" width="16.5703125" style="688" customWidth="1"/>
    <col min="8980" max="8980" width="3.85546875" style="688" customWidth="1"/>
    <col min="8981" max="8992" width="10" style="688" customWidth="1"/>
    <col min="8993" max="8993" width="11.140625" style="688" customWidth="1"/>
    <col min="8994" max="8996" width="9.28515625" style="688" customWidth="1"/>
    <col min="8997" max="8998" width="9.5703125" style="688" customWidth="1"/>
    <col min="8999" max="9001" width="9.28515625" style="688" bestFit="1" customWidth="1"/>
    <col min="9002" max="9002" width="9.5703125" style="688" bestFit="1" customWidth="1"/>
    <col min="9003" max="9005" width="9.28515625" style="688" bestFit="1" customWidth="1"/>
    <col min="9006" max="9006" width="9.5703125" style="688" bestFit="1" customWidth="1"/>
    <col min="9007" max="9009" width="9.28515625" style="688" bestFit="1" customWidth="1"/>
    <col min="9010" max="9010" width="9.5703125" style="688" bestFit="1" customWidth="1"/>
    <col min="9011" max="9216" width="9.140625" style="688"/>
    <col min="9217" max="9217" width="18.42578125" style="688" customWidth="1"/>
    <col min="9218" max="9218" width="10.85546875" style="688" customWidth="1"/>
    <col min="9219" max="9219" width="21.5703125" style="688" customWidth="1"/>
    <col min="9220" max="9220" width="22.42578125" style="688" customWidth="1"/>
    <col min="9221" max="9221" width="33" style="688" customWidth="1"/>
    <col min="9222" max="9229" width="0" style="688" hidden="1" customWidth="1"/>
    <col min="9230" max="9230" width="11.85546875" style="688" customWidth="1"/>
    <col min="9231" max="9231" width="10.42578125" style="688" customWidth="1"/>
    <col min="9232" max="9232" width="11.140625" style="688" customWidth="1"/>
    <col min="9233" max="9233" width="7.7109375" style="688" customWidth="1"/>
    <col min="9234" max="9234" width="12.140625" style="688" customWidth="1"/>
    <col min="9235" max="9235" width="16.5703125" style="688" customWidth="1"/>
    <col min="9236" max="9236" width="3.85546875" style="688" customWidth="1"/>
    <col min="9237" max="9248" width="10" style="688" customWidth="1"/>
    <col min="9249" max="9249" width="11.140625" style="688" customWidth="1"/>
    <col min="9250" max="9252" width="9.28515625" style="688" customWidth="1"/>
    <col min="9253" max="9254" width="9.5703125" style="688" customWidth="1"/>
    <col min="9255" max="9257" width="9.28515625" style="688" bestFit="1" customWidth="1"/>
    <col min="9258" max="9258" width="9.5703125" style="688" bestFit="1" customWidth="1"/>
    <col min="9259" max="9261" width="9.28515625" style="688" bestFit="1" customWidth="1"/>
    <col min="9262" max="9262" width="9.5703125" style="688" bestFit="1" customWidth="1"/>
    <col min="9263" max="9265" width="9.28515625" style="688" bestFit="1" customWidth="1"/>
    <col min="9266" max="9266" width="9.5703125" style="688" bestFit="1" customWidth="1"/>
    <col min="9267" max="9472" width="9.140625" style="688"/>
    <col min="9473" max="9473" width="18.42578125" style="688" customWidth="1"/>
    <col min="9474" max="9474" width="10.85546875" style="688" customWidth="1"/>
    <col min="9475" max="9475" width="21.5703125" style="688" customWidth="1"/>
    <col min="9476" max="9476" width="22.42578125" style="688" customWidth="1"/>
    <col min="9477" max="9477" width="33" style="688" customWidth="1"/>
    <col min="9478" max="9485" width="0" style="688" hidden="1" customWidth="1"/>
    <col min="9486" max="9486" width="11.85546875" style="688" customWidth="1"/>
    <col min="9487" max="9487" width="10.42578125" style="688" customWidth="1"/>
    <col min="9488" max="9488" width="11.140625" style="688" customWidth="1"/>
    <col min="9489" max="9489" width="7.7109375" style="688" customWidth="1"/>
    <col min="9490" max="9490" width="12.140625" style="688" customWidth="1"/>
    <col min="9491" max="9491" width="16.5703125" style="688" customWidth="1"/>
    <col min="9492" max="9492" width="3.85546875" style="688" customWidth="1"/>
    <col min="9493" max="9504" width="10" style="688" customWidth="1"/>
    <col min="9505" max="9505" width="11.140625" style="688" customWidth="1"/>
    <col min="9506" max="9508" width="9.28515625" style="688" customWidth="1"/>
    <col min="9509" max="9510" width="9.5703125" style="688" customWidth="1"/>
    <col min="9511" max="9513" width="9.28515625" style="688" bestFit="1" customWidth="1"/>
    <col min="9514" max="9514" width="9.5703125" style="688" bestFit="1" customWidth="1"/>
    <col min="9515" max="9517" width="9.28515625" style="688" bestFit="1" customWidth="1"/>
    <col min="9518" max="9518" width="9.5703125" style="688" bestFit="1" customWidth="1"/>
    <col min="9519" max="9521" width="9.28515625" style="688" bestFit="1" customWidth="1"/>
    <col min="9522" max="9522" width="9.5703125" style="688" bestFit="1" customWidth="1"/>
    <col min="9523" max="9728" width="9.140625" style="688"/>
    <col min="9729" max="9729" width="18.42578125" style="688" customWidth="1"/>
    <col min="9730" max="9730" width="10.85546875" style="688" customWidth="1"/>
    <col min="9731" max="9731" width="21.5703125" style="688" customWidth="1"/>
    <col min="9732" max="9732" width="22.42578125" style="688" customWidth="1"/>
    <col min="9733" max="9733" width="33" style="688" customWidth="1"/>
    <col min="9734" max="9741" width="0" style="688" hidden="1" customWidth="1"/>
    <col min="9742" max="9742" width="11.85546875" style="688" customWidth="1"/>
    <col min="9743" max="9743" width="10.42578125" style="688" customWidth="1"/>
    <col min="9744" max="9744" width="11.140625" style="688" customWidth="1"/>
    <col min="9745" max="9745" width="7.7109375" style="688" customWidth="1"/>
    <col min="9746" max="9746" width="12.140625" style="688" customWidth="1"/>
    <col min="9747" max="9747" width="16.5703125" style="688" customWidth="1"/>
    <col min="9748" max="9748" width="3.85546875" style="688" customWidth="1"/>
    <col min="9749" max="9760" width="10" style="688" customWidth="1"/>
    <col min="9761" max="9761" width="11.140625" style="688" customWidth="1"/>
    <col min="9762" max="9764" width="9.28515625" style="688" customWidth="1"/>
    <col min="9765" max="9766" width="9.5703125" style="688" customWidth="1"/>
    <col min="9767" max="9769" width="9.28515625" style="688" bestFit="1" customWidth="1"/>
    <col min="9770" max="9770" width="9.5703125" style="688" bestFit="1" customWidth="1"/>
    <col min="9771" max="9773" width="9.28515625" style="688" bestFit="1" customWidth="1"/>
    <col min="9774" max="9774" width="9.5703125" style="688" bestFit="1" customWidth="1"/>
    <col min="9775" max="9777" width="9.28515625" style="688" bestFit="1" customWidth="1"/>
    <col min="9778" max="9778" width="9.5703125" style="688" bestFit="1" customWidth="1"/>
    <col min="9779" max="9984" width="9.140625" style="688"/>
    <col min="9985" max="9985" width="18.42578125" style="688" customWidth="1"/>
    <col min="9986" max="9986" width="10.85546875" style="688" customWidth="1"/>
    <col min="9987" max="9987" width="21.5703125" style="688" customWidth="1"/>
    <col min="9988" max="9988" width="22.42578125" style="688" customWidth="1"/>
    <col min="9989" max="9989" width="33" style="688" customWidth="1"/>
    <col min="9990" max="9997" width="0" style="688" hidden="1" customWidth="1"/>
    <col min="9998" max="9998" width="11.85546875" style="688" customWidth="1"/>
    <col min="9999" max="9999" width="10.42578125" style="688" customWidth="1"/>
    <col min="10000" max="10000" width="11.140625" style="688" customWidth="1"/>
    <col min="10001" max="10001" width="7.7109375" style="688" customWidth="1"/>
    <col min="10002" max="10002" width="12.140625" style="688" customWidth="1"/>
    <col min="10003" max="10003" width="16.5703125" style="688" customWidth="1"/>
    <col min="10004" max="10004" width="3.85546875" style="688" customWidth="1"/>
    <col min="10005" max="10016" width="10" style="688" customWidth="1"/>
    <col min="10017" max="10017" width="11.140625" style="688" customWidth="1"/>
    <col min="10018" max="10020" width="9.28515625" style="688" customWidth="1"/>
    <col min="10021" max="10022" width="9.5703125" style="688" customWidth="1"/>
    <col min="10023" max="10025" width="9.28515625" style="688" bestFit="1" customWidth="1"/>
    <col min="10026" max="10026" width="9.5703125" style="688" bestFit="1" customWidth="1"/>
    <col min="10027" max="10029" width="9.28515625" style="688" bestFit="1" customWidth="1"/>
    <col min="10030" max="10030" width="9.5703125" style="688" bestFit="1" customWidth="1"/>
    <col min="10031" max="10033" width="9.28515625" style="688" bestFit="1" customWidth="1"/>
    <col min="10034" max="10034" width="9.5703125" style="688" bestFit="1" customWidth="1"/>
    <col min="10035" max="10240" width="9.140625" style="688"/>
    <col min="10241" max="10241" width="18.42578125" style="688" customWidth="1"/>
    <col min="10242" max="10242" width="10.85546875" style="688" customWidth="1"/>
    <col min="10243" max="10243" width="21.5703125" style="688" customWidth="1"/>
    <col min="10244" max="10244" width="22.42578125" style="688" customWidth="1"/>
    <col min="10245" max="10245" width="33" style="688" customWidth="1"/>
    <col min="10246" max="10253" width="0" style="688" hidden="1" customWidth="1"/>
    <col min="10254" max="10254" width="11.85546875" style="688" customWidth="1"/>
    <col min="10255" max="10255" width="10.42578125" style="688" customWidth="1"/>
    <col min="10256" max="10256" width="11.140625" style="688" customWidth="1"/>
    <col min="10257" max="10257" width="7.7109375" style="688" customWidth="1"/>
    <col min="10258" max="10258" width="12.140625" style="688" customWidth="1"/>
    <col min="10259" max="10259" width="16.5703125" style="688" customWidth="1"/>
    <col min="10260" max="10260" width="3.85546875" style="688" customWidth="1"/>
    <col min="10261" max="10272" width="10" style="688" customWidth="1"/>
    <col min="10273" max="10273" width="11.140625" style="688" customWidth="1"/>
    <col min="10274" max="10276" width="9.28515625" style="688" customWidth="1"/>
    <col min="10277" max="10278" width="9.5703125" style="688" customWidth="1"/>
    <col min="10279" max="10281" width="9.28515625" style="688" bestFit="1" customWidth="1"/>
    <col min="10282" max="10282" width="9.5703125" style="688" bestFit="1" customWidth="1"/>
    <col min="10283" max="10285" width="9.28515625" style="688" bestFit="1" customWidth="1"/>
    <col min="10286" max="10286" width="9.5703125" style="688" bestFit="1" customWidth="1"/>
    <col min="10287" max="10289" width="9.28515625" style="688" bestFit="1" customWidth="1"/>
    <col min="10290" max="10290" width="9.5703125" style="688" bestFit="1" customWidth="1"/>
    <col min="10291" max="10496" width="9.140625" style="688"/>
    <col min="10497" max="10497" width="18.42578125" style="688" customWidth="1"/>
    <col min="10498" max="10498" width="10.85546875" style="688" customWidth="1"/>
    <col min="10499" max="10499" width="21.5703125" style="688" customWidth="1"/>
    <col min="10500" max="10500" width="22.42578125" style="688" customWidth="1"/>
    <col min="10501" max="10501" width="33" style="688" customWidth="1"/>
    <col min="10502" max="10509" width="0" style="688" hidden="1" customWidth="1"/>
    <col min="10510" max="10510" width="11.85546875" style="688" customWidth="1"/>
    <col min="10511" max="10511" width="10.42578125" style="688" customWidth="1"/>
    <col min="10512" max="10512" width="11.140625" style="688" customWidth="1"/>
    <col min="10513" max="10513" width="7.7109375" style="688" customWidth="1"/>
    <col min="10514" max="10514" width="12.140625" style="688" customWidth="1"/>
    <col min="10515" max="10515" width="16.5703125" style="688" customWidth="1"/>
    <col min="10516" max="10516" width="3.85546875" style="688" customWidth="1"/>
    <col min="10517" max="10528" width="10" style="688" customWidth="1"/>
    <col min="10529" max="10529" width="11.140625" style="688" customWidth="1"/>
    <col min="10530" max="10532" width="9.28515625" style="688" customWidth="1"/>
    <col min="10533" max="10534" width="9.5703125" style="688" customWidth="1"/>
    <col min="10535" max="10537" width="9.28515625" style="688" bestFit="1" customWidth="1"/>
    <col min="10538" max="10538" width="9.5703125" style="688" bestFit="1" customWidth="1"/>
    <col min="10539" max="10541" width="9.28515625" style="688" bestFit="1" customWidth="1"/>
    <col min="10542" max="10542" width="9.5703125" style="688" bestFit="1" customWidth="1"/>
    <col min="10543" max="10545" width="9.28515625" style="688" bestFit="1" customWidth="1"/>
    <col min="10546" max="10546" width="9.5703125" style="688" bestFit="1" customWidth="1"/>
    <col min="10547" max="10752" width="9.140625" style="688"/>
    <col min="10753" max="10753" width="18.42578125" style="688" customWidth="1"/>
    <col min="10754" max="10754" width="10.85546875" style="688" customWidth="1"/>
    <col min="10755" max="10755" width="21.5703125" style="688" customWidth="1"/>
    <col min="10756" max="10756" width="22.42578125" style="688" customWidth="1"/>
    <col min="10757" max="10757" width="33" style="688" customWidth="1"/>
    <col min="10758" max="10765" width="0" style="688" hidden="1" customWidth="1"/>
    <col min="10766" max="10766" width="11.85546875" style="688" customWidth="1"/>
    <col min="10767" max="10767" width="10.42578125" style="688" customWidth="1"/>
    <col min="10768" max="10768" width="11.140625" style="688" customWidth="1"/>
    <col min="10769" max="10769" width="7.7109375" style="688" customWidth="1"/>
    <col min="10770" max="10770" width="12.140625" style="688" customWidth="1"/>
    <col min="10771" max="10771" width="16.5703125" style="688" customWidth="1"/>
    <col min="10772" max="10772" width="3.85546875" style="688" customWidth="1"/>
    <col min="10773" max="10784" width="10" style="688" customWidth="1"/>
    <col min="10785" max="10785" width="11.140625" style="688" customWidth="1"/>
    <col min="10786" max="10788" width="9.28515625" style="688" customWidth="1"/>
    <col min="10789" max="10790" width="9.5703125" style="688" customWidth="1"/>
    <col min="10791" max="10793" width="9.28515625" style="688" bestFit="1" customWidth="1"/>
    <col min="10794" max="10794" width="9.5703125" style="688" bestFit="1" customWidth="1"/>
    <col min="10795" max="10797" width="9.28515625" style="688" bestFit="1" customWidth="1"/>
    <col min="10798" max="10798" width="9.5703125" style="688" bestFit="1" customWidth="1"/>
    <col min="10799" max="10801" width="9.28515625" style="688" bestFit="1" customWidth="1"/>
    <col min="10802" max="10802" width="9.5703125" style="688" bestFit="1" customWidth="1"/>
    <col min="10803" max="11008" width="9.140625" style="688"/>
    <col min="11009" max="11009" width="18.42578125" style="688" customWidth="1"/>
    <col min="11010" max="11010" width="10.85546875" style="688" customWidth="1"/>
    <col min="11011" max="11011" width="21.5703125" style="688" customWidth="1"/>
    <col min="11012" max="11012" width="22.42578125" style="688" customWidth="1"/>
    <col min="11013" max="11013" width="33" style="688" customWidth="1"/>
    <col min="11014" max="11021" width="0" style="688" hidden="1" customWidth="1"/>
    <col min="11022" max="11022" width="11.85546875" style="688" customWidth="1"/>
    <col min="11023" max="11023" width="10.42578125" style="688" customWidth="1"/>
    <col min="11024" max="11024" width="11.140625" style="688" customWidth="1"/>
    <col min="11025" max="11025" width="7.7109375" style="688" customWidth="1"/>
    <col min="11026" max="11026" width="12.140625" style="688" customWidth="1"/>
    <col min="11027" max="11027" width="16.5703125" style="688" customWidth="1"/>
    <col min="11028" max="11028" width="3.85546875" style="688" customWidth="1"/>
    <col min="11029" max="11040" width="10" style="688" customWidth="1"/>
    <col min="11041" max="11041" width="11.140625" style="688" customWidth="1"/>
    <col min="11042" max="11044" width="9.28515625" style="688" customWidth="1"/>
    <col min="11045" max="11046" width="9.5703125" style="688" customWidth="1"/>
    <col min="11047" max="11049" width="9.28515625" style="688" bestFit="1" customWidth="1"/>
    <col min="11050" max="11050" width="9.5703125" style="688" bestFit="1" customWidth="1"/>
    <col min="11051" max="11053" width="9.28515625" style="688" bestFit="1" customWidth="1"/>
    <col min="11054" max="11054" width="9.5703125" style="688" bestFit="1" customWidth="1"/>
    <col min="11055" max="11057" width="9.28515625" style="688" bestFit="1" customWidth="1"/>
    <col min="11058" max="11058" width="9.5703125" style="688" bestFit="1" customWidth="1"/>
    <col min="11059" max="11264" width="9.140625" style="688"/>
    <col min="11265" max="11265" width="18.42578125" style="688" customWidth="1"/>
    <col min="11266" max="11266" width="10.85546875" style="688" customWidth="1"/>
    <col min="11267" max="11267" width="21.5703125" style="688" customWidth="1"/>
    <col min="11268" max="11268" width="22.42578125" style="688" customWidth="1"/>
    <col min="11269" max="11269" width="33" style="688" customWidth="1"/>
    <col min="11270" max="11277" width="0" style="688" hidden="1" customWidth="1"/>
    <col min="11278" max="11278" width="11.85546875" style="688" customWidth="1"/>
    <col min="11279" max="11279" width="10.42578125" style="688" customWidth="1"/>
    <col min="11280" max="11280" width="11.140625" style="688" customWidth="1"/>
    <col min="11281" max="11281" width="7.7109375" style="688" customWidth="1"/>
    <col min="11282" max="11282" width="12.140625" style="688" customWidth="1"/>
    <col min="11283" max="11283" width="16.5703125" style="688" customWidth="1"/>
    <col min="11284" max="11284" width="3.85546875" style="688" customWidth="1"/>
    <col min="11285" max="11296" width="10" style="688" customWidth="1"/>
    <col min="11297" max="11297" width="11.140625" style="688" customWidth="1"/>
    <col min="11298" max="11300" width="9.28515625" style="688" customWidth="1"/>
    <col min="11301" max="11302" width="9.5703125" style="688" customWidth="1"/>
    <col min="11303" max="11305" width="9.28515625" style="688" bestFit="1" customWidth="1"/>
    <col min="11306" max="11306" width="9.5703125" style="688" bestFit="1" customWidth="1"/>
    <col min="11307" max="11309" width="9.28515625" style="688" bestFit="1" customWidth="1"/>
    <col min="11310" max="11310" width="9.5703125" style="688" bestFit="1" customWidth="1"/>
    <col min="11311" max="11313" width="9.28515625" style="688" bestFit="1" customWidth="1"/>
    <col min="11314" max="11314" width="9.5703125" style="688" bestFit="1" customWidth="1"/>
    <col min="11315" max="11520" width="9.140625" style="688"/>
    <col min="11521" max="11521" width="18.42578125" style="688" customWidth="1"/>
    <col min="11522" max="11522" width="10.85546875" style="688" customWidth="1"/>
    <col min="11523" max="11523" width="21.5703125" style="688" customWidth="1"/>
    <col min="11524" max="11524" width="22.42578125" style="688" customWidth="1"/>
    <col min="11525" max="11525" width="33" style="688" customWidth="1"/>
    <col min="11526" max="11533" width="0" style="688" hidden="1" customWidth="1"/>
    <col min="11534" max="11534" width="11.85546875" style="688" customWidth="1"/>
    <col min="11535" max="11535" width="10.42578125" style="688" customWidth="1"/>
    <col min="11536" max="11536" width="11.140625" style="688" customWidth="1"/>
    <col min="11537" max="11537" width="7.7109375" style="688" customWidth="1"/>
    <col min="11538" max="11538" width="12.140625" style="688" customWidth="1"/>
    <col min="11539" max="11539" width="16.5703125" style="688" customWidth="1"/>
    <col min="11540" max="11540" width="3.85546875" style="688" customWidth="1"/>
    <col min="11541" max="11552" width="10" style="688" customWidth="1"/>
    <col min="11553" max="11553" width="11.140625" style="688" customWidth="1"/>
    <col min="11554" max="11556" width="9.28515625" style="688" customWidth="1"/>
    <col min="11557" max="11558" width="9.5703125" style="688" customWidth="1"/>
    <col min="11559" max="11561" width="9.28515625" style="688" bestFit="1" customWidth="1"/>
    <col min="11562" max="11562" width="9.5703125" style="688" bestFit="1" customWidth="1"/>
    <col min="11563" max="11565" width="9.28515625" style="688" bestFit="1" customWidth="1"/>
    <col min="11566" max="11566" width="9.5703125" style="688" bestFit="1" customWidth="1"/>
    <col min="11567" max="11569" width="9.28515625" style="688" bestFit="1" customWidth="1"/>
    <col min="11570" max="11570" width="9.5703125" style="688" bestFit="1" customWidth="1"/>
    <col min="11571" max="11776" width="9.140625" style="688"/>
    <col min="11777" max="11777" width="18.42578125" style="688" customWidth="1"/>
    <col min="11778" max="11778" width="10.85546875" style="688" customWidth="1"/>
    <col min="11779" max="11779" width="21.5703125" style="688" customWidth="1"/>
    <col min="11780" max="11780" width="22.42578125" style="688" customWidth="1"/>
    <col min="11781" max="11781" width="33" style="688" customWidth="1"/>
    <col min="11782" max="11789" width="0" style="688" hidden="1" customWidth="1"/>
    <col min="11790" max="11790" width="11.85546875" style="688" customWidth="1"/>
    <col min="11791" max="11791" width="10.42578125" style="688" customWidth="1"/>
    <col min="11792" max="11792" width="11.140625" style="688" customWidth="1"/>
    <col min="11793" max="11793" width="7.7109375" style="688" customWidth="1"/>
    <col min="11794" max="11794" width="12.140625" style="688" customWidth="1"/>
    <col min="11795" max="11795" width="16.5703125" style="688" customWidth="1"/>
    <col min="11796" max="11796" width="3.85546875" style="688" customWidth="1"/>
    <col min="11797" max="11808" width="10" style="688" customWidth="1"/>
    <col min="11809" max="11809" width="11.140625" style="688" customWidth="1"/>
    <col min="11810" max="11812" width="9.28515625" style="688" customWidth="1"/>
    <col min="11813" max="11814" width="9.5703125" style="688" customWidth="1"/>
    <col min="11815" max="11817" width="9.28515625" style="688" bestFit="1" customWidth="1"/>
    <col min="11818" max="11818" width="9.5703125" style="688" bestFit="1" customWidth="1"/>
    <col min="11819" max="11821" width="9.28515625" style="688" bestFit="1" customWidth="1"/>
    <col min="11822" max="11822" width="9.5703125" style="688" bestFit="1" customWidth="1"/>
    <col min="11823" max="11825" width="9.28515625" style="688" bestFit="1" customWidth="1"/>
    <col min="11826" max="11826" width="9.5703125" style="688" bestFit="1" customWidth="1"/>
    <col min="11827" max="12032" width="9.140625" style="688"/>
    <col min="12033" max="12033" width="18.42578125" style="688" customWidth="1"/>
    <col min="12034" max="12034" width="10.85546875" style="688" customWidth="1"/>
    <col min="12035" max="12035" width="21.5703125" style="688" customWidth="1"/>
    <col min="12036" max="12036" width="22.42578125" style="688" customWidth="1"/>
    <col min="12037" max="12037" width="33" style="688" customWidth="1"/>
    <col min="12038" max="12045" width="0" style="688" hidden="1" customWidth="1"/>
    <col min="12046" max="12046" width="11.85546875" style="688" customWidth="1"/>
    <col min="12047" max="12047" width="10.42578125" style="688" customWidth="1"/>
    <col min="12048" max="12048" width="11.140625" style="688" customWidth="1"/>
    <col min="12049" max="12049" width="7.7109375" style="688" customWidth="1"/>
    <col min="12050" max="12050" width="12.140625" style="688" customWidth="1"/>
    <col min="12051" max="12051" width="16.5703125" style="688" customWidth="1"/>
    <col min="12052" max="12052" width="3.85546875" style="688" customWidth="1"/>
    <col min="12053" max="12064" width="10" style="688" customWidth="1"/>
    <col min="12065" max="12065" width="11.140625" style="688" customWidth="1"/>
    <col min="12066" max="12068" width="9.28515625" style="688" customWidth="1"/>
    <col min="12069" max="12070" width="9.5703125" style="688" customWidth="1"/>
    <col min="12071" max="12073" width="9.28515625" style="688" bestFit="1" customWidth="1"/>
    <col min="12074" max="12074" width="9.5703125" style="688" bestFit="1" customWidth="1"/>
    <col min="12075" max="12077" width="9.28515625" style="688" bestFit="1" customWidth="1"/>
    <col min="12078" max="12078" width="9.5703125" style="688" bestFit="1" customWidth="1"/>
    <col min="12079" max="12081" width="9.28515625" style="688" bestFit="1" customWidth="1"/>
    <col min="12082" max="12082" width="9.5703125" style="688" bestFit="1" customWidth="1"/>
    <col min="12083" max="12288" width="9.140625" style="688"/>
    <col min="12289" max="12289" width="18.42578125" style="688" customWidth="1"/>
    <col min="12290" max="12290" width="10.85546875" style="688" customWidth="1"/>
    <col min="12291" max="12291" width="21.5703125" style="688" customWidth="1"/>
    <col min="12292" max="12292" width="22.42578125" style="688" customWidth="1"/>
    <col min="12293" max="12293" width="33" style="688" customWidth="1"/>
    <col min="12294" max="12301" width="0" style="688" hidden="1" customWidth="1"/>
    <col min="12302" max="12302" width="11.85546875" style="688" customWidth="1"/>
    <col min="12303" max="12303" width="10.42578125" style="688" customWidth="1"/>
    <col min="12304" max="12304" width="11.140625" style="688" customWidth="1"/>
    <col min="12305" max="12305" width="7.7109375" style="688" customWidth="1"/>
    <col min="12306" max="12306" width="12.140625" style="688" customWidth="1"/>
    <col min="12307" max="12307" width="16.5703125" style="688" customWidth="1"/>
    <col min="12308" max="12308" width="3.85546875" style="688" customWidth="1"/>
    <col min="12309" max="12320" width="10" style="688" customWidth="1"/>
    <col min="12321" max="12321" width="11.140625" style="688" customWidth="1"/>
    <col min="12322" max="12324" width="9.28515625" style="688" customWidth="1"/>
    <col min="12325" max="12326" width="9.5703125" style="688" customWidth="1"/>
    <col min="12327" max="12329" width="9.28515625" style="688" bestFit="1" customWidth="1"/>
    <col min="12330" max="12330" width="9.5703125" style="688" bestFit="1" customWidth="1"/>
    <col min="12331" max="12333" width="9.28515625" style="688" bestFit="1" customWidth="1"/>
    <col min="12334" max="12334" width="9.5703125" style="688" bestFit="1" customWidth="1"/>
    <col min="12335" max="12337" width="9.28515625" style="688" bestFit="1" customWidth="1"/>
    <col min="12338" max="12338" width="9.5703125" style="688" bestFit="1" customWidth="1"/>
    <col min="12339" max="12544" width="9.140625" style="688"/>
    <col min="12545" max="12545" width="18.42578125" style="688" customWidth="1"/>
    <col min="12546" max="12546" width="10.85546875" style="688" customWidth="1"/>
    <col min="12547" max="12547" width="21.5703125" style="688" customWidth="1"/>
    <col min="12548" max="12548" width="22.42578125" style="688" customWidth="1"/>
    <col min="12549" max="12549" width="33" style="688" customWidth="1"/>
    <col min="12550" max="12557" width="0" style="688" hidden="1" customWidth="1"/>
    <col min="12558" max="12558" width="11.85546875" style="688" customWidth="1"/>
    <col min="12559" max="12559" width="10.42578125" style="688" customWidth="1"/>
    <col min="12560" max="12560" width="11.140625" style="688" customWidth="1"/>
    <col min="12561" max="12561" width="7.7109375" style="688" customWidth="1"/>
    <col min="12562" max="12562" width="12.140625" style="688" customWidth="1"/>
    <col min="12563" max="12563" width="16.5703125" style="688" customWidth="1"/>
    <col min="12564" max="12564" width="3.85546875" style="688" customWidth="1"/>
    <col min="12565" max="12576" width="10" style="688" customWidth="1"/>
    <col min="12577" max="12577" width="11.140625" style="688" customWidth="1"/>
    <col min="12578" max="12580" width="9.28515625" style="688" customWidth="1"/>
    <col min="12581" max="12582" width="9.5703125" style="688" customWidth="1"/>
    <col min="12583" max="12585" width="9.28515625" style="688" bestFit="1" customWidth="1"/>
    <col min="12586" max="12586" width="9.5703125" style="688" bestFit="1" customWidth="1"/>
    <col min="12587" max="12589" width="9.28515625" style="688" bestFit="1" customWidth="1"/>
    <col min="12590" max="12590" width="9.5703125" style="688" bestFit="1" customWidth="1"/>
    <col min="12591" max="12593" width="9.28515625" style="688" bestFit="1" customWidth="1"/>
    <col min="12594" max="12594" width="9.5703125" style="688" bestFit="1" customWidth="1"/>
    <col min="12595" max="12800" width="9.140625" style="688"/>
    <col min="12801" max="12801" width="18.42578125" style="688" customWidth="1"/>
    <col min="12802" max="12802" width="10.85546875" style="688" customWidth="1"/>
    <col min="12803" max="12803" width="21.5703125" style="688" customWidth="1"/>
    <col min="12804" max="12804" width="22.42578125" style="688" customWidth="1"/>
    <col min="12805" max="12805" width="33" style="688" customWidth="1"/>
    <col min="12806" max="12813" width="0" style="688" hidden="1" customWidth="1"/>
    <col min="12814" max="12814" width="11.85546875" style="688" customWidth="1"/>
    <col min="12815" max="12815" width="10.42578125" style="688" customWidth="1"/>
    <col min="12816" max="12816" width="11.140625" style="688" customWidth="1"/>
    <col min="12817" max="12817" width="7.7109375" style="688" customWidth="1"/>
    <col min="12818" max="12818" width="12.140625" style="688" customWidth="1"/>
    <col min="12819" max="12819" width="16.5703125" style="688" customWidth="1"/>
    <col min="12820" max="12820" width="3.85546875" style="688" customWidth="1"/>
    <col min="12821" max="12832" width="10" style="688" customWidth="1"/>
    <col min="12833" max="12833" width="11.140625" style="688" customWidth="1"/>
    <col min="12834" max="12836" width="9.28515625" style="688" customWidth="1"/>
    <col min="12837" max="12838" width="9.5703125" style="688" customWidth="1"/>
    <col min="12839" max="12841" width="9.28515625" style="688" bestFit="1" customWidth="1"/>
    <col min="12842" max="12842" width="9.5703125" style="688" bestFit="1" customWidth="1"/>
    <col min="12843" max="12845" width="9.28515625" style="688" bestFit="1" customWidth="1"/>
    <col min="12846" max="12846" width="9.5703125" style="688" bestFit="1" customWidth="1"/>
    <col min="12847" max="12849" width="9.28515625" style="688" bestFit="1" customWidth="1"/>
    <col min="12850" max="12850" width="9.5703125" style="688" bestFit="1" customWidth="1"/>
    <col min="12851" max="13056" width="9.140625" style="688"/>
    <col min="13057" max="13057" width="18.42578125" style="688" customWidth="1"/>
    <col min="13058" max="13058" width="10.85546875" style="688" customWidth="1"/>
    <col min="13059" max="13059" width="21.5703125" style="688" customWidth="1"/>
    <col min="13060" max="13060" width="22.42578125" style="688" customWidth="1"/>
    <col min="13061" max="13061" width="33" style="688" customWidth="1"/>
    <col min="13062" max="13069" width="0" style="688" hidden="1" customWidth="1"/>
    <col min="13070" max="13070" width="11.85546875" style="688" customWidth="1"/>
    <col min="13071" max="13071" width="10.42578125" style="688" customWidth="1"/>
    <col min="13072" max="13072" width="11.140625" style="688" customWidth="1"/>
    <col min="13073" max="13073" width="7.7109375" style="688" customWidth="1"/>
    <col min="13074" max="13074" width="12.140625" style="688" customWidth="1"/>
    <col min="13075" max="13075" width="16.5703125" style="688" customWidth="1"/>
    <col min="13076" max="13076" width="3.85546875" style="688" customWidth="1"/>
    <col min="13077" max="13088" width="10" style="688" customWidth="1"/>
    <col min="13089" max="13089" width="11.140625" style="688" customWidth="1"/>
    <col min="13090" max="13092" width="9.28515625" style="688" customWidth="1"/>
    <col min="13093" max="13094" width="9.5703125" style="688" customWidth="1"/>
    <col min="13095" max="13097" width="9.28515625" style="688" bestFit="1" customWidth="1"/>
    <col min="13098" max="13098" width="9.5703125" style="688" bestFit="1" customWidth="1"/>
    <col min="13099" max="13101" width="9.28515625" style="688" bestFit="1" customWidth="1"/>
    <col min="13102" max="13102" width="9.5703125" style="688" bestFit="1" customWidth="1"/>
    <col min="13103" max="13105" width="9.28515625" style="688" bestFit="1" customWidth="1"/>
    <col min="13106" max="13106" width="9.5703125" style="688" bestFit="1" customWidth="1"/>
    <col min="13107" max="13312" width="9.140625" style="688"/>
    <col min="13313" max="13313" width="18.42578125" style="688" customWidth="1"/>
    <col min="13314" max="13314" width="10.85546875" style="688" customWidth="1"/>
    <col min="13315" max="13315" width="21.5703125" style="688" customWidth="1"/>
    <col min="13316" max="13316" width="22.42578125" style="688" customWidth="1"/>
    <col min="13317" max="13317" width="33" style="688" customWidth="1"/>
    <col min="13318" max="13325" width="0" style="688" hidden="1" customWidth="1"/>
    <col min="13326" max="13326" width="11.85546875" style="688" customWidth="1"/>
    <col min="13327" max="13327" width="10.42578125" style="688" customWidth="1"/>
    <col min="13328" max="13328" width="11.140625" style="688" customWidth="1"/>
    <col min="13329" max="13329" width="7.7109375" style="688" customWidth="1"/>
    <col min="13330" max="13330" width="12.140625" style="688" customWidth="1"/>
    <col min="13331" max="13331" width="16.5703125" style="688" customWidth="1"/>
    <col min="13332" max="13332" width="3.85546875" style="688" customWidth="1"/>
    <col min="13333" max="13344" width="10" style="688" customWidth="1"/>
    <col min="13345" max="13345" width="11.140625" style="688" customWidth="1"/>
    <col min="13346" max="13348" width="9.28515625" style="688" customWidth="1"/>
    <col min="13349" max="13350" width="9.5703125" style="688" customWidth="1"/>
    <col min="13351" max="13353" width="9.28515625" style="688" bestFit="1" customWidth="1"/>
    <col min="13354" max="13354" width="9.5703125" style="688" bestFit="1" customWidth="1"/>
    <col min="13355" max="13357" width="9.28515625" style="688" bestFit="1" customWidth="1"/>
    <col min="13358" max="13358" width="9.5703125" style="688" bestFit="1" customWidth="1"/>
    <col min="13359" max="13361" width="9.28515625" style="688" bestFit="1" customWidth="1"/>
    <col min="13362" max="13362" width="9.5703125" style="688" bestFit="1" customWidth="1"/>
    <col min="13363" max="13568" width="9.140625" style="688"/>
    <col min="13569" max="13569" width="18.42578125" style="688" customWidth="1"/>
    <col min="13570" max="13570" width="10.85546875" style="688" customWidth="1"/>
    <col min="13571" max="13571" width="21.5703125" style="688" customWidth="1"/>
    <col min="13572" max="13572" width="22.42578125" style="688" customWidth="1"/>
    <col min="13573" max="13573" width="33" style="688" customWidth="1"/>
    <col min="13574" max="13581" width="0" style="688" hidden="1" customWidth="1"/>
    <col min="13582" max="13582" width="11.85546875" style="688" customWidth="1"/>
    <col min="13583" max="13583" width="10.42578125" style="688" customWidth="1"/>
    <col min="13584" max="13584" width="11.140625" style="688" customWidth="1"/>
    <col min="13585" max="13585" width="7.7109375" style="688" customWidth="1"/>
    <col min="13586" max="13586" width="12.140625" style="688" customWidth="1"/>
    <col min="13587" max="13587" width="16.5703125" style="688" customWidth="1"/>
    <col min="13588" max="13588" width="3.85546875" style="688" customWidth="1"/>
    <col min="13589" max="13600" width="10" style="688" customWidth="1"/>
    <col min="13601" max="13601" width="11.140625" style="688" customWidth="1"/>
    <col min="13602" max="13604" width="9.28515625" style="688" customWidth="1"/>
    <col min="13605" max="13606" width="9.5703125" style="688" customWidth="1"/>
    <col min="13607" max="13609" width="9.28515625" style="688" bestFit="1" customWidth="1"/>
    <col min="13610" max="13610" width="9.5703125" style="688" bestFit="1" customWidth="1"/>
    <col min="13611" max="13613" width="9.28515625" style="688" bestFit="1" customWidth="1"/>
    <col min="13614" max="13614" width="9.5703125" style="688" bestFit="1" customWidth="1"/>
    <col min="13615" max="13617" width="9.28515625" style="688" bestFit="1" customWidth="1"/>
    <col min="13618" max="13618" width="9.5703125" style="688" bestFit="1" customWidth="1"/>
    <col min="13619" max="13824" width="9.140625" style="688"/>
    <col min="13825" max="13825" width="18.42578125" style="688" customWidth="1"/>
    <col min="13826" max="13826" width="10.85546875" style="688" customWidth="1"/>
    <col min="13827" max="13827" width="21.5703125" style="688" customWidth="1"/>
    <col min="13828" max="13828" width="22.42578125" style="688" customWidth="1"/>
    <col min="13829" max="13829" width="33" style="688" customWidth="1"/>
    <col min="13830" max="13837" width="0" style="688" hidden="1" customWidth="1"/>
    <col min="13838" max="13838" width="11.85546875" style="688" customWidth="1"/>
    <col min="13839" max="13839" width="10.42578125" style="688" customWidth="1"/>
    <col min="13840" max="13840" width="11.140625" style="688" customWidth="1"/>
    <col min="13841" max="13841" width="7.7109375" style="688" customWidth="1"/>
    <col min="13842" max="13842" width="12.140625" style="688" customWidth="1"/>
    <col min="13843" max="13843" width="16.5703125" style="688" customWidth="1"/>
    <col min="13844" max="13844" width="3.85546875" style="688" customWidth="1"/>
    <col min="13845" max="13856" width="10" style="688" customWidth="1"/>
    <col min="13857" max="13857" width="11.140625" style="688" customWidth="1"/>
    <col min="13858" max="13860" width="9.28515625" style="688" customWidth="1"/>
    <col min="13861" max="13862" width="9.5703125" style="688" customWidth="1"/>
    <col min="13863" max="13865" width="9.28515625" style="688" bestFit="1" customWidth="1"/>
    <col min="13866" max="13866" width="9.5703125" style="688" bestFit="1" customWidth="1"/>
    <col min="13867" max="13869" width="9.28515625" style="688" bestFit="1" customWidth="1"/>
    <col min="13870" max="13870" width="9.5703125" style="688" bestFit="1" customWidth="1"/>
    <col min="13871" max="13873" width="9.28515625" style="688" bestFit="1" customWidth="1"/>
    <col min="13874" max="13874" width="9.5703125" style="688" bestFit="1" customWidth="1"/>
    <col min="13875" max="14080" width="9.140625" style="688"/>
    <col min="14081" max="14081" width="18.42578125" style="688" customWidth="1"/>
    <col min="14082" max="14082" width="10.85546875" style="688" customWidth="1"/>
    <col min="14083" max="14083" width="21.5703125" style="688" customWidth="1"/>
    <col min="14084" max="14084" width="22.42578125" style="688" customWidth="1"/>
    <col min="14085" max="14085" width="33" style="688" customWidth="1"/>
    <col min="14086" max="14093" width="0" style="688" hidden="1" customWidth="1"/>
    <col min="14094" max="14094" width="11.85546875" style="688" customWidth="1"/>
    <col min="14095" max="14095" width="10.42578125" style="688" customWidth="1"/>
    <col min="14096" max="14096" width="11.140625" style="688" customWidth="1"/>
    <col min="14097" max="14097" width="7.7109375" style="688" customWidth="1"/>
    <col min="14098" max="14098" width="12.140625" style="688" customWidth="1"/>
    <col min="14099" max="14099" width="16.5703125" style="688" customWidth="1"/>
    <col min="14100" max="14100" width="3.85546875" style="688" customWidth="1"/>
    <col min="14101" max="14112" width="10" style="688" customWidth="1"/>
    <col min="14113" max="14113" width="11.140625" style="688" customWidth="1"/>
    <col min="14114" max="14116" width="9.28515625" style="688" customWidth="1"/>
    <col min="14117" max="14118" width="9.5703125" style="688" customWidth="1"/>
    <col min="14119" max="14121" width="9.28515625" style="688" bestFit="1" customWidth="1"/>
    <col min="14122" max="14122" width="9.5703125" style="688" bestFit="1" customWidth="1"/>
    <col min="14123" max="14125" width="9.28515625" style="688" bestFit="1" customWidth="1"/>
    <col min="14126" max="14126" width="9.5703125" style="688" bestFit="1" customWidth="1"/>
    <col min="14127" max="14129" width="9.28515625" style="688" bestFit="1" customWidth="1"/>
    <col min="14130" max="14130" width="9.5703125" style="688" bestFit="1" customWidth="1"/>
    <col min="14131" max="14336" width="9.140625" style="688"/>
    <col min="14337" max="14337" width="18.42578125" style="688" customWidth="1"/>
    <col min="14338" max="14338" width="10.85546875" style="688" customWidth="1"/>
    <col min="14339" max="14339" width="21.5703125" style="688" customWidth="1"/>
    <col min="14340" max="14340" width="22.42578125" style="688" customWidth="1"/>
    <col min="14341" max="14341" width="33" style="688" customWidth="1"/>
    <col min="14342" max="14349" width="0" style="688" hidden="1" customWidth="1"/>
    <col min="14350" max="14350" width="11.85546875" style="688" customWidth="1"/>
    <col min="14351" max="14351" width="10.42578125" style="688" customWidth="1"/>
    <col min="14352" max="14352" width="11.140625" style="688" customWidth="1"/>
    <col min="14353" max="14353" width="7.7109375" style="688" customWidth="1"/>
    <col min="14354" max="14354" width="12.140625" style="688" customWidth="1"/>
    <col min="14355" max="14355" width="16.5703125" style="688" customWidth="1"/>
    <col min="14356" max="14356" width="3.85546875" style="688" customWidth="1"/>
    <col min="14357" max="14368" width="10" style="688" customWidth="1"/>
    <col min="14369" max="14369" width="11.140625" style="688" customWidth="1"/>
    <col min="14370" max="14372" width="9.28515625" style="688" customWidth="1"/>
    <col min="14373" max="14374" width="9.5703125" style="688" customWidth="1"/>
    <col min="14375" max="14377" width="9.28515625" style="688" bestFit="1" customWidth="1"/>
    <col min="14378" max="14378" width="9.5703125" style="688" bestFit="1" customWidth="1"/>
    <col min="14379" max="14381" width="9.28515625" style="688" bestFit="1" customWidth="1"/>
    <col min="14382" max="14382" width="9.5703125" style="688" bestFit="1" customWidth="1"/>
    <col min="14383" max="14385" width="9.28515625" style="688" bestFit="1" customWidth="1"/>
    <col min="14386" max="14386" width="9.5703125" style="688" bestFit="1" customWidth="1"/>
    <col min="14387" max="14592" width="9.140625" style="688"/>
    <col min="14593" max="14593" width="18.42578125" style="688" customWidth="1"/>
    <col min="14594" max="14594" width="10.85546875" style="688" customWidth="1"/>
    <col min="14595" max="14595" width="21.5703125" style="688" customWidth="1"/>
    <col min="14596" max="14596" width="22.42578125" style="688" customWidth="1"/>
    <col min="14597" max="14597" width="33" style="688" customWidth="1"/>
    <col min="14598" max="14605" width="0" style="688" hidden="1" customWidth="1"/>
    <col min="14606" max="14606" width="11.85546875" style="688" customWidth="1"/>
    <col min="14607" max="14607" width="10.42578125" style="688" customWidth="1"/>
    <col min="14608" max="14608" width="11.140625" style="688" customWidth="1"/>
    <col min="14609" max="14609" width="7.7109375" style="688" customWidth="1"/>
    <col min="14610" max="14610" width="12.140625" style="688" customWidth="1"/>
    <col min="14611" max="14611" width="16.5703125" style="688" customWidth="1"/>
    <col min="14612" max="14612" width="3.85546875" style="688" customWidth="1"/>
    <col min="14613" max="14624" width="10" style="688" customWidth="1"/>
    <col min="14625" max="14625" width="11.140625" style="688" customWidth="1"/>
    <col min="14626" max="14628" width="9.28515625" style="688" customWidth="1"/>
    <col min="14629" max="14630" width="9.5703125" style="688" customWidth="1"/>
    <col min="14631" max="14633" width="9.28515625" style="688" bestFit="1" customWidth="1"/>
    <col min="14634" max="14634" width="9.5703125" style="688" bestFit="1" customWidth="1"/>
    <col min="14635" max="14637" width="9.28515625" style="688" bestFit="1" customWidth="1"/>
    <col min="14638" max="14638" width="9.5703125" style="688" bestFit="1" customWidth="1"/>
    <col min="14639" max="14641" width="9.28515625" style="688" bestFit="1" customWidth="1"/>
    <col min="14642" max="14642" width="9.5703125" style="688" bestFit="1" customWidth="1"/>
    <col min="14643" max="14848" width="9.140625" style="688"/>
    <col min="14849" max="14849" width="18.42578125" style="688" customWidth="1"/>
    <col min="14850" max="14850" width="10.85546875" style="688" customWidth="1"/>
    <col min="14851" max="14851" width="21.5703125" style="688" customWidth="1"/>
    <col min="14852" max="14852" width="22.42578125" style="688" customWidth="1"/>
    <col min="14853" max="14853" width="33" style="688" customWidth="1"/>
    <col min="14854" max="14861" width="0" style="688" hidden="1" customWidth="1"/>
    <col min="14862" max="14862" width="11.85546875" style="688" customWidth="1"/>
    <col min="14863" max="14863" width="10.42578125" style="688" customWidth="1"/>
    <col min="14864" max="14864" width="11.140625" style="688" customWidth="1"/>
    <col min="14865" max="14865" width="7.7109375" style="688" customWidth="1"/>
    <col min="14866" max="14866" width="12.140625" style="688" customWidth="1"/>
    <col min="14867" max="14867" width="16.5703125" style="688" customWidth="1"/>
    <col min="14868" max="14868" width="3.85546875" style="688" customWidth="1"/>
    <col min="14869" max="14880" width="10" style="688" customWidth="1"/>
    <col min="14881" max="14881" width="11.140625" style="688" customWidth="1"/>
    <col min="14882" max="14884" width="9.28515625" style="688" customWidth="1"/>
    <col min="14885" max="14886" width="9.5703125" style="688" customWidth="1"/>
    <col min="14887" max="14889" width="9.28515625" style="688" bestFit="1" customWidth="1"/>
    <col min="14890" max="14890" width="9.5703125" style="688" bestFit="1" customWidth="1"/>
    <col min="14891" max="14893" width="9.28515625" style="688" bestFit="1" customWidth="1"/>
    <col min="14894" max="14894" width="9.5703125" style="688" bestFit="1" customWidth="1"/>
    <col min="14895" max="14897" width="9.28515625" style="688" bestFit="1" customWidth="1"/>
    <col min="14898" max="14898" width="9.5703125" style="688" bestFit="1" customWidth="1"/>
    <col min="14899" max="15104" width="9.140625" style="688"/>
    <col min="15105" max="15105" width="18.42578125" style="688" customWidth="1"/>
    <col min="15106" max="15106" width="10.85546875" style="688" customWidth="1"/>
    <col min="15107" max="15107" width="21.5703125" style="688" customWidth="1"/>
    <col min="15108" max="15108" width="22.42578125" style="688" customWidth="1"/>
    <col min="15109" max="15109" width="33" style="688" customWidth="1"/>
    <col min="15110" max="15117" width="0" style="688" hidden="1" customWidth="1"/>
    <col min="15118" max="15118" width="11.85546875" style="688" customWidth="1"/>
    <col min="15119" max="15119" width="10.42578125" style="688" customWidth="1"/>
    <col min="15120" max="15120" width="11.140625" style="688" customWidth="1"/>
    <col min="15121" max="15121" width="7.7109375" style="688" customWidth="1"/>
    <col min="15122" max="15122" width="12.140625" style="688" customWidth="1"/>
    <col min="15123" max="15123" width="16.5703125" style="688" customWidth="1"/>
    <col min="15124" max="15124" width="3.85546875" style="688" customWidth="1"/>
    <col min="15125" max="15136" width="10" style="688" customWidth="1"/>
    <col min="15137" max="15137" width="11.140625" style="688" customWidth="1"/>
    <col min="15138" max="15140" width="9.28515625" style="688" customWidth="1"/>
    <col min="15141" max="15142" width="9.5703125" style="688" customWidth="1"/>
    <col min="15143" max="15145" width="9.28515625" style="688" bestFit="1" customWidth="1"/>
    <col min="15146" max="15146" width="9.5703125" style="688" bestFit="1" customWidth="1"/>
    <col min="15147" max="15149" width="9.28515625" style="688" bestFit="1" customWidth="1"/>
    <col min="15150" max="15150" width="9.5703125" style="688" bestFit="1" customWidth="1"/>
    <col min="15151" max="15153" width="9.28515625" style="688" bestFit="1" customWidth="1"/>
    <col min="15154" max="15154" width="9.5703125" style="688" bestFit="1" customWidth="1"/>
    <col min="15155" max="15360" width="9.140625" style="688"/>
    <col min="15361" max="15361" width="18.42578125" style="688" customWidth="1"/>
    <col min="15362" max="15362" width="10.85546875" style="688" customWidth="1"/>
    <col min="15363" max="15363" width="21.5703125" style="688" customWidth="1"/>
    <col min="15364" max="15364" width="22.42578125" style="688" customWidth="1"/>
    <col min="15365" max="15365" width="33" style="688" customWidth="1"/>
    <col min="15366" max="15373" width="0" style="688" hidden="1" customWidth="1"/>
    <col min="15374" max="15374" width="11.85546875" style="688" customWidth="1"/>
    <col min="15375" max="15375" width="10.42578125" style="688" customWidth="1"/>
    <col min="15376" max="15376" width="11.140625" style="688" customWidth="1"/>
    <col min="15377" max="15377" width="7.7109375" style="688" customWidth="1"/>
    <col min="15378" max="15378" width="12.140625" style="688" customWidth="1"/>
    <col min="15379" max="15379" width="16.5703125" style="688" customWidth="1"/>
    <col min="15380" max="15380" width="3.85546875" style="688" customWidth="1"/>
    <col min="15381" max="15392" width="10" style="688" customWidth="1"/>
    <col min="15393" max="15393" width="11.140625" style="688" customWidth="1"/>
    <col min="15394" max="15396" width="9.28515625" style="688" customWidth="1"/>
    <col min="15397" max="15398" width="9.5703125" style="688" customWidth="1"/>
    <col min="15399" max="15401" width="9.28515625" style="688" bestFit="1" customWidth="1"/>
    <col min="15402" max="15402" width="9.5703125" style="688" bestFit="1" customWidth="1"/>
    <col min="15403" max="15405" width="9.28515625" style="688" bestFit="1" customWidth="1"/>
    <col min="15406" max="15406" width="9.5703125" style="688" bestFit="1" customWidth="1"/>
    <col min="15407" max="15409" width="9.28515625" style="688" bestFit="1" customWidth="1"/>
    <col min="15410" max="15410" width="9.5703125" style="688" bestFit="1" customWidth="1"/>
    <col min="15411" max="15616" width="9.140625" style="688"/>
    <col min="15617" max="15617" width="18.42578125" style="688" customWidth="1"/>
    <col min="15618" max="15618" width="10.85546875" style="688" customWidth="1"/>
    <col min="15619" max="15619" width="21.5703125" style="688" customWidth="1"/>
    <col min="15620" max="15620" width="22.42578125" style="688" customWidth="1"/>
    <col min="15621" max="15621" width="33" style="688" customWidth="1"/>
    <col min="15622" max="15629" width="0" style="688" hidden="1" customWidth="1"/>
    <col min="15630" max="15630" width="11.85546875" style="688" customWidth="1"/>
    <col min="15631" max="15631" width="10.42578125" style="688" customWidth="1"/>
    <col min="15632" max="15632" width="11.140625" style="688" customWidth="1"/>
    <col min="15633" max="15633" width="7.7109375" style="688" customWidth="1"/>
    <col min="15634" max="15634" width="12.140625" style="688" customWidth="1"/>
    <col min="15635" max="15635" width="16.5703125" style="688" customWidth="1"/>
    <col min="15636" max="15636" width="3.85546875" style="688" customWidth="1"/>
    <col min="15637" max="15648" width="10" style="688" customWidth="1"/>
    <col min="15649" max="15649" width="11.140625" style="688" customWidth="1"/>
    <col min="15650" max="15652" width="9.28515625" style="688" customWidth="1"/>
    <col min="15653" max="15654" width="9.5703125" style="688" customWidth="1"/>
    <col min="15655" max="15657" width="9.28515625" style="688" bestFit="1" customWidth="1"/>
    <col min="15658" max="15658" width="9.5703125" style="688" bestFit="1" customWidth="1"/>
    <col min="15659" max="15661" width="9.28515625" style="688" bestFit="1" customWidth="1"/>
    <col min="15662" max="15662" width="9.5703125" style="688" bestFit="1" customWidth="1"/>
    <col min="15663" max="15665" width="9.28515625" style="688" bestFit="1" customWidth="1"/>
    <col min="15666" max="15666" width="9.5703125" style="688" bestFit="1" customWidth="1"/>
    <col min="15667" max="15872" width="9.140625" style="688"/>
    <col min="15873" max="15873" width="18.42578125" style="688" customWidth="1"/>
    <col min="15874" max="15874" width="10.85546875" style="688" customWidth="1"/>
    <col min="15875" max="15875" width="21.5703125" style="688" customWidth="1"/>
    <col min="15876" max="15876" width="22.42578125" style="688" customWidth="1"/>
    <col min="15877" max="15877" width="33" style="688" customWidth="1"/>
    <col min="15878" max="15885" width="0" style="688" hidden="1" customWidth="1"/>
    <col min="15886" max="15886" width="11.85546875" style="688" customWidth="1"/>
    <col min="15887" max="15887" width="10.42578125" style="688" customWidth="1"/>
    <col min="15888" max="15888" width="11.140625" style="688" customWidth="1"/>
    <col min="15889" max="15889" width="7.7109375" style="688" customWidth="1"/>
    <col min="15890" max="15890" width="12.140625" style="688" customWidth="1"/>
    <col min="15891" max="15891" width="16.5703125" style="688" customWidth="1"/>
    <col min="15892" max="15892" width="3.85546875" style="688" customWidth="1"/>
    <col min="15893" max="15904" width="10" style="688" customWidth="1"/>
    <col min="15905" max="15905" width="11.140625" style="688" customWidth="1"/>
    <col min="15906" max="15908" width="9.28515625" style="688" customWidth="1"/>
    <col min="15909" max="15910" width="9.5703125" style="688" customWidth="1"/>
    <col min="15911" max="15913" width="9.28515625" style="688" bestFit="1" customWidth="1"/>
    <col min="15914" max="15914" width="9.5703125" style="688" bestFit="1" customWidth="1"/>
    <col min="15915" max="15917" width="9.28515625" style="688" bestFit="1" customWidth="1"/>
    <col min="15918" max="15918" width="9.5703125" style="688" bestFit="1" customWidth="1"/>
    <col min="15919" max="15921" width="9.28515625" style="688" bestFit="1" customWidth="1"/>
    <col min="15922" max="15922" width="9.5703125" style="688" bestFit="1" customWidth="1"/>
    <col min="15923" max="16128" width="9.140625" style="688"/>
    <col min="16129" max="16129" width="18.42578125" style="688" customWidth="1"/>
    <col min="16130" max="16130" width="10.85546875" style="688" customWidth="1"/>
    <col min="16131" max="16131" width="21.5703125" style="688" customWidth="1"/>
    <col min="16132" max="16132" width="22.42578125" style="688" customWidth="1"/>
    <col min="16133" max="16133" width="33" style="688" customWidth="1"/>
    <col min="16134" max="16141" width="0" style="688" hidden="1" customWidth="1"/>
    <col min="16142" max="16142" width="11.85546875" style="688" customWidth="1"/>
    <col min="16143" max="16143" width="10.42578125" style="688" customWidth="1"/>
    <col min="16144" max="16144" width="11.140625" style="688" customWidth="1"/>
    <col min="16145" max="16145" width="7.7109375" style="688" customWidth="1"/>
    <col min="16146" max="16146" width="12.140625" style="688" customWidth="1"/>
    <col min="16147" max="16147" width="16.5703125" style="688" customWidth="1"/>
    <col min="16148" max="16148" width="3.85546875" style="688" customWidth="1"/>
    <col min="16149" max="16160" width="10" style="688" customWidth="1"/>
    <col min="16161" max="16161" width="11.140625" style="688" customWidth="1"/>
    <col min="16162" max="16164" width="9.28515625" style="688" customWidth="1"/>
    <col min="16165" max="16166" width="9.5703125" style="688" customWidth="1"/>
    <col min="16167" max="16169" width="9.28515625" style="688" bestFit="1" customWidth="1"/>
    <col min="16170" max="16170" width="9.5703125" style="688" bestFit="1" customWidth="1"/>
    <col min="16171" max="16173" width="9.28515625" style="688" bestFit="1" customWidth="1"/>
    <col min="16174" max="16174" width="9.5703125" style="688" bestFit="1" customWidth="1"/>
    <col min="16175" max="16177" width="9.28515625" style="688" bestFit="1" customWidth="1"/>
    <col min="16178" max="16178" width="9.5703125" style="688" bestFit="1" customWidth="1"/>
    <col min="16179" max="16384" width="9.140625" style="688"/>
  </cols>
  <sheetData>
    <row r="1" spans="1:66" s="678" customFormat="1" ht="15.75">
      <c r="A1" s="677"/>
      <c r="C1" s="679" t="s">
        <v>1</v>
      </c>
      <c r="D1" s="680">
        <v>2</v>
      </c>
      <c r="E1" s="680">
        <f>D1+1</f>
        <v>3</v>
      </c>
      <c r="F1" s="680">
        <f t="shared" ref="F1:BE1" si="0">E1+1</f>
        <v>4</v>
      </c>
      <c r="G1" s="680">
        <f t="shared" si="0"/>
        <v>5</v>
      </c>
      <c r="H1" s="680">
        <f t="shared" si="0"/>
        <v>6</v>
      </c>
      <c r="I1" s="680">
        <f t="shared" si="0"/>
        <v>7</v>
      </c>
      <c r="J1" s="680">
        <f t="shared" si="0"/>
        <v>8</v>
      </c>
      <c r="K1" s="680">
        <f t="shared" si="0"/>
        <v>9</v>
      </c>
      <c r="L1" s="680">
        <f t="shared" si="0"/>
        <v>10</v>
      </c>
      <c r="M1" s="680">
        <f t="shared" si="0"/>
        <v>11</v>
      </c>
      <c r="N1" s="680">
        <f t="shared" si="0"/>
        <v>12</v>
      </c>
      <c r="O1" s="680">
        <f t="shared" si="0"/>
        <v>13</v>
      </c>
      <c r="P1" s="680">
        <f t="shared" si="0"/>
        <v>14</v>
      </c>
      <c r="Q1" s="680">
        <f t="shared" si="0"/>
        <v>15</v>
      </c>
      <c r="R1" s="680">
        <f t="shared" si="0"/>
        <v>16</v>
      </c>
      <c r="S1" s="680">
        <f t="shared" si="0"/>
        <v>17</v>
      </c>
      <c r="T1" s="680">
        <f t="shared" si="0"/>
        <v>18</v>
      </c>
      <c r="U1" s="680">
        <f t="shared" si="0"/>
        <v>19</v>
      </c>
      <c r="V1" s="680">
        <f t="shared" si="0"/>
        <v>20</v>
      </c>
      <c r="W1" s="680">
        <f t="shared" si="0"/>
        <v>21</v>
      </c>
      <c r="X1" s="680">
        <f t="shared" si="0"/>
        <v>22</v>
      </c>
      <c r="Y1" s="680">
        <f t="shared" si="0"/>
        <v>23</v>
      </c>
      <c r="Z1" s="680">
        <f t="shared" si="0"/>
        <v>24</v>
      </c>
      <c r="AA1" s="680">
        <f t="shared" si="0"/>
        <v>25</v>
      </c>
      <c r="AB1" s="680">
        <f t="shared" si="0"/>
        <v>26</v>
      </c>
      <c r="AC1" s="680">
        <f t="shared" si="0"/>
        <v>27</v>
      </c>
      <c r="AD1" s="680">
        <f t="shared" si="0"/>
        <v>28</v>
      </c>
      <c r="AE1" s="680">
        <f t="shared" si="0"/>
        <v>29</v>
      </c>
      <c r="AF1" s="680">
        <f t="shared" si="0"/>
        <v>30</v>
      </c>
      <c r="AG1" s="680">
        <f t="shared" si="0"/>
        <v>31</v>
      </c>
      <c r="AH1" s="680">
        <f t="shared" si="0"/>
        <v>32</v>
      </c>
      <c r="AI1" s="680">
        <f t="shared" si="0"/>
        <v>33</v>
      </c>
      <c r="AJ1" s="680">
        <f t="shared" si="0"/>
        <v>34</v>
      </c>
      <c r="AK1" s="680">
        <f t="shared" si="0"/>
        <v>35</v>
      </c>
      <c r="AL1" s="680">
        <f t="shared" si="0"/>
        <v>36</v>
      </c>
      <c r="AM1" s="680">
        <f t="shared" si="0"/>
        <v>37</v>
      </c>
      <c r="AN1" s="680">
        <f t="shared" si="0"/>
        <v>38</v>
      </c>
      <c r="AO1" s="680">
        <f t="shared" si="0"/>
        <v>39</v>
      </c>
      <c r="AP1" s="680">
        <f t="shared" si="0"/>
        <v>40</v>
      </c>
      <c r="AQ1" s="680">
        <f t="shared" si="0"/>
        <v>41</v>
      </c>
      <c r="AR1" s="680">
        <f t="shared" si="0"/>
        <v>42</v>
      </c>
      <c r="AS1" s="680">
        <f t="shared" si="0"/>
        <v>43</v>
      </c>
      <c r="AT1" s="680">
        <f t="shared" si="0"/>
        <v>44</v>
      </c>
      <c r="AU1" s="680">
        <f t="shared" si="0"/>
        <v>45</v>
      </c>
      <c r="AV1" s="680">
        <f t="shared" si="0"/>
        <v>46</v>
      </c>
      <c r="AW1" s="680">
        <f t="shared" si="0"/>
        <v>47</v>
      </c>
      <c r="AX1" s="680">
        <f t="shared" si="0"/>
        <v>48</v>
      </c>
      <c r="AY1" s="680">
        <f t="shared" si="0"/>
        <v>49</v>
      </c>
      <c r="AZ1" s="680">
        <f t="shared" si="0"/>
        <v>50</v>
      </c>
      <c r="BA1" s="680">
        <f t="shared" si="0"/>
        <v>51</v>
      </c>
      <c r="BB1" s="680">
        <f t="shared" si="0"/>
        <v>52</v>
      </c>
      <c r="BC1" s="680">
        <f t="shared" si="0"/>
        <v>53</v>
      </c>
      <c r="BD1" s="680">
        <f t="shared" si="0"/>
        <v>54</v>
      </c>
      <c r="BE1" s="680">
        <f t="shared" si="0"/>
        <v>55</v>
      </c>
      <c r="BF1" s="680"/>
      <c r="BG1" s="680"/>
      <c r="BH1" s="680"/>
      <c r="BI1" s="680"/>
      <c r="BJ1" s="680"/>
      <c r="BK1" s="680"/>
      <c r="BL1" s="680"/>
      <c r="BM1" s="680"/>
      <c r="BN1" s="680"/>
    </row>
    <row r="2" spans="1:66" s="678" customFormat="1" ht="15.75">
      <c r="A2" s="677"/>
      <c r="C2" s="679"/>
      <c r="D2" s="680"/>
      <c r="E2" s="680"/>
      <c r="F2" s="680"/>
      <c r="G2" s="681"/>
      <c r="H2" s="681"/>
      <c r="I2" s="680"/>
      <c r="J2" s="684" t="s">
        <v>373</v>
      </c>
      <c r="K2" s="685"/>
      <c r="L2" s="686"/>
      <c r="M2" s="680"/>
      <c r="N2" s="680"/>
      <c r="O2" s="680"/>
      <c r="P2" s="680"/>
      <c r="Q2" s="680"/>
      <c r="R2" s="682"/>
      <c r="U2" s="680"/>
      <c r="V2" s="680"/>
      <c r="W2" s="680"/>
      <c r="X2" s="680"/>
      <c r="Y2" s="680"/>
      <c r="Z2" s="680"/>
      <c r="AA2" s="680"/>
      <c r="AB2" s="680"/>
      <c r="AC2" s="680"/>
      <c r="AD2" s="680"/>
      <c r="AE2" s="680"/>
      <c r="AF2" s="680"/>
      <c r="AG2" s="680"/>
      <c r="AH2" s="680"/>
      <c r="AI2" s="680"/>
      <c r="AJ2" s="680"/>
      <c r="AK2" s="680"/>
      <c r="AL2" s="680"/>
      <c r="AM2" s="680"/>
      <c r="AN2" s="680"/>
      <c r="AO2" s="680"/>
      <c r="AP2" s="680"/>
      <c r="AQ2" s="680"/>
      <c r="AR2" s="683"/>
      <c r="AS2" s="680"/>
      <c r="AT2" s="680"/>
      <c r="AU2" s="680"/>
      <c r="AV2" s="680"/>
      <c r="AW2" s="680"/>
      <c r="AX2" s="680"/>
      <c r="AY2" s="680"/>
      <c r="AZ2" s="680"/>
      <c r="BA2" s="680"/>
      <c r="BB2" s="680"/>
      <c r="BC2" s="680"/>
      <c r="BD2" s="680"/>
      <c r="BE2" s="680"/>
      <c r="BF2" s="680"/>
      <c r="BG2" s="680"/>
      <c r="BH2" s="680"/>
      <c r="BI2" s="680"/>
      <c r="BJ2" s="680"/>
      <c r="BK2" s="680"/>
      <c r="BL2" s="680"/>
      <c r="BM2" s="680"/>
      <c r="BN2" s="680"/>
    </row>
    <row r="3" spans="1:66">
      <c r="C3" s="689" t="s">
        <v>374</v>
      </c>
      <c r="D3" s="690"/>
      <c r="E3" s="690"/>
      <c r="F3" s="690"/>
      <c r="G3" s="691"/>
      <c r="H3" s="691"/>
      <c r="I3" s="690"/>
      <c r="J3" s="691"/>
      <c r="K3" s="692"/>
      <c r="L3" s="690"/>
      <c r="M3" s="690"/>
      <c r="N3" s="690"/>
      <c r="O3" s="690"/>
      <c r="P3" s="690"/>
      <c r="Q3" s="690"/>
      <c r="R3" s="214"/>
      <c r="S3" s="692"/>
      <c r="T3" s="692"/>
      <c r="U3" s="690"/>
      <c r="V3" s="690"/>
      <c r="W3" s="690"/>
      <c r="X3" s="690"/>
      <c r="Y3" s="690"/>
      <c r="Z3" s="690"/>
      <c r="AA3" s="690"/>
      <c r="AB3" s="690"/>
      <c r="AC3" s="690"/>
      <c r="AD3" s="690"/>
      <c r="AE3" s="690"/>
      <c r="AF3" s="690"/>
      <c r="AG3" s="690"/>
      <c r="AH3" s="680"/>
      <c r="AI3" s="680"/>
      <c r="AJ3" s="680"/>
      <c r="AK3" s="680"/>
      <c r="AL3" s="680"/>
      <c r="AM3" s="680"/>
      <c r="AN3" s="680"/>
      <c r="AO3" s="680"/>
      <c r="AP3" s="680"/>
      <c r="AQ3" s="680"/>
      <c r="AR3" s="683"/>
      <c r="AS3" s="680"/>
      <c r="AT3" s="680"/>
      <c r="AU3" s="680"/>
      <c r="AV3" s="680"/>
      <c r="AW3" s="680"/>
      <c r="AX3" s="680"/>
      <c r="AY3" s="680"/>
      <c r="AZ3" s="680"/>
      <c r="BA3" s="680"/>
      <c r="BB3" s="680"/>
      <c r="BC3" s="680"/>
      <c r="BD3" s="680"/>
      <c r="BE3" s="680"/>
      <c r="BF3" s="680"/>
      <c r="BG3" s="680"/>
      <c r="BH3" s="680"/>
      <c r="BI3" s="680"/>
      <c r="BJ3" s="680"/>
      <c r="BK3" s="680"/>
      <c r="BL3" s="680"/>
      <c r="BM3" s="680"/>
      <c r="BN3" s="680"/>
    </row>
    <row r="4" spans="1:66" ht="4.5" customHeight="1" thickBot="1">
      <c r="C4" s="693" t="s">
        <v>375</v>
      </c>
      <c r="D4" s="690"/>
      <c r="E4" s="690"/>
      <c r="F4" s="690"/>
      <c r="G4" s="691"/>
      <c r="H4" s="691"/>
      <c r="I4" s="690"/>
      <c r="J4" s="691"/>
      <c r="K4" s="692"/>
      <c r="L4" s="690"/>
      <c r="M4" s="690"/>
      <c r="N4" s="690"/>
      <c r="O4" s="690"/>
      <c r="P4" s="690"/>
      <c r="Q4" s="690"/>
      <c r="R4" s="214"/>
      <c r="S4" s="692"/>
      <c r="T4" s="692"/>
      <c r="U4" s="690"/>
      <c r="V4" s="690"/>
      <c r="W4" s="690"/>
      <c r="X4" s="690"/>
      <c r="Y4" s="690"/>
      <c r="Z4" s="690"/>
      <c r="AA4" s="690"/>
      <c r="AB4" s="690"/>
      <c r="AC4" s="690"/>
      <c r="AD4" s="690"/>
      <c r="AE4" s="690"/>
      <c r="AF4" s="690"/>
      <c r="AG4" s="690"/>
      <c r="AH4" s="680"/>
      <c r="AI4" s="680"/>
      <c r="AJ4" s="680"/>
      <c r="AK4" s="680"/>
      <c r="AL4" s="680"/>
      <c r="AM4" s="680"/>
      <c r="AN4" s="694">
        <f>SUBTOTAL(9,AN7:AN304)</f>
        <v>246.66941549649141</v>
      </c>
      <c r="AO4" s="694">
        <f>SUBTOTAL(9,AO7:AO304)</f>
        <v>318.52229794829657</v>
      </c>
      <c r="AP4" s="694">
        <f t="shared" ref="AP4:AY4" si="1">SUBTOTAL(9,AP7:AP304)</f>
        <v>393.6802358489175</v>
      </c>
      <c r="AQ4" s="694">
        <f t="shared" si="1"/>
        <v>323.94988883118015</v>
      </c>
      <c r="AR4" s="694">
        <f t="shared" si="1"/>
        <v>333.65904665277606</v>
      </c>
      <c r="AS4" s="694">
        <f t="shared" si="1"/>
        <v>451.55630309338574</v>
      </c>
      <c r="AT4" s="694">
        <f t="shared" si="1"/>
        <v>388.03995631849983</v>
      </c>
      <c r="AU4" s="694">
        <f t="shared" si="1"/>
        <v>359.56475122646776</v>
      </c>
      <c r="AV4" s="694">
        <f t="shared" si="1"/>
        <v>393.86072408277255</v>
      </c>
      <c r="AW4" s="694">
        <f t="shared" si="1"/>
        <v>417.37529509757115</v>
      </c>
      <c r="AX4" s="694">
        <f t="shared" si="1"/>
        <v>398.07006373088541</v>
      </c>
      <c r="AY4" s="694">
        <f t="shared" si="1"/>
        <v>350.52997644020593</v>
      </c>
      <c r="AZ4" s="680"/>
      <c r="BA4" s="680"/>
      <c r="BB4" s="680"/>
      <c r="BC4" s="680"/>
      <c r="BD4" s="680"/>
      <c r="BE4" s="680"/>
      <c r="BF4" s="680"/>
      <c r="BG4" s="680"/>
      <c r="BH4" s="680"/>
      <c r="BI4" s="680"/>
      <c r="BJ4" s="680"/>
      <c r="BK4" s="680"/>
      <c r="BL4" s="680"/>
      <c r="BM4" s="680"/>
      <c r="BN4" s="680"/>
    </row>
    <row r="5" spans="1:66" ht="23.25" customHeight="1" thickBot="1">
      <c r="A5" s="695" t="s">
        <v>376</v>
      </c>
      <c r="B5" s="696" t="s">
        <v>126</v>
      </c>
      <c r="C5" s="697" t="s">
        <v>127</v>
      </c>
      <c r="D5" s="698" t="s">
        <v>128</v>
      </c>
      <c r="E5" s="698" t="s">
        <v>129</v>
      </c>
      <c r="F5" s="699" t="s">
        <v>377</v>
      </c>
      <c r="G5" s="699" t="s">
        <v>378</v>
      </c>
      <c r="H5" s="699" t="s">
        <v>379</v>
      </c>
      <c r="I5" s="700" t="s">
        <v>380</v>
      </c>
      <c r="J5" s="699" t="s">
        <v>381</v>
      </c>
      <c r="K5" s="699" t="s">
        <v>382</v>
      </c>
      <c r="L5" s="701" t="s">
        <v>383</v>
      </c>
      <c r="M5" s="701" t="s">
        <v>384</v>
      </c>
      <c r="N5" s="701" t="s">
        <v>385</v>
      </c>
      <c r="O5" s="701" t="s">
        <v>386</v>
      </c>
      <c r="P5" s="701" t="s">
        <v>387</v>
      </c>
      <c r="Q5" s="702"/>
      <c r="R5" s="703" t="s">
        <v>24</v>
      </c>
      <c r="S5" s="704"/>
      <c r="T5" s="704"/>
      <c r="U5" s="705">
        <v>42468</v>
      </c>
      <c r="V5" s="705">
        <f t="shared" ref="V5:AF5" si="2">+U5+31</f>
        <v>42499</v>
      </c>
      <c r="W5" s="705">
        <f t="shared" si="2"/>
        <v>42530</v>
      </c>
      <c r="X5" s="705">
        <f t="shared" si="2"/>
        <v>42561</v>
      </c>
      <c r="Y5" s="705">
        <f t="shared" si="2"/>
        <v>42592</v>
      </c>
      <c r="Z5" s="705">
        <f t="shared" si="2"/>
        <v>42623</v>
      </c>
      <c r="AA5" s="705">
        <f t="shared" si="2"/>
        <v>42654</v>
      </c>
      <c r="AB5" s="705">
        <f t="shared" si="2"/>
        <v>42685</v>
      </c>
      <c r="AC5" s="705">
        <f t="shared" si="2"/>
        <v>42716</v>
      </c>
      <c r="AD5" s="705">
        <f t="shared" si="2"/>
        <v>42747</v>
      </c>
      <c r="AE5" s="705">
        <f t="shared" si="2"/>
        <v>42778</v>
      </c>
      <c r="AF5" s="706">
        <f t="shared" si="2"/>
        <v>42809</v>
      </c>
      <c r="AG5" s="707"/>
      <c r="AH5" s="708" t="s">
        <v>388</v>
      </c>
      <c r="AI5" s="708" t="s">
        <v>389</v>
      </c>
      <c r="AJ5" s="708" t="s">
        <v>390</v>
      </c>
      <c r="AK5" s="709" t="s">
        <v>391</v>
      </c>
      <c r="AL5" s="709" t="s">
        <v>348</v>
      </c>
      <c r="AM5" s="680"/>
      <c r="AN5" s="705">
        <v>42468</v>
      </c>
      <c r="AO5" s="705">
        <f t="shared" ref="AO5:AY5" si="3">+AN5+31</f>
        <v>42499</v>
      </c>
      <c r="AP5" s="705">
        <f t="shared" si="3"/>
        <v>42530</v>
      </c>
      <c r="AQ5" s="705">
        <f t="shared" si="3"/>
        <v>42561</v>
      </c>
      <c r="AR5" s="705">
        <f t="shared" si="3"/>
        <v>42592</v>
      </c>
      <c r="AS5" s="705">
        <f t="shared" si="3"/>
        <v>42623</v>
      </c>
      <c r="AT5" s="705">
        <f t="shared" si="3"/>
        <v>42654</v>
      </c>
      <c r="AU5" s="705">
        <f t="shared" si="3"/>
        <v>42685</v>
      </c>
      <c r="AV5" s="705">
        <f t="shared" si="3"/>
        <v>42716</v>
      </c>
      <c r="AW5" s="705">
        <f t="shared" si="3"/>
        <v>42747</v>
      </c>
      <c r="AX5" s="705">
        <f t="shared" si="3"/>
        <v>42778</v>
      </c>
      <c r="AY5" s="706">
        <f t="shared" si="3"/>
        <v>42809</v>
      </c>
      <c r="AZ5" s="707"/>
      <c r="BA5" s="708" t="s">
        <v>388</v>
      </c>
      <c r="BB5" s="708" t="s">
        <v>389</v>
      </c>
      <c r="BC5" s="708" t="s">
        <v>390</v>
      </c>
      <c r="BD5" s="709" t="s">
        <v>391</v>
      </c>
      <c r="BE5" s="707" t="s">
        <v>348</v>
      </c>
      <c r="BF5" s="680"/>
      <c r="BG5" s="680"/>
      <c r="BH5" s="680"/>
      <c r="BI5" s="680"/>
      <c r="BJ5" s="680"/>
      <c r="BK5" s="680"/>
      <c r="BL5" s="680"/>
      <c r="BM5" s="680"/>
      <c r="BN5" s="680"/>
    </row>
    <row r="6" spans="1:66" ht="17.25" customHeight="1" thickBot="1">
      <c r="A6" s="710"/>
      <c r="B6" s="711"/>
      <c r="C6" s="712"/>
      <c r="D6" s="713"/>
      <c r="E6" s="713"/>
      <c r="F6" s="714"/>
      <c r="G6" s="714"/>
      <c r="H6" s="714"/>
      <c r="I6" s="715"/>
      <c r="J6" s="714"/>
      <c r="K6" s="716"/>
      <c r="L6" s="717"/>
      <c r="M6" s="717"/>
      <c r="N6" s="717"/>
      <c r="O6" s="717"/>
      <c r="P6" s="717"/>
      <c r="Q6" s="718"/>
      <c r="R6" s="719"/>
      <c r="S6" s="720"/>
      <c r="T6" s="720"/>
      <c r="U6" s="721"/>
      <c r="V6" s="721"/>
      <c r="W6" s="721"/>
      <c r="X6" s="721"/>
      <c r="Y6" s="721"/>
      <c r="Z6" s="721"/>
      <c r="AA6" s="721"/>
      <c r="AB6" s="721"/>
      <c r="AC6" s="721"/>
      <c r="AD6" s="721"/>
      <c r="AE6" s="721"/>
      <c r="AF6" s="721"/>
      <c r="AG6" s="707"/>
      <c r="AH6" s="708"/>
      <c r="AI6" s="708"/>
      <c r="AJ6" s="708"/>
      <c r="AK6" s="709"/>
      <c r="AL6" s="709"/>
      <c r="AM6" s="680"/>
      <c r="AN6" s="721"/>
      <c r="AO6" s="721"/>
      <c r="AP6" s="721"/>
      <c r="AQ6" s="721"/>
      <c r="AR6" s="721"/>
      <c r="AS6" s="721"/>
      <c r="AT6" s="721"/>
      <c r="AU6" s="721"/>
      <c r="AV6" s="721"/>
      <c r="AW6" s="721"/>
      <c r="AX6" s="721"/>
      <c r="AY6" s="721"/>
      <c r="AZ6" s="707"/>
      <c r="BA6" s="708"/>
      <c r="BB6" s="708"/>
      <c r="BC6" s="708"/>
      <c r="BD6" s="709"/>
      <c r="BE6" s="707"/>
      <c r="BF6" s="680"/>
      <c r="BG6" s="680"/>
      <c r="BH6" s="680"/>
      <c r="BI6" s="680"/>
      <c r="BJ6" s="680"/>
      <c r="BK6" s="680"/>
      <c r="BL6" s="680"/>
      <c r="BM6" s="680"/>
      <c r="BN6" s="680"/>
    </row>
    <row r="7" spans="1:66" ht="25.5" customHeight="1">
      <c r="A7" s="722" t="s">
        <v>134</v>
      </c>
      <c r="B7" s="723" t="s">
        <v>135</v>
      </c>
      <c r="C7" s="724" t="s">
        <v>136</v>
      </c>
      <c r="D7" s="725" t="s">
        <v>137</v>
      </c>
      <c r="E7" s="726" t="s">
        <v>138</v>
      </c>
      <c r="F7" s="727">
        <v>1685.8023599999999</v>
      </c>
      <c r="G7" s="727">
        <v>1421.45</v>
      </c>
      <c r="H7" s="727">
        <v>1727.3199999999997</v>
      </c>
      <c r="I7" s="728">
        <f>IF(ISERROR((H7-G7)/G7),0,((H7-G7)/G7))</f>
        <v>0.2151816806781805</v>
      </c>
      <c r="J7" s="727">
        <v>1129.1089999999999</v>
      </c>
      <c r="K7" s="729">
        <f>J7/9*2.5</f>
        <v>313.64138888888886</v>
      </c>
      <c r="L7" s="727">
        <f t="shared" ref="L7:L17" si="4">J7+K7</f>
        <v>1442.7503888888887</v>
      </c>
      <c r="M7" s="728">
        <f>IF(ISERROR((L7-H7)/H7),0,((L7-H7)/H7))</f>
        <v>-0.16474631863876474</v>
      </c>
      <c r="N7" s="727">
        <v>1753.1999999999998</v>
      </c>
      <c r="O7" s="728">
        <f t="shared" ref="O7:O18" si="5">IF(ISERROR((N7-L7)/L7),0,((N7-L7)/L7))</f>
        <v>0.21517901745304605</v>
      </c>
      <c r="P7" s="727">
        <v>148595.15250213895</v>
      </c>
      <c r="Q7" s="730"/>
      <c r="R7" s="731">
        <f>+(N7*P7)/10000000</f>
        <v>26.051702136674997</v>
      </c>
      <c r="S7" s="731"/>
      <c r="T7" s="731"/>
      <c r="U7" s="732">
        <v>136.80000000000001</v>
      </c>
      <c r="V7" s="732">
        <v>136.80000000000001</v>
      </c>
      <c r="W7" s="732">
        <v>162</v>
      </c>
      <c r="X7" s="732">
        <v>136.80000000000001</v>
      </c>
      <c r="Y7" s="732">
        <v>136.80000000000001</v>
      </c>
      <c r="Z7" s="732">
        <v>162</v>
      </c>
      <c r="AA7" s="732">
        <v>126</v>
      </c>
      <c r="AB7" s="732">
        <v>129.6</v>
      </c>
      <c r="AC7" s="732">
        <v>180</v>
      </c>
      <c r="AD7" s="732">
        <v>136.80000000000001</v>
      </c>
      <c r="AE7" s="732">
        <v>136.80000000000001</v>
      </c>
      <c r="AF7" s="732">
        <v>172.8</v>
      </c>
      <c r="AG7" s="733">
        <f>SUM(U7:AF7)-N7</f>
        <v>0</v>
      </c>
      <c r="AH7" s="208">
        <f>SUM(U7:W7)</f>
        <v>435.6</v>
      </c>
      <c r="AI7" s="208">
        <f>SUM(X7:Z7)</f>
        <v>435.6</v>
      </c>
      <c r="AJ7" s="208">
        <f>SUM(AA7:AC7)</f>
        <v>435.6</v>
      </c>
      <c r="AK7" s="208">
        <f>SUM(AD7:AF7)</f>
        <v>446.40000000000003</v>
      </c>
      <c r="AL7" s="208">
        <f>SUM(AH7:AK7)</f>
        <v>1753.2000000000003</v>
      </c>
      <c r="AM7" s="680"/>
      <c r="AN7" s="734">
        <f t="shared" ref="AN7:AY22" si="6">U7*$P7/10^7</f>
        <v>2.0327816862292609</v>
      </c>
      <c r="AO7" s="734">
        <f t="shared" si="6"/>
        <v>2.0327816862292609</v>
      </c>
      <c r="AP7" s="734">
        <f t="shared" si="6"/>
        <v>2.4072414705346508</v>
      </c>
      <c r="AQ7" s="734">
        <f t="shared" si="6"/>
        <v>2.0327816862292609</v>
      </c>
      <c r="AR7" s="734">
        <f t="shared" si="6"/>
        <v>2.0327816862292609</v>
      </c>
      <c r="AS7" s="734">
        <f t="shared" si="6"/>
        <v>2.4072414705346508</v>
      </c>
      <c r="AT7" s="734">
        <f t="shared" si="6"/>
        <v>1.872298921526951</v>
      </c>
      <c r="AU7" s="734">
        <f t="shared" si="6"/>
        <v>1.925793176427721</v>
      </c>
      <c r="AV7" s="734">
        <f t="shared" si="6"/>
        <v>2.6747127450385011</v>
      </c>
      <c r="AW7" s="734">
        <f t="shared" si="6"/>
        <v>2.0327816862292609</v>
      </c>
      <c r="AX7" s="734">
        <f t="shared" si="6"/>
        <v>2.0327816862292609</v>
      </c>
      <c r="AY7" s="734">
        <f t="shared" si="6"/>
        <v>2.5677242352369616</v>
      </c>
      <c r="AZ7" s="733">
        <f>SUM(AN7:AY7)-R7</f>
        <v>0</v>
      </c>
      <c r="BA7" s="636">
        <f>SUM(AN7:AP7)</f>
        <v>6.4728048429931722</v>
      </c>
      <c r="BB7" s="636">
        <f>SUM(AQ7:AS7)</f>
        <v>6.4728048429931722</v>
      </c>
      <c r="BC7" s="636">
        <f>SUM(AT7:AV7)</f>
        <v>6.472804842993173</v>
      </c>
      <c r="BD7" s="636">
        <f>SUM(AW7:AY7)</f>
        <v>6.6332876076954834</v>
      </c>
      <c r="BE7" s="735">
        <f>SUM(BA7:BD7)</f>
        <v>26.051702136675001</v>
      </c>
      <c r="BF7" s="680"/>
      <c r="BG7" s="680"/>
      <c r="BH7" s="680"/>
      <c r="BI7" s="680"/>
      <c r="BJ7" s="680"/>
      <c r="BK7" s="680"/>
      <c r="BL7" s="680"/>
      <c r="BM7" s="680"/>
      <c r="BN7" s="680"/>
    </row>
    <row r="8" spans="1:66" ht="12.95" customHeight="1">
      <c r="A8" s="722" t="s">
        <v>139</v>
      </c>
      <c r="B8" s="723" t="s">
        <v>135</v>
      </c>
      <c r="C8" s="736" t="s">
        <v>136</v>
      </c>
      <c r="D8" s="737" t="s">
        <v>137</v>
      </c>
      <c r="E8" s="738" t="s">
        <v>140</v>
      </c>
      <c r="F8" s="739">
        <v>1332.7208000000001</v>
      </c>
      <c r="G8" s="739">
        <v>1036.8209999999999</v>
      </c>
      <c r="H8" s="739">
        <v>1103.47</v>
      </c>
      <c r="I8" s="740">
        <f t="shared" ref="I8:I32" si="7">IF(ISERROR((H8-G8)/G8),0,((H8-G8)/G8))</f>
        <v>6.4282069904062628E-2</v>
      </c>
      <c r="J8" s="739">
        <v>810.33100000000002</v>
      </c>
      <c r="K8" s="729">
        <f t="shared" ref="K8:K15" si="8">J8/9*3</f>
        <v>270.11033333333336</v>
      </c>
      <c r="L8" s="739">
        <f t="shared" si="4"/>
        <v>1080.4413333333334</v>
      </c>
      <c r="M8" s="740">
        <f t="shared" ref="M8:M32" si="9">IF(ISERROR((L8-H8)/H8),0,((L8-H8)/H8))</f>
        <v>-2.0869318301962533E-2</v>
      </c>
      <c r="N8" s="739">
        <v>1302</v>
      </c>
      <c r="O8" s="740">
        <f t="shared" si="5"/>
        <v>0.20506311618338668</v>
      </c>
      <c r="P8" s="739">
        <v>122736.52384513896</v>
      </c>
      <c r="Q8" s="741"/>
      <c r="R8" s="742">
        <f t="shared" ref="R8:R71" si="10">+(N8*P8)/10000000</f>
        <v>15.980295404637092</v>
      </c>
      <c r="S8" s="742"/>
      <c r="T8" s="742"/>
      <c r="U8" s="743">
        <v>90</v>
      </c>
      <c r="V8" s="743">
        <v>120</v>
      </c>
      <c r="W8" s="743">
        <v>150</v>
      </c>
      <c r="X8" s="743">
        <v>108</v>
      </c>
      <c r="Y8" s="743">
        <v>96</v>
      </c>
      <c r="Z8" s="743">
        <v>120</v>
      </c>
      <c r="AA8" s="743">
        <v>120</v>
      </c>
      <c r="AB8" s="743">
        <v>90</v>
      </c>
      <c r="AC8" s="743">
        <v>108</v>
      </c>
      <c r="AD8" s="744">
        <v>90</v>
      </c>
      <c r="AE8" s="744">
        <v>102</v>
      </c>
      <c r="AF8" s="745">
        <v>108</v>
      </c>
      <c r="AG8" s="733">
        <f t="shared" ref="AG8:AG71" si="11">SUM(U8:AF8)-N8</f>
        <v>0</v>
      </c>
      <c r="AH8" s="208">
        <f t="shared" ref="AH8:AH71" si="12">SUM(U8:W8)</f>
        <v>360</v>
      </c>
      <c r="AI8" s="208">
        <f t="shared" ref="AI8:AI71" si="13">SUM(X8:Z8)</f>
        <v>324</v>
      </c>
      <c r="AJ8" s="208">
        <f t="shared" ref="AJ8:AJ71" si="14">SUM(AA8:AC8)</f>
        <v>318</v>
      </c>
      <c r="AK8" s="208">
        <f t="shared" ref="AK8:AK71" si="15">SUM(AD8:AF8)</f>
        <v>300</v>
      </c>
      <c r="AL8" s="208">
        <f t="shared" ref="AL8:AL71" si="16">SUM(AH8:AK8)</f>
        <v>1302</v>
      </c>
      <c r="AM8" s="680"/>
      <c r="AN8" s="746">
        <f t="shared" si="6"/>
        <v>1.1046287146062506</v>
      </c>
      <c r="AO8" s="746">
        <f t="shared" si="6"/>
        <v>1.4728382861416676</v>
      </c>
      <c r="AP8" s="746">
        <f t="shared" si="6"/>
        <v>1.8410478576770841</v>
      </c>
      <c r="AQ8" s="746">
        <f t="shared" si="6"/>
        <v>1.3255544575275007</v>
      </c>
      <c r="AR8" s="746">
        <f t="shared" si="6"/>
        <v>1.178270628913334</v>
      </c>
      <c r="AS8" s="746">
        <f t="shared" si="6"/>
        <v>1.4728382861416676</v>
      </c>
      <c r="AT8" s="746">
        <f t="shared" si="6"/>
        <v>1.4728382861416676</v>
      </c>
      <c r="AU8" s="746">
        <f t="shared" si="6"/>
        <v>1.1046287146062506</v>
      </c>
      <c r="AV8" s="746">
        <f t="shared" si="6"/>
        <v>1.3255544575275007</v>
      </c>
      <c r="AW8" s="746">
        <f t="shared" si="6"/>
        <v>1.1046287146062506</v>
      </c>
      <c r="AX8" s="746">
        <f t="shared" si="6"/>
        <v>1.2519125432204175</v>
      </c>
      <c r="AY8" s="746">
        <f t="shared" si="6"/>
        <v>1.3255544575275007</v>
      </c>
      <c r="AZ8" s="733">
        <f t="shared" ref="AZ8:AZ71" si="17">SUM(AN8:AY8)-R8</f>
        <v>0</v>
      </c>
      <c r="BA8" s="636">
        <f t="shared" ref="BA8:BA71" si="18">SUM(AN8:AP8)</f>
        <v>4.4185148584250022</v>
      </c>
      <c r="BB8" s="636">
        <f t="shared" ref="BB8:BB71" si="19">SUM(AQ8:AS8)</f>
        <v>3.9766633725825025</v>
      </c>
      <c r="BC8" s="636">
        <f t="shared" ref="BC8:BC71" si="20">SUM(AT8:AV8)</f>
        <v>3.9030214582754188</v>
      </c>
      <c r="BD8" s="636">
        <f t="shared" ref="BD8:BD71" si="21">SUM(AW8:AY8)</f>
        <v>3.6820957153541687</v>
      </c>
      <c r="BE8" s="735">
        <f t="shared" ref="BE8:BE71" si="22">SUM(BA8:BD8)</f>
        <v>15.980295404637092</v>
      </c>
      <c r="BF8" s="680"/>
      <c r="BG8" s="680"/>
      <c r="BH8" s="680"/>
      <c r="BI8" s="680"/>
      <c r="BJ8" s="680"/>
      <c r="BK8" s="680"/>
      <c r="BL8" s="680"/>
      <c r="BM8" s="680"/>
      <c r="BN8" s="680"/>
    </row>
    <row r="9" spans="1:66" ht="12.95" customHeight="1">
      <c r="A9" s="722" t="s">
        <v>141</v>
      </c>
      <c r="B9" s="723" t="s">
        <v>135</v>
      </c>
      <c r="C9" s="736" t="s">
        <v>136</v>
      </c>
      <c r="D9" s="737" t="s">
        <v>137</v>
      </c>
      <c r="E9" s="738" t="s">
        <v>142</v>
      </c>
      <c r="F9" s="739">
        <v>3193.9371999999998</v>
      </c>
      <c r="G9" s="739">
        <v>2415.5870000000004</v>
      </c>
      <c r="H9" s="739">
        <v>2500.1890000000003</v>
      </c>
      <c r="I9" s="740">
        <f t="shared" si="7"/>
        <v>3.5023371130909316E-2</v>
      </c>
      <c r="J9" s="739">
        <v>1840.1260000000002</v>
      </c>
      <c r="K9" s="729">
        <f>J9/9*2</f>
        <v>408.91688888888893</v>
      </c>
      <c r="L9" s="739">
        <f t="shared" si="4"/>
        <v>2249.0428888888891</v>
      </c>
      <c r="M9" s="740">
        <f t="shared" si="9"/>
        <v>-0.10045085036015723</v>
      </c>
      <c r="N9" s="739">
        <v>2610</v>
      </c>
      <c r="O9" s="740">
        <f t="shared" si="5"/>
        <v>0.160493653942472</v>
      </c>
      <c r="P9" s="739">
        <v>117946.79057021395</v>
      </c>
      <c r="Q9" s="741"/>
      <c r="R9" s="742">
        <f t="shared" si="10"/>
        <v>30.784112338825839</v>
      </c>
      <c r="S9" s="742"/>
      <c r="T9" s="742"/>
      <c r="U9" s="743">
        <v>243</v>
      </c>
      <c r="V9" s="743">
        <v>261</v>
      </c>
      <c r="W9" s="743">
        <v>279</v>
      </c>
      <c r="X9" s="743">
        <v>238.5</v>
      </c>
      <c r="Y9" s="743">
        <v>225</v>
      </c>
      <c r="Z9" s="743">
        <v>45</v>
      </c>
      <c r="AA9" s="743">
        <v>175.5</v>
      </c>
      <c r="AB9" s="743">
        <v>198</v>
      </c>
      <c r="AC9" s="743">
        <v>207</v>
      </c>
      <c r="AD9" s="744">
        <v>234</v>
      </c>
      <c r="AE9" s="744">
        <v>234</v>
      </c>
      <c r="AF9" s="745">
        <v>270</v>
      </c>
      <c r="AG9" s="733">
        <f t="shared" si="11"/>
        <v>0</v>
      </c>
      <c r="AH9" s="208">
        <f t="shared" si="12"/>
        <v>783</v>
      </c>
      <c r="AI9" s="208">
        <f t="shared" si="13"/>
        <v>508.5</v>
      </c>
      <c r="AJ9" s="208">
        <f t="shared" si="14"/>
        <v>580.5</v>
      </c>
      <c r="AK9" s="208">
        <f t="shared" si="15"/>
        <v>738</v>
      </c>
      <c r="AL9" s="208">
        <f t="shared" si="16"/>
        <v>2610</v>
      </c>
      <c r="AM9" s="680"/>
      <c r="AN9" s="746">
        <f t="shared" si="6"/>
        <v>2.8661070108561995</v>
      </c>
      <c r="AO9" s="746">
        <f t="shared" si="6"/>
        <v>3.078411233882584</v>
      </c>
      <c r="AP9" s="746">
        <f t="shared" si="6"/>
        <v>3.2907154569089694</v>
      </c>
      <c r="AQ9" s="746">
        <f t="shared" si="6"/>
        <v>2.8130309550996029</v>
      </c>
      <c r="AR9" s="746">
        <f t="shared" si="6"/>
        <v>2.653802787829814</v>
      </c>
      <c r="AS9" s="746">
        <f t="shared" si="6"/>
        <v>0.53076055756596285</v>
      </c>
      <c r="AT9" s="746">
        <f t="shared" si="6"/>
        <v>2.0699661745072548</v>
      </c>
      <c r="AU9" s="746">
        <f t="shared" si="6"/>
        <v>2.3353464532902364</v>
      </c>
      <c r="AV9" s="746">
        <f t="shared" si="6"/>
        <v>2.4414985648034291</v>
      </c>
      <c r="AW9" s="746">
        <f t="shared" si="6"/>
        <v>2.7599548993430068</v>
      </c>
      <c r="AX9" s="746">
        <f t="shared" si="6"/>
        <v>2.7599548993430068</v>
      </c>
      <c r="AY9" s="746">
        <f t="shared" si="6"/>
        <v>3.1845633453957767</v>
      </c>
      <c r="AZ9" s="733">
        <f t="shared" si="17"/>
        <v>0</v>
      </c>
      <c r="BA9" s="636">
        <f t="shared" si="18"/>
        <v>9.2352337016477524</v>
      </c>
      <c r="BB9" s="636">
        <f t="shared" si="19"/>
        <v>5.99759430049538</v>
      </c>
      <c r="BC9" s="636">
        <f t="shared" si="20"/>
        <v>6.8468111926009199</v>
      </c>
      <c r="BD9" s="636">
        <f t="shared" si="21"/>
        <v>8.7044731440817902</v>
      </c>
      <c r="BE9" s="735">
        <f t="shared" si="22"/>
        <v>30.784112338825842</v>
      </c>
      <c r="BF9" s="680"/>
      <c r="BG9" s="680"/>
      <c r="BH9" s="680"/>
      <c r="BI9" s="680"/>
      <c r="BJ9" s="680"/>
      <c r="BK9" s="680"/>
      <c r="BL9" s="680"/>
      <c r="BM9" s="680"/>
      <c r="BN9" s="680"/>
    </row>
    <row r="10" spans="1:66" ht="12.95" customHeight="1">
      <c r="A10" s="722" t="s">
        <v>143</v>
      </c>
      <c r="B10" s="723" t="s">
        <v>135</v>
      </c>
      <c r="C10" s="736" t="s">
        <v>136</v>
      </c>
      <c r="D10" s="737" t="s">
        <v>137</v>
      </c>
      <c r="E10" s="738" t="s">
        <v>144</v>
      </c>
      <c r="F10" s="739">
        <v>1681.0276000000006</v>
      </c>
      <c r="G10" s="739">
        <v>2029.0329999999997</v>
      </c>
      <c r="H10" s="739">
        <v>1811.9349999999997</v>
      </c>
      <c r="I10" s="740">
        <f t="shared" si="7"/>
        <v>-0.10699579553412882</v>
      </c>
      <c r="J10" s="739">
        <v>1494.8279999999995</v>
      </c>
      <c r="K10" s="729">
        <f>J10/9*2</f>
        <v>332.18399999999991</v>
      </c>
      <c r="L10" s="739">
        <f t="shared" si="4"/>
        <v>1827.0119999999995</v>
      </c>
      <c r="M10" s="740">
        <f t="shared" si="9"/>
        <v>8.3209386650182123E-3</v>
      </c>
      <c r="N10" s="739">
        <v>1704</v>
      </c>
      <c r="O10" s="740">
        <f t="shared" si="5"/>
        <v>-6.7329607030495439E-2</v>
      </c>
      <c r="P10" s="739">
        <v>116043.25789113896</v>
      </c>
      <c r="Q10" s="741"/>
      <c r="R10" s="742">
        <f t="shared" si="10"/>
        <v>19.773771144650077</v>
      </c>
      <c r="S10" s="742"/>
      <c r="T10" s="742"/>
      <c r="U10" s="743">
        <v>84</v>
      </c>
      <c r="V10" s="743">
        <v>90</v>
      </c>
      <c r="W10" s="743">
        <v>102</v>
      </c>
      <c r="X10" s="743">
        <v>90</v>
      </c>
      <c r="Y10" s="743">
        <v>96</v>
      </c>
      <c r="Z10" s="743">
        <v>762</v>
      </c>
      <c r="AA10" s="743">
        <v>78</v>
      </c>
      <c r="AB10" s="743">
        <v>78</v>
      </c>
      <c r="AC10" s="743">
        <v>90</v>
      </c>
      <c r="AD10" s="744">
        <v>72</v>
      </c>
      <c r="AE10" s="744">
        <v>60</v>
      </c>
      <c r="AF10" s="745">
        <v>102</v>
      </c>
      <c r="AG10" s="733">
        <f t="shared" si="11"/>
        <v>0</v>
      </c>
      <c r="AH10" s="208">
        <f t="shared" si="12"/>
        <v>276</v>
      </c>
      <c r="AI10" s="208">
        <f t="shared" si="13"/>
        <v>948</v>
      </c>
      <c r="AJ10" s="208">
        <f t="shared" si="14"/>
        <v>246</v>
      </c>
      <c r="AK10" s="208">
        <f t="shared" si="15"/>
        <v>234</v>
      </c>
      <c r="AL10" s="208">
        <f t="shared" si="16"/>
        <v>1704</v>
      </c>
      <c r="AM10" s="680"/>
      <c r="AN10" s="746">
        <f t="shared" si="6"/>
        <v>0.97476336628556715</v>
      </c>
      <c r="AO10" s="746">
        <f t="shared" si="6"/>
        <v>1.0443893210202506</v>
      </c>
      <c r="AP10" s="746">
        <f t="shared" si="6"/>
        <v>1.1836412304896173</v>
      </c>
      <c r="AQ10" s="746">
        <f t="shared" si="6"/>
        <v>1.0443893210202506</v>
      </c>
      <c r="AR10" s="746">
        <f t="shared" si="6"/>
        <v>1.114015275754934</v>
      </c>
      <c r="AS10" s="746">
        <f t="shared" si="6"/>
        <v>8.8424962513047891</v>
      </c>
      <c r="AT10" s="746">
        <f t="shared" si="6"/>
        <v>0.9051374115508839</v>
      </c>
      <c r="AU10" s="746">
        <f t="shared" si="6"/>
        <v>0.9051374115508839</v>
      </c>
      <c r="AV10" s="746">
        <f t="shared" si="6"/>
        <v>1.0443893210202506</v>
      </c>
      <c r="AW10" s="746">
        <f t="shared" si="6"/>
        <v>0.83551145681620054</v>
      </c>
      <c r="AX10" s="746">
        <f t="shared" si="6"/>
        <v>0.69625954734683371</v>
      </c>
      <c r="AY10" s="746">
        <f t="shared" si="6"/>
        <v>1.1836412304896173</v>
      </c>
      <c r="AZ10" s="733">
        <f t="shared" si="17"/>
        <v>0</v>
      </c>
      <c r="BA10" s="636">
        <f t="shared" si="18"/>
        <v>3.202793917795435</v>
      </c>
      <c r="BB10" s="636">
        <f t="shared" si="19"/>
        <v>11.000900848079974</v>
      </c>
      <c r="BC10" s="636">
        <f t="shared" si="20"/>
        <v>2.8546641441220184</v>
      </c>
      <c r="BD10" s="636">
        <f t="shared" si="21"/>
        <v>2.7154122346526517</v>
      </c>
      <c r="BE10" s="735">
        <f t="shared" si="22"/>
        <v>19.773771144650077</v>
      </c>
      <c r="BF10" s="680"/>
      <c r="BG10" s="680"/>
      <c r="BH10" s="680"/>
      <c r="BI10" s="680"/>
      <c r="BJ10" s="680"/>
      <c r="BK10" s="680"/>
      <c r="BL10" s="680"/>
      <c r="BM10" s="680"/>
      <c r="BN10" s="680"/>
    </row>
    <row r="11" spans="1:66" ht="12.95" customHeight="1">
      <c r="A11" s="722" t="s">
        <v>145</v>
      </c>
      <c r="B11" s="723" t="s">
        <v>135</v>
      </c>
      <c r="C11" s="736" t="s">
        <v>136</v>
      </c>
      <c r="D11" s="747" t="s">
        <v>137</v>
      </c>
      <c r="E11" s="738" t="s">
        <v>146</v>
      </c>
      <c r="F11" s="739">
        <v>1249.2</v>
      </c>
      <c r="G11" s="739">
        <v>1295.1000000000001</v>
      </c>
      <c r="H11" s="739">
        <v>1440.81</v>
      </c>
      <c r="I11" s="740">
        <f t="shared" si="7"/>
        <v>0.11250868658790811</v>
      </c>
      <c r="J11" s="739">
        <v>1110.6869999999999</v>
      </c>
      <c r="K11" s="729">
        <f>J11/9*3</f>
        <v>370.22899999999993</v>
      </c>
      <c r="L11" s="739">
        <f t="shared" si="4"/>
        <v>1480.9159999999997</v>
      </c>
      <c r="M11" s="740">
        <f t="shared" si="9"/>
        <v>2.7835731290038083E-2</v>
      </c>
      <c r="N11" s="739">
        <v>1800</v>
      </c>
      <c r="O11" s="740">
        <f t="shared" si="5"/>
        <v>0.21546394258688564</v>
      </c>
      <c r="P11" s="739">
        <v>112801.27565113896</v>
      </c>
      <c r="Q11" s="741"/>
      <c r="R11" s="742">
        <f t="shared" si="10"/>
        <v>20.30422961720501</v>
      </c>
      <c r="S11" s="742"/>
      <c r="T11" s="742"/>
      <c r="U11" s="743">
        <v>198</v>
      </c>
      <c r="V11" s="743">
        <v>144</v>
      </c>
      <c r="W11" s="743">
        <v>153</v>
      </c>
      <c r="X11" s="743">
        <v>162</v>
      </c>
      <c r="Y11" s="743">
        <v>162</v>
      </c>
      <c r="Z11" s="743">
        <v>153</v>
      </c>
      <c r="AA11" s="743">
        <v>144</v>
      </c>
      <c r="AB11" s="743">
        <v>126</v>
      </c>
      <c r="AC11" s="743">
        <v>153</v>
      </c>
      <c r="AD11" s="744">
        <v>126</v>
      </c>
      <c r="AE11" s="744">
        <v>144</v>
      </c>
      <c r="AF11" s="745">
        <v>135</v>
      </c>
      <c r="AG11" s="733">
        <f t="shared" si="11"/>
        <v>0</v>
      </c>
      <c r="AH11" s="208">
        <f t="shared" si="12"/>
        <v>495</v>
      </c>
      <c r="AI11" s="208">
        <f t="shared" si="13"/>
        <v>477</v>
      </c>
      <c r="AJ11" s="208">
        <f t="shared" si="14"/>
        <v>423</v>
      </c>
      <c r="AK11" s="208">
        <f t="shared" si="15"/>
        <v>405</v>
      </c>
      <c r="AL11" s="208">
        <f t="shared" si="16"/>
        <v>1800</v>
      </c>
      <c r="AM11" s="680"/>
      <c r="AN11" s="746">
        <f t="shared" si="6"/>
        <v>2.2334652578925511</v>
      </c>
      <c r="AO11" s="746">
        <f t="shared" si="6"/>
        <v>1.6243383693764011</v>
      </c>
      <c r="AP11" s="746">
        <f t="shared" si="6"/>
        <v>1.7258595174624261</v>
      </c>
      <c r="AQ11" s="746">
        <f t="shared" si="6"/>
        <v>1.8273806655484512</v>
      </c>
      <c r="AR11" s="746">
        <f t="shared" si="6"/>
        <v>1.8273806655484512</v>
      </c>
      <c r="AS11" s="746">
        <f t="shared" si="6"/>
        <v>1.7258595174624261</v>
      </c>
      <c r="AT11" s="746">
        <f t="shared" si="6"/>
        <v>1.6243383693764011</v>
      </c>
      <c r="AU11" s="746">
        <f t="shared" si="6"/>
        <v>1.4212960732043509</v>
      </c>
      <c r="AV11" s="746">
        <f t="shared" si="6"/>
        <v>1.7258595174624261</v>
      </c>
      <c r="AW11" s="746">
        <f t="shared" si="6"/>
        <v>1.4212960732043509</v>
      </c>
      <c r="AX11" s="746">
        <f t="shared" si="6"/>
        <v>1.6243383693764011</v>
      </c>
      <c r="AY11" s="746">
        <f t="shared" si="6"/>
        <v>1.5228172212903761</v>
      </c>
      <c r="AZ11" s="733">
        <f t="shared" si="17"/>
        <v>0</v>
      </c>
      <c r="BA11" s="636">
        <f t="shared" si="18"/>
        <v>5.5836631447313785</v>
      </c>
      <c r="BB11" s="636">
        <f t="shared" si="19"/>
        <v>5.3806208485593281</v>
      </c>
      <c r="BC11" s="636">
        <f t="shared" si="20"/>
        <v>4.7714939600431787</v>
      </c>
      <c r="BD11" s="636">
        <f t="shared" si="21"/>
        <v>4.5684516638711283</v>
      </c>
      <c r="BE11" s="735">
        <f t="shared" si="22"/>
        <v>20.304229617205014</v>
      </c>
      <c r="BF11" s="680"/>
      <c r="BG11" s="680"/>
      <c r="BH11" s="680"/>
      <c r="BI11" s="680"/>
      <c r="BJ11" s="680"/>
      <c r="BK11" s="680"/>
      <c r="BL11" s="680"/>
      <c r="BM11" s="680"/>
      <c r="BN11" s="680"/>
    </row>
    <row r="12" spans="1:66" ht="12.95" customHeight="1">
      <c r="A12" s="722" t="s">
        <v>147</v>
      </c>
      <c r="B12" s="723" t="s">
        <v>135</v>
      </c>
      <c r="C12" s="736" t="s">
        <v>136</v>
      </c>
      <c r="D12" s="748" t="s">
        <v>148</v>
      </c>
      <c r="E12" s="738" t="s">
        <v>142</v>
      </c>
      <c r="F12" s="739">
        <v>454.28400000000005</v>
      </c>
      <c r="G12" s="739">
        <v>456.21000000000004</v>
      </c>
      <c r="H12" s="739">
        <v>485.00100000000003</v>
      </c>
      <c r="I12" s="740">
        <f t="shared" si="7"/>
        <v>6.3109094495955795E-2</v>
      </c>
      <c r="J12" s="739">
        <v>361.39499999999998</v>
      </c>
      <c r="K12" s="729">
        <f t="shared" si="8"/>
        <v>120.465</v>
      </c>
      <c r="L12" s="739">
        <f t="shared" si="4"/>
        <v>481.86</v>
      </c>
      <c r="M12" s="740">
        <f t="shared" si="9"/>
        <v>-6.4762753066488921E-3</v>
      </c>
      <c r="N12" s="739">
        <v>549</v>
      </c>
      <c r="O12" s="740">
        <f t="shared" si="5"/>
        <v>0.13933507657825922</v>
      </c>
      <c r="P12" s="739">
        <v>134878.8970381518</v>
      </c>
      <c r="Q12" s="741"/>
      <c r="R12" s="742">
        <f t="shared" si="10"/>
        <v>7.4048514473945337</v>
      </c>
      <c r="S12" s="742"/>
      <c r="T12" s="742"/>
      <c r="U12" s="743">
        <v>45</v>
      </c>
      <c r="V12" s="743">
        <v>54</v>
      </c>
      <c r="W12" s="743">
        <v>63</v>
      </c>
      <c r="X12" s="743">
        <v>45</v>
      </c>
      <c r="Y12" s="743">
        <v>49.5</v>
      </c>
      <c r="Z12" s="743">
        <v>0</v>
      </c>
      <c r="AA12" s="743">
        <v>63</v>
      </c>
      <c r="AB12" s="743">
        <v>0</v>
      </c>
      <c r="AC12" s="743">
        <v>54</v>
      </c>
      <c r="AD12" s="744">
        <v>45</v>
      </c>
      <c r="AE12" s="744">
        <v>54</v>
      </c>
      <c r="AF12" s="745">
        <v>76.5</v>
      </c>
      <c r="AG12" s="733">
        <f t="shared" si="11"/>
        <v>0</v>
      </c>
      <c r="AH12" s="208">
        <f t="shared" si="12"/>
        <v>162</v>
      </c>
      <c r="AI12" s="208">
        <f t="shared" si="13"/>
        <v>94.5</v>
      </c>
      <c r="AJ12" s="208">
        <f t="shared" si="14"/>
        <v>117</v>
      </c>
      <c r="AK12" s="208">
        <f t="shared" si="15"/>
        <v>175.5</v>
      </c>
      <c r="AL12" s="208">
        <f t="shared" si="16"/>
        <v>549</v>
      </c>
      <c r="AM12" s="680"/>
      <c r="AN12" s="746">
        <f t="shared" si="6"/>
        <v>0.60695503667168305</v>
      </c>
      <c r="AO12" s="746">
        <f t="shared" si="6"/>
        <v>0.72834604400601977</v>
      </c>
      <c r="AP12" s="746">
        <f t="shared" si="6"/>
        <v>0.84973705134035626</v>
      </c>
      <c r="AQ12" s="746">
        <f t="shared" si="6"/>
        <v>0.60695503667168305</v>
      </c>
      <c r="AR12" s="746">
        <f t="shared" si="6"/>
        <v>0.66765054033885141</v>
      </c>
      <c r="AS12" s="746">
        <f t="shared" si="6"/>
        <v>0</v>
      </c>
      <c r="AT12" s="746">
        <f t="shared" si="6"/>
        <v>0.84973705134035626</v>
      </c>
      <c r="AU12" s="746">
        <f t="shared" si="6"/>
        <v>0</v>
      </c>
      <c r="AV12" s="746">
        <f t="shared" si="6"/>
        <v>0.72834604400601977</v>
      </c>
      <c r="AW12" s="746">
        <f t="shared" si="6"/>
        <v>0.60695503667168305</v>
      </c>
      <c r="AX12" s="746">
        <f t="shared" si="6"/>
        <v>0.72834604400601977</v>
      </c>
      <c r="AY12" s="746">
        <f t="shared" si="6"/>
        <v>1.0318235623418612</v>
      </c>
      <c r="AZ12" s="733">
        <f t="shared" si="17"/>
        <v>0</v>
      </c>
      <c r="BA12" s="636">
        <f t="shared" si="18"/>
        <v>2.1850381320180592</v>
      </c>
      <c r="BB12" s="636">
        <f t="shared" si="19"/>
        <v>1.2746055770105345</v>
      </c>
      <c r="BC12" s="636">
        <f t="shared" si="20"/>
        <v>1.578083095346376</v>
      </c>
      <c r="BD12" s="636">
        <f t="shared" si="21"/>
        <v>2.3671246430195643</v>
      </c>
      <c r="BE12" s="735">
        <f t="shared" si="22"/>
        <v>7.4048514473945337</v>
      </c>
      <c r="BF12" s="680"/>
      <c r="BG12" s="680"/>
      <c r="BH12" s="680"/>
      <c r="BI12" s="680"/>
      <c r="BJ12" s="680"/>
      <c r="BK12" s="680"/>
      <c r="BL12" s="680"/>
      <c r="BM12" s="680"/>
      <c r="BN12" s="680"/>
    </row>
    <row r="13" spans="1:66" ht="12.95" customHeight="1">
      <c r="A13" s="722" t="s">
        <v>149</v>
      </c>
      <c r="B13" s="723" t="s">
        <v>135</v>
      </c>
      <c r="C13" s="736" t="s">
        <v>136</v>
      </c>
      <c r="D13" s="737" t="s">
        <v>148</v>
      </c>
      <c r="E13" s="738" t="s">
        <v>140</v>
      </c>
      <c r="F13" s="739">
        <v>0</v>
      </c>
      <c r="G13" s="739">
        <v>0</v>
      </c>
      <c r="H13" s="739">
        <v>0</v>
      </c>
      <c r="I13" s="740">
        <f t="shared" si="7"/>
        <v>0</v>
      </c>
      <c r="J13" s="739">
        <v>0</v>
      </c>
      <c r="K13" s="729"/>
      <c r="L13" s="739">
        <f t="shared" si="4"/>
        <v>0</v>
      </c>
      <c r="M13" s="740">
        <f t="shared" si="9"/>
        <v>0</v>
      </c>
      <c r="N13" s="739">
        <v>0</v>
      </c>
      <c r="O13" s="740">
        <f t="shared" si="5"/>
        <v>0</v>
      </c>
      <c r="P13" s="739">
        <v>0</v>
      </c>
      <c r="Q13" s="741"/>
      <c r="R13" s="742">
        <f t="shared" si="10"/>
        <v>0</v>
      </c>
      <c r="S13" s="742"/>
      <c r="T13" s="742"/>
      <c r="U13" s="743"/>
      <c r="V13" s="743"/>
      <c r="W13" s="743"/>
      <c r="X13" s="743"/>
      <c r="Y13" s="743"/>
      <c r="Z13" s="743"/>
      <c r="AA13" s="743"/>
      <c r="AB13" s="743"/>
      <c r="AC13" s="743"/>
      <c r="AD13" s="744"/>
      <c r="AE13" s="744"/>
      <c r="AF13" s="745"/>
      <c r="AG13" s="733">
        <f t="shared" si="11"/>
        <v>0</v>
      </c>
      <c r="AH13" s="208">
        <f t="shared" si="12"/>
        <v>0</v>
      </c>
      <c r="AI13" s="208">
        <f t="shared" si="13"/>
        <v>0</v>
      </c>
      <c r="AJ13" s="208">
        <f t="shared" si="14"/>
        <v>0</v>
      </c>
      <c r="AK13" s="208">
        <f t="shared" si="15"/>
        <v>0</v>
      </c>
      <c r="AL13" s="208">
        <f t="shared" si="16"/>
        <v>0</v>
      </c>
      <c r="AM13" s="680"/>
      <c r="AN13" s="746">
        <f t="shared" si="6"/>
        <v>0</v>
      </c>
      <c r="AO13" s="746">
        <f t="shared" si="6"/>
        <v>0</v>
      </c>
      <c r="AP13" s="746">
        <f t="shared" si="6"/>
        <v>0</v>
      </c>
      <c r="AQ13" s="746">
        <f t="shared" si="6"/>
        <v>0</v>
      </c>
      <c r="AR13" s="746">
        <f t="shared" si="6"/>
        <v>0</v>
      </c>
      <c r="AS13" s="746">
        <f t="shared" si="6"/>
        <v>0</v>
      </c>
      <c r="AT13" s="746">
        <f t="shared" si="6"/>
        <v>0</v>
      </c>
      <c r="AU13" s="746">
        <f t="shared" si="6"/>
        <v>0</v>
      </c>
      <c r="AV13" s="746">
        <f t="shared" si="6"/>
        <v>0</v>
      </c>
      <c r="AW13" s="746">
        <f t="shared" si="6"/>
        <v>0</v>
      </c>
      <c r="AX13" s="746">
        <f t="shared" si="6"/>
        <v>0</v>
      </c>
      <c r="AY13" s="746">
        <f t="shared" si="6"/>
        <v>0</v>
      </c>
      <c r="AZ13" s="733">
        <f t="shared" si="17"/>
        <v>0</v>
      </c>
      <c r="BA13" s="636">
        <f t="shared" si="18"/>
        <v>0</v>
      </c>
      <c r="BB13" s="636">
        <f t="shared" si="19"/>
        <v>0</v>
      </c>
      <c r="BC13" s="636">
        <f t="shared" si="20"/>
        <v>0</v>
      </c>
      <c r="BD13" s="636">
        <f t="shared" si="21"/>
        <v>0</v>
      </c>
      <c r="BE13" s="735">
        <f t="shared" si="22"/>
        <v>0</v>
      </c>
      <c r="BF13" s="680"/>
      <c r="BG13" s="680"/>
      <c r="BH13" s="680"/>
      <c r="BI13" s="680"/>
      <c r="BJ13" s="680"/>
      <c r="BK13" s="680"/>
      <c r="BL13" s="680"/>
      <c r="BM13" s="680"/>
      <c r="BN13" s="680"/>
    </row>
    <row r="14" spans="1:66" ht="12.95" customHeight="1">
      <c r="A14" s="722" t="s">
        <v>150</v>
      </c>
      <c r="B14" s="723" t="s">
        <v>135</v>
      </c>
      <c r="C14" s="736" t="s">
        <v>136</v>
      </c>
      <c r="D14" s="747" t="s">
        <v>148</v>
      </c>
      <c r="E14" s="738" t="s">
        <v>144</v>
      </c>
      <c r="F14" s="739">
        <v>152.995</v>
      </c>
      <c r="G14" s="739">
        <v>0</v>
      </c>
      <c r="H14" s="739">
        <v>86.564000000000007</v>
      </c>
      <c r="I14" s="740">
        <f t="shared" si="7"/>
        <v>0</v>
      </c>
      <c r="J14" s="739">
        <v>84.548000000000016</v>
      </c>
      <c r="K14" s="729">
        <f t="shared" si="8"/>
        <v>28.18266666666667</v>
      </c>
      <c r="L14" s="739">
        <f t="shared" si="4"/>
        <v>112.73066666666668</v>
      </c>
      <c r="M14" s="740">
        <f t="shared" si="9"/>
        <v>0.30228116384024156</v>
      </c>
      <c r="N14" s="739">
        <v>86.4</v>
      </c>
      <c r="O14" s="740">
        <f t="shared" si="5"/>
        <v>-0.23357146236457399</v>
      </c>
      <c r="P14" s="739">
        <v>118308.76274413895</v>
      </c>
      <c r="Q14" s="741"/>
      <c r="R14" s="742">
        <f t="shared" si="10"/>
        <v>1.0221877101093606</v>
      </c>
      <c r="S14" s="742"/>
      <c r="T14" s="742"/>
      <c r="U14" s="743">
        <v>0</v>
      </c>
      <c r="V14" s="743">
        <v>0</v>
      </c>
      <c r="W14" s="743">
        <v>0</v>
      </c>
      <c r="X14" s="743">
        <v>0</v>
      </c>
      <c r="Y14" s="743">
        <v>0</v>
      </c>
      <c r="Z14" s="743">
        <v>0</v>
      </c>
      <c r="AA14" s="743"/>
      <c r="AB14" s="743">
        <v>86.4</v>
      </c>
      <c r="AC14" s="743">
        <v>0</v>
      </c>
      <c r="AD14" s="744">
        <v>0</v>
      </c>
      <c r="AE14" s="744">
        <v>0</v>
      </c>
      <c r="AF14" s="745">
        <v>0</v>
      </c>
      <c r="AG14" s="733">
        <f t="shared" si="11"/>
        <v>0</v>
      </c>
      <c r="AH14" s="208">
        <f t="shared" si="12"/>
        <v>0</v>
      </c>
      <c r="AI14" s="208">
        <f t="shared" si="13"/>
        <v>0</v>
      </c>
      <c r="AJ14" s="208">
        <f t="shared" si="14"/>
        <v>86.4</v>
      </c>
      <c r="AK14" s="208">
        <f t="shared" si="15"/>
        <v>0</v>
      </c>
      <c r="AL14" s="208">
        <f t="shared" si="16"/>
        <v>86.4</v>
      </c>
      <c r="AM14" s="680"/>
      <c r="AN14" s="746">
        <f t="shared" si="6"/>
        <v>0</v>
      </c>
      <c r="AO14" s="746">
        <f t="shared" si="6"/>
        <v>0</v>
      </c>
      <c r="AP14" s="746">
        <f t="shared" si="6"/>
        <v>0</v>
      </c>
      <c r="AQ14" s="746">
        <f t="shared" si="6"/>
        <v>0</v>
      </c>
      <c r="AR14" s="746">
        <f t="shared" si="6"/>
        <v>0</v>
      </c>
      <c r="AS14" s="746">
        <f t="shared" si="6"/>
        <v>0</v>
      </c>
      <c r="AT14" s="746">
        <f t="shared" si="6"/>
        <v>0</v>
      </c>
      <c r="AU14" s="746">
        <f t="shared" si="6"/>
        <v>1.0221877101093606</v>
      </c>
      <c r="AV14" s="746">
        <f t="shared" si="6"/>
        <v>0</v>
      </c>
      <c r="AW14" s="746">
        <f t="shared" si="6"/>
        <v>0</v>
      </c>
      <c r="AX14" s="746">
        <f t="shared" si="6"/>
        <v>0</v>
      </c>
      <c r="AY14" s="746">
        <f t="shared" si="6"/>
        <v>0</v>
      </c>
      <c r="AZ14" s="733">
        <f t="shared" si="17"/>
        <v>0</v>
      </c>
      <c r="BA14" s="636">
        <f t="shared" si="18"/>
        <v>0</v>
      </c>
      <c r="BB14" s="636">
        <f t="shared" si="19"/>
        <v>0</v>
      </c>
      <c r="BC14" s="636">
        <f t="shared" si="20"/>
        <v>1.0221877101093606</v>
      </c>
      <c r="BD14" s="636">
        <f t="shared" si="21"/>
        <v>0</v>
      </c>
      <c r="BE14" s="735">
        <f t="shared" si="22"/>
        <v>1.0221877101093606</v>
      </c>
      <c r="BF14" s="680"/>
      <c r="BG14" s="680"/>
      <c r="BH14" s="680"/>
      <c r="BI14" s="680"/>
      <c r="BJ14" s="680"/>
      <c r="BK14" s="680"/>
      <c r="BL14" s="680"/>
      <c r="BM14" s="680"/>
      <c r="BN14" s="680"/>
    </row>
    <row r="15" spans="1:66" ht="12.95" customHeight="1">
      <c r="A15" s="722" t="s">
        <v>151</v>
      </c>
      <c r="B15" s="723" t="s">
        <v>135</v>
      </c>
      <c r="C15" s="736" t="s">
        <v>136</v>
      </c>
      <c r="D15" s="748" t="s">
        <v>152</v>
      </c>
      <c r="E15" s="738" t="s">
        <v>142</v>
      </c>
      <c r="F15" s="739">
        <v>275.78700000000003</v>
      </c>
      <c r="G15" s="739">
        <v>390.14700000000005</v>
      </c>
      <c r="H15" s="739">
        <v>437.589</v>
      </c>
      <c r="I15" s="740">
        <f t="shared" si="7"/>
        <v>0.12160031987942992</v>
      </c>
      <c r="J15" s="739">
        <v>217.86199999999997</v>
      </c>
      <c r="K15" s="729">
        <f t="shared" si="8"/>
        <v>72.620666666666651</v>
      </c>
      <c r="L15" s="739">
        <f t="shared" si="4"/>
        <v>290.4826666666666</v>
      </c>
      <c r="M15" s="740">
        <f t="shared" si="9"/>
        <v>-0.33617466008819552</v>
      </c>
      <c r="N15" s="739">
        <v>371.7</v>
      </c>
      <c r="O15" s="740">
        <f t="shared" si="5"/>
        <v>0.27959442215714558</v>
      </c>
      <c r="P15" s="739">
        <v>109679.40888631629</v>
      </c>
      <c r="Q15" s="741"/>
      <c r="R15" s="742">
        <f t="shared" si="10"/>
        <v>4.0767836283043764</v>
      </c>
      <c r="S15" s="742"/>
      <c r="T15" s="742"/>
      <c r="U15" s="743">
        <v>45</v>
      </c>
      <c r="V15" s="743">
        <v>0</v>
      </c>
      <c r="W15" s="743">
        <v>63</v>
      </c>
      <c r="X15" s="743">
        <v>9</v>
      </c>
      <c r="Y15" s="743">
        <v>49.5</v>
      </c>
      <c r="Z15" s="743">
        <v>0</v>
      </c>
      <c r="AA15" s="743">
        <v>45</v>
      </c>
      <c r="AB15" s="743">
        <v>0</v>
      </c>
      <c r="AC15" s="743">
        <v>36</v>
      </c>
      <c r="AD15" s="744">
        <v>52.2</v>
      </c>
      <c r="AE15" s="744">
        <v>0</v>
      </c>
      <c r="AF15" s="745">
        <v>72</v>
      </c>
      <c r="AG15" s="733">
        <f t="shared" si="11"/>
        <v>0</v>
      </c>
      <c r="AH15" s="208">
        <f t="shared" si="12"/>
        <v>108</v>
      </c>
      <c r="AI15" s="208">
        <f t="shared" si="13"/>
        <v>58.5</v>
      </c>
      <c r="AJ15" s="208">
        <f t="shared" si="14"/>
        <v>81</v>
      </c>
      <c r="AK15" s="208">
        <f t="shared" si="15"/>
        <v>124.2</v>
      </c>
      <c r="AL15" s="208">
        <f t="shared" si="16"/>
        <v>371.7</v>
      </c>
      <c r="AM15" s="680"/>
      <c r="AN15" s="746">
        <f t="shared" si="6"/>
        <v>0.49355733998842333</v>
      </c>
      <c r="AO15" s="746">
        <f t="shared" si="6"/>
        <v>0</v>
      </c>
      <c r="AP15" s="746">
        <f t="shared" si="6"/>
        <v>0.69098027598379264</v>
      </c>
      <c r="AQ15" s="746">
        <f t="shared" si="6"/>
        <v>9.8711467997684654E-2</v>
      </c>
      <c r="AR15" s="746">
        <f t="shared" si="6"/>
        <v>0.54291307398726563</v>
      </c>
      <c r="AS15" s="746">
        <f t="shared" si="6"/>
        <v>0</v>
      </c>
      <c r="AT15" s="746">
        <f t="shared" si="6"/>
        <v>0.49355733998842333</v>
      </c>
      <c r="AU15" s="746">
        <f t="shared" si="6"/>
        <v>0</v>
      </c>
      <c r="AV15" s="746">
        <f t="shared" si="6"/>
        <v>0.39484587199073862</v>
      </c>
      <c r="AW15" s="746">
        <f t="shared" si="6"/>
        <v>0.57252651438657109</v>
      </c>
      <c r="AX15" s="746">
        <f t="shared" si="6"/>
        <v>0</v>
      </c>
      <c r="AY15" s="746">
        <f t="shared" si="6"/>
        <v>0.78969174398147723</v>
      </c>
      <c r="AZ15" s="733">
        <f t="shared" si="17"/>
        <v>0</v>
      </c>
      <c r="BA15" s="636">
        <f t="shared" si="18"/>
        <v>1.1845376159722161</v>
      </c>
      <c r="BB15" s="636">
        <f t="shared" si="19"/>
        <v>0.64162454198495023</v>
      </c>
      <c r="BC15" s="636">
        <f t="shared" si="20"/>
        <v>0.88840321197916194</v>
      </c>
      <c r="BD15" s="636">
        <f t="shared" si="21"/>
        <v>1.3622182583680482</v>
      </c>
      <c r="BE15" s="735">
        <f t="shared" si="22"/>
        <v>4.0767836283043764</v>
      </c>
      <c r="BF15" s="680"/>
      <c r="BG15" s="680"/>
      <c r="BH15" s="680"/>
      <c r="BI15" s="680"/>
      <c r="BJ15" s="680"/>
      <c r="BK15" s="680"/>
      <c r="BL15" s="680"/>
      <c r="BM15" s="680"/>
      <c r="BN15" s="680"/>
    </row>
    <row r="16" spans="1:66" ht="12.95" customHeight="1">
      <c r="A16" s="722" t="s">
        <v>153</v>
      </c>
      <c r="B16" s="723" t="s">
        <v>135</v>
      </c>
      <c r="C16" s="736" t="s">
        <v>136</v>
      </c>
      <c r="D16" s="737" t="s">
        <v>152</v>
      </c>
      <c r="E16" s="738" t="s">
        <v>140</v>
      </c>
      <c r="F16" s="739">
        <v>0</v>
      </c>
      <c r="G16" s="739">
        <v>0</v>
      </c>
      <c r="H16" s="739">
        <v>0</v>
      </c>
      <c r="I16" s="740">
        <f t="shared" si="7"/>
        <v>0</v>
      </c>
      <c r="J16" s="739">
        <v>0</v>
      </c>
      <c r="K16" s="686"/>
      <c r="L16" s="739">
        <f t="shared" si="4"/>
        <v>0</v>
      </c>
      <c r="M16" s="740">
        <f t="shared" si="9"/>
        <v>0</v>
      </c>
      <c r="N16" s="739">
        <v>0</v>
      </c>
      <c r="O16" s="740">
        <f t="shared" si="5"/>
        <v>0</v>
      </c>
      <c r="P16" s="739">
        <v>0</v>
      </c>
      <c r="Q16" s="741"/>
      <c r="R16" s="742">
        <f t="shared" si="10"/>
        <v>0</v>
      </c>
      <c r="S16" s="742"/>
      <c r="T16" s="742"/>
      <c r="U16" s="743"/>
      <c r="V16" s="743"/>
      <c r="W16" s="743"/>
      <c r="X16" s="743"/>
      <c r="Y16" s="743"/>
      <c r="Z16" s="743"/>
      <c r="AA16" s="743"/>
      <c r="AB16" s="743"/>
      <c r="AC16" s="743"/>
      <c r="AD16" s="744"/>
      <c r="AE16" s="744"/>
      <c r="AF16" s="745"/>
      <c r="AG16" s="733">
        <f t="shared" si="11"/>
        <v>0</v>
      </c>
      <c r="AH16" s="208">
        <f t="shared" si="12"/>
        <v>0</v>
      </c>
      <c r="AI16" s="208">
        <f t="shared" si="13"/>
        <v>0</v>
      </c>
      <c r="AJ16" s="208">
        <f t="shared" si="14"/>
        <v>0</v>
      </c>
      <c r="AK16" s="208">
        <f t="shared" si="15"/>
        <v>0</v>
      </c>
      <c r="AL16" s="208">
        <f t="shared" si="16"/>
        <v>0</v>
      </c>
      <c r="AM16" s="680"/>
      <c r="AN16" s="746">
        <f t="shared" si="6"/>
        <v>0</v>
      </c>
      <c r="AO16" s="746">
        <f t="shared" si="6"/>
        <v>0</v>
      </c>
      <c r="AP16" s="746">
        <f t="shared" si="6"/>
        <v>0</v>
      </c>
      <c r="AQ16" s="746">
        <f t="shared" si="6"/>
        <v>0</v>
      </c>
      <c r="AR16" s="746">
        <f t="shared" si="6"/>
        <v>0</v>
      </c>
      <c r="AS16" s="746">
        <f t="shared" si="6"/>
        <v>0</v>
      </c>
      <c r="AT16" s="746">
        <f t="shared" si="6"/>
        <v>0</v>
      </c>
      <c r="AU16" s="746">
        <f t="shared" si="6"/>
        <v>0</v>
      </c>
      <c r="AV16" s="746">
        <f t="shared" si="6"/>
        <v>0</v>
      </c>
      <c r="AW16" s="746">
        <f t="shared" si="6"/>
        <v>0</v>
      </c>
      <c r="AX16" s="746">
        <f t="shared" si="6"/>
        <v>0</v>
      </c>
      <c r="AY16" s="746">
        <f t="shared" si="6"/>
        <v>0</v>
      </c>
      <c r="AZ16" s="733">
        <f t="shared" si="17"/>
        <v>0</v>
      </c>
      <c r="BA16" s="636">
        <f t="shared" si="18"/>
        <v>0</v>
      </c>
      <c r="BB16" s="636">
        <f t="shared" si="19"/>
        <v>0</v>
      </c>
      <c r="BC16" s="636">
        <f t="shared" si="20"/>
        <v>0</v>
      </c>
      <c r="BD16" s="636">
        <f t="shared" si="21"/>
        <v>0</v>
      </c>
      <c r="BE16" s="735">
        <f t="shared" si="22"/>
        <v>0</v>
      </c>
      <c r="BF16" s="680"/>
      <c r="BG16" s="680"/>
      <c r="BH16" s="680"/>
      <c r="BI16" s="680"/>
      <c r="BJ16" s="680"/>
      <c r="BK16" s="680"/>
      <c r="BL16" s="680"/>
      <c r="BM16" s="680"/>
      <c r="BN16" s="680"/>
    </row>
    <row r="17" spans="1:66" ht="12.95" customHeight="1">
      <c r="A17" s="722" t="s">
        <v>154</v>
      </c>
      <c r="B17" s="723" t="s">
        <v>135</v>
      </c>
      <c r="C17" s="736" t="s">
        <v>136</v>
      </c>
      <c r="D17" s="747" t="s">
        <v>152</v>
      </c>
      <c r="E17" s="738" t="s">
        <v>144</v>
      </c>
      <c r="F17" s="739">
        <v>60.125000000000014</v>
      </c>
      <c r="G17" s="739">
        <v>0</v>
      </c>
      <c r="H17" s="739">
        <v>0</v>
      </c>
      <c r="I17" s="740">
        <f t="shared" si="7"/>
        <v>0</v>
      </c>
      <c r="J17" s="739">
        <v>0</v>
      </c>
      <c r="K17" s="686"/>
      <c r="L17" s="739">
        <f t="shared" si="4"/>
        <v>0</v>
      </c>
      <c r="M17" s="740">
        <f t="shared" si="9"/>
        <v>0</v>
      </c>
      <c r="N17" s="739">
        <v>45.6</v>
      </c>
      <c r="O17" s="740">
        <f t="shared" si="5"/>
        <v>0</v>
      </c>
      <c r="P17" s="739">
        <v>99052.296697178128</v>
      </c>
      <c r="Q17" s="741"/>
      <c r="R17" s="742">
        <f t="shared" si="10"/>
        <v>0.45167847293913227</v>
      </c>
      <c r="S17" s="742"/>
      <c r="T17" s="742"/>
      <c r="U17" s="743"/>
      <c r="V17" s="743"/>
      <c r="W17" s="743"/>
      <c r="X17" s="743"/>
      <c r="Y17" s="743"/>
      <c r="Z17" s="743"/>
      <c r="AA17" s="743"/>
      <c r="AB17" s="743">
        <v>45.6</v>
      </c>
      <c r="AC17" s="743"/>
      <c r="AD17" s="744"/>
      <c r="AE17" s="743"/>
      <c r="AF17" s="745"/>
      <c r="AG17" s="733">
        <f t="shared" si="11"/>
        <v>0</v>
      </c>
      <c r="AH17" s="208">
        <f t="shared" si="12"/>
        <v>0</v>
      </c>
      <c r="AI17" s="208">
        <f t="shared" si="13"/>
        <v>0</v>
      </c>
      <c r="AJ17" s="208">
        <f t="shared" si="14"/>
        <v>45.6</v>
      </c>
      <c r="AK17" s="208">
        <f t="shared" si="15"/>
        <v>0</v>
      </c>
      <c r="AL17" s="208">
        <f t="shared" si="16"/>
        <v>45.6</v>
      </c>
      <c r="AM17" s="680"/>
      <c r="AN17" s="746">
        <f t="shared" si="6"/>
        <v>0</v>
      </c>
      <c r="AO17" s="746">
        <f t="shared" si="6"/>
        <v>0</v>
      </c>
      <c r="AP17" s="746">
        <f t="shared" si="6"/>
        <v>0</v>
      </c>
      <c r="AQ17" s="746">
        <f t="shared" si="6"/>
        <v>0</v>
      </c>
      <c r="AR17" s="746">
        <f t="shared" si="6"/>
        <v>0</v>
      </c>
      <c r="AS17" s="746">
        <f t="shared" si="6"/>
        <v>0</v>
      </c>
      <c r="AT17" s="746">
        <f t="shared" si="6"/>
        <v>0</v>
      </c>
      <c r="AU17" s="746">
        <f t="shared" si="6"/>
        <v>0.45167847293913227</v>
      </c>
      <c r="AV17" s="746">
        <f t="shared" si="6"/>
        <v>0</v>
      </c>
      <c r="AW17" s="746">
        <f t="shared" si="6"/>
        <v>0</v>
      </c>
      <c r="AX17" s="746">
        <f t="shared" si="6"/>
        <v>0</v>
      </c>
      <c r="AY17" s="746">
        <f t="shared" si="6"/>
        <v>0</v>
      </c>
      <c r="AZ17" s="733">
        <f t="shared" si="17"/>
        <v>0</v>
      </c>
      <c r="BA17" s="636">
        <f t="shared" si="18"/>
        <v>0</v>
      </c>
      <c r="BB17" s="636">
        <f t="shared" si="19"/>
        <v>0</v>
      </c>
      <c r="BC17" s="636">
        <f t="shared" si="20"/>
        <v>0.45167847293913227</v>
      </c>
      <c r="BD17" s="636">
        <f t="shared" si="21"/>
        <v>0</v>
      </c>
      <c r="BE17" s="735">
        <f t="shared" si="22"/>
        <v>0.45167847293913227</v>
      </c>
      <c r="BF17" s="680"/>
      <c r="BG17" s="680"/>
      <c r="BH17" s="680"/>
      <c r="BI17" s="680"/>
      <c r="BJ17" s="680"/>
      <c r="BK17" s="680"/>
      <c r="BL17" s="680"/>
      <c r="BM17" s="680"/>
      <c r="BN17" s="680"/>
    </row>
    <row r="18" spans="1:66" ht="12.95" customHeight="1">
      <c r="A18" s="722" t="s">
        <v>392</v>
      </c>
      <c r="B18" s="723" t="s">
        <v>135</v>
      </c>
      <c r="C18" s="736" t="s">
        <v>136</v>
      </c>
      <c r="D18" s="747"/>
      <c r="E18" s="738" t="s">
        <v>142</v>
      </c>
      <c r="F18" s="739"/>
      <c r="G18" s="739"/>
      <c r="H18" s="739"/>
      <c r="I18" s="740"/>
      <c r="J18" s="739"/>
      <c r="K18" s="686"/>
      <c r="L18" s="739"/>
      <c r="M18" s="740"/>
      <c r="N18" s="739">
        <v>72</v>
      </c>
      <c r="O18" s="740">
        <f t="shared" si="5"/>
        <v>0</v>
      </c>
      <c r="P18" s="739">
        <v>279695.75986425002</v>
      </c>
      <c r="Q18" s="741"/>
      <c r="R18" s="742">
        <f t="shared" si="10"/>
        <v>2.0138094710226002</v>
      </c>
      <c r="S18" s="742"/>
      <c r="T18" s="742"/>
      <c r="U18" s="743"/>
      <c r="V18" s="743">
        <v>18</v>
      </c>
      <c r="W18" s="743"/>
      <c r="X18" s="743">
        <v>18</v>
      </c>
      <c r="Y18" s="743"/>
      <c r="Z18" s="743"/>
      <c r="AA18" s="743">
        <v>18</v>
      </c>
      <c r="AB18" s="743"/>
      <c r="AC18" s="743"/>
      <c r="AD18" s="743">
        <v>18</v>
      </c>
      <c r="AE18" s="744"/>
      <c r="AF18" s="745"/>
      <c r="AG18" s="733">
        <f t="shared" si="11"/>
        <v>0</v>
      </c>
      <c r="AH18" s="208">
        <f t="shared" si="12"/>
        <v>18</v>
      </c>
      <c r="AI18" s="208">
        <f t="shared" si="13"/>
        <v>18</v>
      </c>
      <c r="AJ18" s="208">
        <f t="shared" si="14"/>
        <v>18</v>
      </c>
      <c r="AK18" s="208">
        <f t="shared" si="15"/>
        <v>18</v>
      </c>
      <c r="AL18" s="208">
        <f t="shared" si="16"/>
        <v>72</v>
      </c>
      <c r="AM18" s="680"/>
      <c r="AN18" s="746">
        <f t="shared" si="6"/>
        <v>0</v>
      </c>
      <c r="AO18" s="746">
        <f t="shared" si="6"/>
        <v>0.50345236775565005</v>
      </c>
      <c r="AP18" s="746">
        <f t="shared" si="6"/>
        <v>0</v>
      </c>
      <c r="AQ18" s="746">
        <f t="shared" si="6"/>
        <v>0.50345236775565005</v>
      </c>
      <c r="AR18" s="746">
        <f t="shared" si="6"/>
        <v>0</v>
      </c>
      <c r="AS18" s="746">
        <f t="shared" si="6"/>
        <v>0</v>
      </c>
      <c r="AT18" s="746">
        <f t="shared" si="6"/>
        <v>0.50345236775565005</v>
      </c>
      <c r="AU18" s="746">
        <f t="shared" si="6"/>
        <v>0</v>
      </c>
      <c r="AV18" s="746">
        <f t="shared" si="6"/>
        <v>0</v>
      </c>
      <c r="AW18" s="746">
        <f t="shared" si="6"/>
        <v>0.50345236775565005</v>
      </c>
      <c r="AX18" s="746">
        <f t="shared" si="6"/>
        <v>0</v>
      </c>
      <c r="AY18" s="746">
        <f t="shared" si="6"/>
        <v>0</v>
      </c>
      <c r="AZ18" s="733">
        <f t="shared" si="17"/>
        <v>0</v>
      </c>
      <c r="BA18" s="636">
        <f t="shared" si="18"/>
        <v>0.50345236775565005</v>
      </c>
      <c r="BB18" s="636">
        <f t="shared" si="19"/>
        <v>0.50345236775565005</v>
      </c>
      <c r="BC18" s="636">
        <f t="shared" si="20"/>
        <v>0.50345236775565005</v>
      </c>
      <c r="BD18" s="636">
        <f t="shared" si="21"/>
        <v>0.50345236775565005</v>
      </c>
      <c r="BE18" s="735">
        <f t="shared" si="22"/>
        <v>2.0138094710226002</v>
      </c>
      <c r="BF18" s="680"/>
      <c r="BG18" s="680"/>
      <c r="BH18" s="680"/>
      <c r="BI18" s="680"/>
      <c r="BJ18" s="680"/>
      <c r="BK18" s="680"/>
      <c r="BL18" s="680"/>
      <c r="BM18" s="680"/>
      <c r="BN18" s="680"/>
    </row>
    <row r="19" spans="1:66" ht="12.95" customHeight="1">
      <c r="A19" s="722"/>
      <c r="B19" s="723" t="s">
        <v>135</v>
      </c>
      <c r="C19" s="736" t="s">
        <v>136</v>
      </c>
      <c r="D19" s="749" t="s">
        <v>393</v>
      </c>
      <c r="E19" s="738" t="s">
        <v>142</v>
      </c>
      <c r="F19" s="739"/>
      <c r="G19" s="739">
        <v>0</v>
      </c>
      <c r="H19" s="739">
        <v>0</v>
      </c>
      <c r="I19" s="740">
        <f t="shared" si="7"/>
        <v>0</v>
      </c>
      <c r="J19" s="739">
        <v>0</v>
      </c>
      <c r="K19" s="686"/>
      <c r="L19" s="739">
        <f>J19+K19</f>
        <v>0</v>
      </c>
      <c r="M19" s="740">
        <f t="shared" si="9"/>
        <v>0</v>
      </c>
      <c r="N19" s="739">
        <v>0</v>
      </c>
      <c r="O19" s="740">
        <f>IF(ISERROR((N19-L19)/L19),0,((N19-L19)/L19))</f>
        <v>0</v>
      </c>
      <c r="P19" s="739">
        <v>0</v>
      </c>
      <c r="Q19" s="741"/>
      <c r="R19" s="742">
        <f t="shared" si="10"/>
        <v>0</v>
      </c>
      <c r="S19" s="742"/>
      <c r="T19" s="742"/>
      <c r="U19" s="743">
        <v>0</v>
      </c>
      <c r="V19" s="743">
        <v>0</v>
      </c>
      <c r="W19" s="743">
        <v>0</v>
      </c>
      <c r="X19" s="743">
        <v>0</v>
      </c>
      <c r="Y19" s="743">
        <v>0</v>
      </c>
      <c r="Z19" s="743">
        <v>0</v>
      </c>
      <c r="AA19" s="743">
        <v>0</v>
      </c>
      <c r="AB19" s="743">
        <v>0</v>
      </c>
      <c r="AC19" s="743">
        <v>0</v>
      </c>
      <c r="AD19" s="744">
        <v>0</v>
      </c>
      <c r="AE19" s="744">
        <v>0</v>
      </c>
      <c r="AF19" s="745">
        <v>0</v>
      </c>
      <c r="AG19" s="733">
        <f t="shared" si="11"/>
        <v>0</v>
      </c>
      <c r="AH19" s="208">
        <f t="shared" si="12"/>
        <v>0</v>
      </c>
      <c r="AI19" s="208">
        <f t="shared" si="13"/>
        <v>0</v>
      </c>
      <c r="AJ19" s="208">
        <f t="shared" si="14"/>
        <v>0</v>
      </c>
      <c r="AK19" s="208">
        <f t="shared" si="15"/>
        <v>0</v>
      </c>
      <c r="AL19" s="208">
        <f t="shared" si="16"/>
        <v>0</v>
      </c>
      <c r="AM19" s="680"/>
      <c r="AN19" s="746">
        <f t="shared" si="6"/>
        <v>0</v>
      </c>
      <c r="AO19" s="746">
        <f t="shared" si="6"/>
        <v>0</v>
      </c>
      <c r="AP19" s="746">
        <f t="shared" si="6"/>
        <v>0</v>
      </c>
      <c r="AQ19" s="746">
        <f t="shared" si="6"/>
        <v>0</v>
      </c>
      <c r="AR19" s="746">
        <f t="shared" si="6"/>
        <v>0</v>
      </c>
      <c r="AS19" s="746">
        <f t="shared" si="6"/>
        <v>0</v>
      </c>
      <c r="AT19" s="746">
        <f t="shared" si="6"/>
        <v>0</v>
      </c>
      <c r="AU19" s="746">
        <f t="shared" si="6"/>
        <v>0</v>
      </c>
      <c r="AV19" s="746">
        <f t="shared" si="6"/>
        <v>0</v>
      </c>
      <c r="AW19" s="746">
        <f t="shared" si="6"/>
        <v>0</v>
      </c>
      <c r="AX19" s="746">
        <f t="shared" si="6"/>
        <v>0</v>
      </c>
      <c r="AY19" s="746">
        <f t="shared" si="6"/>
        <v>0</v>
      </c>
      <c r="AZ19" s="733">
        <f t="shared" si="17"/>
        <v>0</v>
      </c>
      <c r="BA19" s="636">
        <f t="shared" si="18"/>
        <v>0</v>
      </c>
      <c r="BB19" s="636">
        <f t="shared" si="19"/>
        <v>0</v>
      </c>
      <c r="BC19" s="636">
        <f t="shared" si="20"/>
        <v>0</v>
      </c>
      <c r="BD19" s="636">
        <f t="shared" si="21"/>
        <v>0</v>
      </c>
      <c r="BE19" s="735">
        <f t="shared" si="22"/>
        <v>0</v>
      </c>
      <c r="BF19" s="680"/>
      <c r="BG19" s="680"/>
      <c r="BH19" s="680"/>
      <c r="BI19" s="680"/>
      <c r="BJ19" s="680"/>
      <c r="BK19" s="680"/>
      <c r="BL19" s="680"/>
      <c r="BM19" s="680"/>
      <c r="BN19" s="680"/>
    </row>
    <row r="20" spans="1:66" ht="12.95" customHeight="1">
      <c r="A20" s="722" t="s">
        <v>177</v>
      </c>
      <c r="B20" s="723" t="s">
        <v>135</v>
      </c>
      <c r="C20" s="736" t="s">
        <v>49</v>
      </c>
      <c r="D20" s="748" t="s">
        <v>178</v>
      </c>
      <c r="E20" s="738" t="s">
        <v>140</v>
      </c>
      <c r="F20" s="739">
        <v>346.02727999999996</v>
      </c>
      <c r="G20" s="739">
        <v>500.99700000000001</v>
      </c>
      <c r="H20" s="739">
        <v>485.22</v>
      </c>
      <c r="I20" s="740">
        <f t="shared" si="7"/>
        <v>-3.1491206534170833E-2</v>
      </c>
      <c r="J20" s="739">
        <v>385.16699999999997</v>
      </c>
      <c r="K20" s="686">
        <v>28</v>
      </c>
      <c r="L20" s="739">
        <f>J20+K20</f>
        <v>413.16699999999997</v>
      </c>
      <c r="M20" s="740">
        <f t="shared" si="9"/>
        <v>-0.14849552780182196</v>
      </c>
      <c r="N20" s="739">
        <v>0</v>
      </c>
      <c r="O20" s="740">
        <f>IF(ISERROR((N20-L20)/L20),0,((N20-L20)/L20))</f>
        <v>-1</v>
      </c>
      <c r="P20" s="739">
        <v>0</v>
      </c>
      <c r="Q20" s="741"/>
      <c r="R20" s="742">
        <f t="shared" si="10"/>
        <v>0</v>
      </c>
      <c r="S20" s="742"/>
      <c r="T20" s="742"/>
      <c r="U20" s="743">
        <v>0</v>
      </c>
      <c r="V20" s="743">
        <v>0</v>
      </c>
      <c r="W20" s="743">
        <v>0</v>
      </c>
      <c r="X20" s="743">
        <v>0</v>
      </c>
      <c r="Y20" s="743">
        <v>0</v>
      </c>
      <c r="Z20" s="743">
        <v>0</v>
      </c>
      <c r="AA20" s="743">
        <v>0</v>
      </c>
      <c r="AB20" s="743">
        <v>0</v>
      </c>
      <c r="AC20" s="743">
        <v>0</v>
      </c>
      <c r="AD20" s="744">
        <v>0</v>
      </c>
      <c r="AE20" s="744">
        <v>0</v>
      </c>
      <c r="AF20" s="745">
        <v>0</v>
      </c>
      <c r="AG20" s="733">
        <f t="shared" si="11"/>
        <v>0</v>
      </c>
      <c r="AH20" s="208">
        <f t="shared" si="12"/>
        <v>0</v>
      </c>
      <c r="AI20" s="208">
        <f t="shared" si="13"/>
        <v>0</v>
      </c>
      <c r="AJ20" s="208">
        <f t="shared" si="14"/>
        <v>0</v>
      </c>
      <c r="AK20" s="208">
        <f t="shared" si="15"/>
        <v>0</v>
      </c>
      <c r="AL20" s="208">
        <f t="shared" si="16"/>
        <v>0</v>
      </c>
      <c r="AM20" s="680"/>
      <c r="AN20" s="746">
        <f t="shared" si="6"/>
        <v>0</v>
      </c>
      <c r="AO20" s="746">
        <f t="shared" si="6"/>
        <v>0</v>
      </c>
      <c r="AP20" s="746">
        <f t="shared" si="6"/>
        <v>0</v>
      </c>
      <c r="AQ20" s="746">
        <f t="shared" si="6"/>
        <v>0</v>
      </c>
      <c r="AR20" s="746">
        <f t="shared" si="6"/>
        <v>0</v>
      </c>
      <c r="AS20" s="746">
        <f t="shared" si="6"/>
        <v>0</v>
      </c>
      <c r="AT20" s="746">
        <f t="shared" si="6"/>
        <v>0</v>
      </c>
      <c r="AU20" s="746">
        <f t="shared" si="6"/>
        <v>0</v>
      </c>
      <c r="AV20" s="746">
        <f t="shared" si="6"/>
        <v>0</v>
      </c>
      <c r="AW20" s="746">
        <f t="shared" si="6"/>
        <v>0</v>
      </c>
      <c r="AX20" s="746">
        <f t="shared" si="6"/>
        <v>0</v>
      </c>
      <c r="AY20" s="746">
        <f t="shared" si="6"/>
        <v>0</v>
      </c>
      <c r="AZ20" s="733">
        <f t="shared" si="17"/>
        <v>0</v>
      </c>
      <c r="BA20" s="636">
        <f t="shared" si="18"/>
        <v>0</v>
      </c>
      <c r="BB20" s="636">
        <f t="shared" si="19"/>
        <v>0</v>
      </c>
      <c r="BC20" s="636">
        <f t="shared" si="20"/>
        <v>0</v>
      </c>
      <c r="BD20" s="636">
        <f t="shared" si="21"/>
        <v>0</v>
      </c>
      <c r="BE20" s="735">
        <f t="shared" si="22"/>
        <v>0</v>
      </c>
      <c r="BF20" s="680"/>
      <c r="BG20" s="680"/>
      <c r="BH20" s="680"/>
      <c r="BI20" s="680"/>
      <c r="BJ20" s="680"/>
      <c r="BK20" s="680"/>
      <c r="BL20" s="680"/>
      <c r="BM20" s="680"/>
      <c r="BN20" s="680"/>
    </row>
    <row r="21" spans="1:66" ht="12.95" customHeight="1">
      <c r="A21" s="722" t="s">
        <v>180</v>
      </c>
      <c r="B21" s="723" t="s">
        <v>135</v>
      </c>
      <c r="C21" s="736" t="s">
        <v>49</v>
      </c>
      <c r="D21" s="737" t="s">
        <v>178</v>
      </c>
      <c r="E21" s="738" t="s">
        <v>142</v>
      </c>
      <c r="F21" s="739">
        <v>805.92520000000002</v>
      </c>
      <c r="G21" s="739">
        <v>869.29099999999994</v>
      </c>
      <c r="H21" s="739">
        <v>542.98199999999997</v>
      </c>
      <c r="I21" s="740">
        <f t="shared" si="7"/>
        <v>-0.37537372410389613</v>
      </c>
      <c r="J21" s="739">
        <v>318.77200000000005</v>
      </c>
      <c r="K21" s="686"/>
      <c r="L21" s="739">
        <f>J21+K21</f>
        <v>318.77200000000005</v>
      </c>
      <c r="M21" s="740">
        <f t="shared" si="9"/>
        <v>-0.41292344865943981</v>
      </c>
      <c r="N21" s="739">
        <v>0</v>
      </c>
      <c r="O21" s="740">
        <f>IF(ISERROR((N21-L21)/L21),0,((N21-L21)/L21))</f>
        <v>-1</v>
      </c>
      <c r="P21" s="739">
        <v>0</v>
      </c>
      <c r="Q21" s="741"/>
      <c r="R21" s="742">
        <f t="shared" si="10"/>
        <v>0</v>
      </c>
      <c r="S21" s="742"/>
      <c r="T21" s="742"/>
      <c r="U21" s="743">
        <v>0</v>
      </c>
      <c r="V21" s="743">
        <v>0</v>
      </c>
      <c r="W21" s="743">
        <v>0</v>
      </c>
      <c r="X21" s="743">
        <v>0</v>
      </c>
      <c r="Y21" s="743">
        <v>0</v>
      </c>
      <c r="Z21" s="743">
        <v>0</v>
      </c>
      <c r="AA21" s="743">
        <v>0</v>
      </c>
      <c r="AB21" s="743">
        <v>0</v>
      </c>
      <c r="AC21" s="743">
        <v>0</v>
      </c>
      <c r="AD21" s="744">
        <v>0</v>
      </c>
      <c r="AE21" s="744">
        <v>0</v>
      </c>
      <c r="AF21" s="745">
        <v>0</v>
      </c>
      <c r="AG21" s="733">
        <f t="shared" si="11"/>
        <v>0</v>
      </c>
      <c r="AH21" s="208">
        <f t="shared" si="12"/>
        <v>0</v>
      </c>
      <c r="AI21" s="208">
        <f t="shared" si="13"/>
        <v>0</v>
      </c>
      <c r="AJ21" s="208">
        <f t="shared" si="14"/>
        <v>0</v>
      </c>
      <c r="AK21" s="208">
        <f t="shared" si="15"/>
        <v>0</v>
      </c>
      <c r="AL21" s="208">
        <f t="shared" si="16"/>
        <v>0</v>
      </c>
      <c r="AM21" s="680"/>
      <c r="AN21" s="746">
        <f t="shared" si="6"/>
        <v>0</v>
      </c>
      <c r="AO21" s="746">
        <f t="shared" si="6"/>
        <v>0</v>
      </c>
      <c r="AP21" s="746">
        <f t="shared" si="6"/>
        <v>0</v>
      </c>
      <c r="AQ21" s="746">
        <f t="shared" si="6"/>
        <v>0</v>
      </c>
      <c r="AR21" s="746">
        <f t="shared" si="6"/>
        <v>0</v>
      </c>
      <c r="AS21" s="746">
        <f t="shared" si="6"/>
        <v>0</v>
      </c>
      <c r="AT21" s="746">
        <f t="shared" si="6"/>
        <v>0</v>
      </c>
      <c r="AU21" s="746">
        <f t="shared" si="6"/>
        <v>0</v>
      </c>
      <c r="AV21" s="746">
        <f t="shared" si="6"/>
        <v>0</v>
      </c>
      <c r="AW21" s="746">
        <f t="shared" si="6"/>
        <v>0</v>
      </c>
      <c r="AX21" s="746">
        <f t="shared" si="6"/>
        <v>0</v>
      </c>
      <c r="AY21" s="746">
        <f t="shared" si="6"/>
        <v>0</v>
      </c>
      <c r="AZ21" s="733">
        <f t="shared" si="17"/>
        <v>0</v>
      </c>
      <c r="BA21" s="636">
        <f t="shared" si="18"/>
        <v>0</v>
      </c>
      <c r="BB21" s="636">
        <f t="shared" si="19"/>
        <v>0</v>
      </c>
      <c r="BC21" s="636">
        <f t="shared" si="20"/>
        <v>0</v>
      </c>
      <c r="BD21" s="636">
        <f t="shared" si="21"/>
        <v>0</v>
      </c>
      <c r="BE21" s="735">
        <f t="shared" si="22"/>
        <v>0</v>
      </c>
      <c r="BF21" s="680"/>
      <c r="BG21" s="680"/>
      <c r="BH21" s="680"/>
      <c r="BI21" s="680"/>
      <c r="BJ21" s="680"/>
      <c r="BK21" s="680"/>
      <c r="BL21" s="680"/>
      <c r="BM21" s="680"/>
      <c r="BN21" s="680"/>
    </row>
    <row r="22" spans="1:66" ht="12.95" customHeight="1">
      <c r="A22" s="722" t="s">
        <v>181</v>
      </c>
      <c r="B22" s="723" t="s">
        <v>135</v>
      </c>
      <c r="C22" s="736" t="s">
        <v>49</v>
      </c>
      <c r="D22" s="747" t="s">
        <v>178</v>
      </c>
      <c r="E22" s="738" t="s">
        <v>182</v>
      </c>
      <c r="F22" s="739">
        <v>367.18199999999996</v>
      </c>
      <c r="G22" s="739">
        <v>291.62599999999998</v>
      </c>
      <c r="H22" s="739">
        <v>292.40899999999999</v>
      </c>
      <c r="I22" s="740">
        <f t="shared" si="7"/>
        <v>2.6849457867268883E-3</v>
      </c>
      <c r="J22" s="739">
        <v>57.587999999999994</v>
      </c>
      <c r="K22" s="686"/>
      <c r="L22" s="739">
        <f>J22+K22</f>
        <v>57.587999999999994</v>
      </c>
      <c r="M22" s="740">
        <f t="shared" si="9"/>
        <v>-0.80305667746204801</v>
      </c>
      <c r="N22" s="739"/>
      <c r="O22" s="740">
        <f>IF(ISERROR((N22-L22)/L22),0,((N22-L22)/L22))</f>
        <v>-1</v>
      </c>
      <c r="P22" s="739">
        <v>0</v>
      </c>
      <c r="Q22" s="741"/>
      <c r="R22" s="742">
        <f t="shared" si="10"/>
        <v>0</v>
      </c>
      <c r="S22" s="742"/>
      <c r="T22" s="742"/>
      <c r="U22" s="743">
        <v>0</v>
      </c>
      <c r="V22" s="743">
        <v>0</v>
      </c>
      <c r="W22" s="743">
        <v>0</v>
      </c>
      <c r="X22" s="743">
        <v>0</v>
      </c>
      <c r="Y22" s="743">
        <v>0</v>
      </c>
      <c r="Z22" s="743">
        <v>0</v>
      </c>
      <c r="AA22" s="743">
        <v>0</v>
      </c>
      <c r="AB22" s="743">
        <v>0</v>
      </c>
      <c r="AC22" s="743">
        <v>0</v>
      </c>
      <c r="AD22" s="744">
        <v>0</v>
      </c>
      <c r="AE22" s="744">
        <v>0</v>
      </c>
      <c r="AF22" s="745">
        <v>0</v>
      </c>
      <c r="AG22" s="733">
        <f t="shared" si="11"/>
        <v>0</v>
      </c>
      <c r="AH22" s="208">
        <f t="shared" si="12"/>
        <v>0</v>
      </c>
      <c r="AI22" s="208">
        <f t="shared" si="13"/>
        <v>0</v>
      </c>
      <c r="AJ22" s="208">
        <f t="shared" si="14"/>
        <v>0</v>
      </c>
      <c r="AK22" s="208">
        <f t="shared" si="15"/>
        <v>0</v>
      </c>
      <c r="AL22" s="208">
        <f t="shared" si="16"/>
        <v>0</v>
      </c>
      <c r="AM22" s="680"/>
      <c r="AN22" s="746">
        <f t="shared" si="6"/>
        <v>0</v>
      </c>
      <c r="AO22" s="746">
        <f t="shared" si="6"/>
        <v>0</v>
      </c>
      <c r="AP22" s="746">
        <f t="shared" si="6"/>
        <v>0</v>
      </c>
      <c r="AQ22" s="746">
        <f t="shared" si="6"/>
        <v>0</v>
      </c>
      <c r="AR22" s="746">
        <f t="shared" si="6"/>
        <v>0</v>
      </c>
      <c r="AS22" s="746">
        <f t="shared" si="6"/>
        <v>0</v>
      </c>
      <c r="AT22" s="746">
        <f t="shared" si="6"/>
        <v>0</v>
      </c>
      <c r="AU22" s="746">
        <f t="shared" si="6"/>
        <v>0</v>
      </c>
      <c r="AV22" s="746">
        <f t="shared" si="6"/>
        <v>0</v>
      </c>
      <c r="AW22" s="746">
        <f t="shared" si="6"/>
        <v>0</v>
      </c>
      <c r="AX22" s="746">
        <f t="shared" si="6"/>
        <v>0</v>
      </c>
      <c r="AY22" s="746">
        <f t="shared" si="6"/>
        <v>0</v>
      </c>
      <c r="AZ22" s="733">
        <f t="shared" si="17"/>
        <v>0</v>
      </c>
      <c r="BA22" s="636">
        <f t="shared" si="18"/>
        <v>0</v>
      </c>
      <c r="BB22" s="636">
        <f t="shared" si="19"/>
        <v>0</v>
      </c>
      <c r="BC22" s="636">
        <f t="shared" si="20"/>
        <v>0</v>
      </c>
      <c r="BD22" s="636">
        <f t="shared" si="21"/>
        <v>0</v>
      </c>
      <c r="BE22" s="735">
        <f t="shared" si="22"/>
        <v>0</v>
      </c>
      <c r="BF22" s="680"/>
      <c r="BG22" s="680"/>
      <c r="BH22" s="680"/>
      <c r="BI22" s="680"/>
      <c r="BJ22" s="680"/>
      <c r="BK22" s="680"/>
      <c r="BL22" s="680"/>
      <c r="BM22" s="680"/>
      <c r="BN22" s="680"/>
    </row>
    <row r="23" spans="1:66" ht="12.95" customHeight="1">
      <c r="A23" s="722" t="s">
        <v>394</v>
      </c>
      <c r="B23" s="723" t="s">
        <v>135</v>
      </c>
      <c r="C23" s="736" t="s">
        <v>49</v>
      </c>
      <c r="D23" s="747" t="s">
        <v>395</v>
      </c>
      <c r="E23" s="738" t="s">
        <v>144</v>
      </c>
      <c r="F23" s="739"/>
      <c r="G23" s="739"/>
      <c r="H23" s="739"/>
      <c r="I23" s="740"/>
      <c r="J23" s="739"/>
      <c r="K23" s="686"/>
      <c r="L23" s="739"/>
      <c r="M23" s="740"/>
      <c r="N23" s="739">
        <v>1200</v>
      </c>
      <c r="O23" s="740">
        <f>IF(ISERROR((N23-L23)/L23),0,((N23-L23)/L23))</f>
        <v>0</v>
      </c>
      <c r="P23" s="739">
        <v>6000</v>
      </c>
      <c r="Q23" s="741"/>
      <c r="R23" s="742">
        <f t="shared" si="10"/>
        <v>0.72</v>
      </c>
      <c r="S23" s="742"/>
      <c r="T23" s="742"/>
      <c r="U23" s="743"/>
      <c r="V23" s="743"/>
      <c r="W23" s="743">
        <v>120</v>
      </c>
      <c r="X23" s="743">
        <v>120</v>
      </c>
      <c r="Y23" s="743">
        <v>120</v>
      </c>
      <c r="Z23" s="743">
        <v>120</v>
      </c>
      <c r="AA23" s="743">
        <v>120</v>
      </c>
      <c r="AB23" s="743">
        <v>120</v>
      </c>
      <c r="AC23" s="743">
        <v>120</v>
      </c>
      <c r="AD23" s="743">
        <v>120</v>
      </c>
      <c r="AE23" s="743">
        <v>120</v>
      </c>
      <c r="AF23" s="743">
        <v>120</v>
      </c>
      <c r="AG23" s="733">
        <f t="shared" si="11"/>
        <v>0</v>
      </c>
      <c r="AH23" s="208">
        <f t="shared" si="12"/>
        <v>120</v>
      </c>
      <c r="AI23" s="208">
        <f t="shared" si="13"/>
        <v>360</v>
      </c>
      <c r="AJ23" s="208">
        <f t="shared" si="14"/>
        <v>360</v>
      </c>
      <c r="AK23" s="208">
        <f t="shared" si="15"/>
        <v>360</v>
      </c>
      <c r="AL23" s="208">
        <f t="shared" si="16"/>
        <v>1200</v>
      </c>
      <c r="AM23" s="680"/>
      <c r="AN23" s="746">
        <f t="shared" ref="AN23:AY44" si="23">U23*$P23/10^7</f>
        <v>0</v>
      </c>
      <c r="AO23" s="746">
        <f t="shared" si="23"/>
        <v>0</v>
      </c>
      <c r="AP23" s="746">
        <f t="shared" si="23"/>
        <v>7.1999999999999995E-2</v>
      </c>
      <c r="AQ23" s="746">
        <f t="shared" si="23"/>
        <v>7.1999999999999995E-2</v>
      </c>
      <c r="AR23" s="746">
        <f t="shared" si="23"/>
        <v>7.1999999999999995E-2</v>
      </c>
      <c r="AS23" s="746">
        <f t="shared" si="23"/>
        <v>7.1999999999999995E-2</v>
      </c>
      <c r="AT23" s="746">
        <f t="shared" si="23"/>
        <v>7.1999999999999995E-2</v>
      </c>
      <c r="AU23" s="746">
        <f t="shared" si="23"/>
        <v>7.1999999999999995E-2</v>
      </c>
      <c r="AV23" s="746">
        <f t="shared" si="23"/>
        <v>7.1999999999999995E-2</v>
      </c>
      <c r="AW23" s="746">
        <f t="shared" si="23"/>
        <v>7.1999999999999995E-2</v>
      </c>
      <c r="AX23" s="746">
        <f t="shared" si="23"/>
        <v>7.1999999999999995E-2</v>
      </c>
      <c r="AY23" s="746">
        <f t="shared" si="23"/>
        <v>7.1999999999999995E-2</v>
      </c>
      <c r="AZ23" s="733">
        <f t="shared" si="17"/>
        <v>0</v>
      </c>
      <c r="BA23" s="636">
        <f t="shared" si="18"/>
        <v>7.1999999999999995E-2</v>
      </c>
      <c r="BB23" s="636">
        <f t="shared" si="19"/>
        <v>0.21599999999999997</v>
      </c>
      <c r="BC23" s="636">
        <f t="shared" si="20"/>
        <v>0.21599999999999997</v>
      </c>
      <c r="BD23" s="636">
        <f t="shared" si="21"/>
        <v>0.21599999999999997</v>
      </c>
      <c r="BE23" s="735">
        <f t="shared" si="22"/>
        <v>0.72</v>
      </c>
      <c r="BF23" s="680"/>
      <c r="BG23" s="680"/>
      <c r="BH23" s="680"/>
      <c r="BI23" s="680"/>
      <c r="BJ23" s="680"/>
      <c r="BK23" s="680"/>
      <c r="BL23" s="680"/>
      <c r="BM23" s="680"/>
      <c r="BN23" s="680"/>
    </row>
    <row r="24" spans="1:66" ht="12.95" customHeight="1">
      <c r="A24" s="722" t="s">
        <v>215</v>
      </c>
      <c r="B24" s="723" t="s">
        <v>135</v>
      </c>
      <c r="C24" s="750" t="s">
        <v>216</v>
      </c>
      <c r="D24" s="751" t="s">
        <v>217</v>
      </c>
      <c r="E24" s="738" t="s">
        <v>218</v>
      </c>
      <c r="F24" s="739">
        <v>371.97429600000004</v>
      </c>
      <c r="G24" s="739">
        <v>125.71499999999999</v>
      </c>
      <c r="H24" s="739">
        <v>495.77700000000004</v>
      </c>
      <c r="I24" s="740">
        <f t="shared" si="7"/>
        <v>2.9436582746688948</v>
      </c>
      <c r="J24" s="739">
        <v>0</v>
      </c>
      <c r="K24" s="686"/>
      <c r="L24" s="739">
        <f t="shared" ref="L24:L32" si="24">J24+K24</f>
        <v>0</v>
      </c>
      <c r="M24" s="740">
        <f t="shared" si="9"/>
        <v>-1</v>
      </c>
      <c r="N24" s="739">
        <v>0</v>
      </c>
      <c r="O24" s="740">
        <f t="shared" ref="O24:O32" si="25">IF(ISERROR((N24-L24)/L24),0,((N24-L24)/L24))</f>
        <v>0</v>
      </c>
      <c r="P24" s="739">
        <v>0</v>
      </c>
      <c r="Q24" s="741"/>
      <c r="R24" s="742">
        <f t="shared" si="10"/>
        <v>0</v>
      </c>
      <c r="S24" s="742"/>
      <c r="T24" s="742"/>
      <c r="U24" s="743">
        <v>0</v>
      </c>
      <c r="V24" s="743">
        <v>0</v>
      </c>
      <c r="W24" s="743">
        <v>0</v>
      </c>
      <c r="X24" s="743">
        <v>0</v>
      </c>
      <c r="Y24" s="743">
        <v>0</v>
      </c>
      <c r="Z24" s="743">
        <v>0</v>
      </c>
      <c r="AA24" s="743">
        <v>0</v>
      </c>
      <c r="AB24" s="743">
        <v>0</v>
      </c>
      <c r="AC24" s="743">
        <v>0</v>
      </c>
      <c r="AD24" s="744">
        <v>0</v>
      </c>
      <c r="AE24" s="744">
        <v>0</v>
      </c>
      <c r="AF24" s="745">
        <v>0</v>
      </c>
      <c r="AG24" s="733">
        <f t="shared" si="11"/>
        <v>0</v>
      </c>
      <c r="AH24" s="208">
        <f t="shared" si="12"/>
        <v>0</v>
      </c>
      <c r="AI24" s="208">
        <f t="shared" si="13"/>
        <v>0</v>
      </c>
      <c r="AJ24" s="208">
        <f t="shared" si="14"/>
        <v>0</v>
      </c>
      <c r="AK24" s="208">
        <f t="shared" si="15"/>
        <v>0</v>
      </c>
      <c r="AL24" s="208">
        <f t="shared" si="16"/>
        <v>0</v>
      </c>
      <c r="AM24" s="680"/>
      <c r="AN24" s="746">
        <f t="shared" si="23"/>
        <v>0</v>
      </c>
      <c r="AO24" s="746">
        <f t="shared" si="23"/>
        <v>0</v>
      </c>
      <c r="AP24" s="746">
        <f t="shared" si="23"/>
        <v>0</v>
      </c>
      <c r="AQ24" s="746">
        <f t="shared" si="23"/>
        <v>0</v>
      </c>
      <c r="AR24" s="746">
        <f t="shared" si="23"/>
        <v>0</v>
      </c>
      <c r="AS24" s="746">
        <f t="shared" si="23"/>
        <v>0</v>
      </c>
      <c r="AT24" s="746">
        <f t="shared" si="23"/>
        <v>0</v>
      </c>
      <c r="AU24" s="746">
        <f t="shared" si="23"/>
        <v>0</v>
      </c>
      <c r="AV24" s="746">
        <f t="shared" si="23"/>
        <v>0</v>
      </c>
      <c r="AW24" s="746">
        <f t="shared" si="23"/>
        <v>0</v>
      </c>
      <c r="AX24" s="746">
        <f t="shared" si="23"/>
        <v>0</v>
      </c>
      <c r="AY24" s="746">
        <f t="shared" si="23"/>
        <v>0</v>
      </c>
      <c r="AZ24" s="733">
        <f t="shared" si="17"/>
        <v>0</v>
      </c>
      <c r="BA24" s="636">
        <f t="shared" si="18"/>
        <v>0</v>
      </c>
      <c r="BB24" s="636">
        <f t="shared" si="19"/>
        <v>0</v>
      </c>
      <c r="BC24" s="636">
        <f t="shared" si="20"/>
        <v>0</v>
      </c>
      <c r="BD24" s="636">
        <f t="shared" si="21"/>
        <v>0</v>
      </c>
      <c r="BE24" s="735">
        <f t="shared" si="22"/>
        <v>0</v>
      </c>
      <c r="BF24" s="680"/>
      <c r="BG24" s="680"/>
      <c r="BH24" s="680"/>
      <c r="BI24" s="680"/>
      <c r="BJ24" s="680"/>
      <c r="BK24" s="680"/>
      <c r="BL24" s="680"/>
      <c r="BM24" s="680"/>
      <c r="BN24" s="680"/>
    </row>
    <row r="25" spans="1:66" ht="12.95" customHeight="1">
      <c r="A25" s="722" t="s">
        <v>221</v>
      </c>
      <c r="B25" s="723" t="s">
        <v>135</v>
      </c>
      <c r="C25" s="752" t="s">
        <v>216</v>
      </c>
      <c r="D25" s="751" t="s">
        <v>217</v>
      </c>
      <c r="E25" s="738" t="s">
        <v>222</v>
      </c>
      <c r="F25" s="739">
        <v>1598.9729599999998</v>
      </c>
      <c r="G25" s="739">
        <v>949.56600000000003</v>
      </c>
      <c r="H25" s="739">
        <v>776.77900000000011</v>
      </c>
      <c r="I25" s="740">
        <f t="shared" si="7"/>
        <v>-0.18196418153135213</v>
      </c>
      <c r="J25" s="739">
        <v>0</v>
      </c>
      <c r="K25" s="686"/>
      <c r="L25" s="739">
        <f t="shared" si="24"/>
        <v>0</v>
      </c>
      <c r="M25" s="740">
        <f t="shared" si="9"/>
        <v>-1</v>
      </c>
      <c r="N25" s="739">
        <v>0</v>
      </c>
      <c r="O25" s="740">
        <f t="shared" si="25"/>
        <v>0</v>
      </c>
      <c r="P25" s="739">
        <v>0</v>
      </c>
      <c r="Q25" s="741"/>
      <c r="R25" s="742">
        <f t="shared" si="10"/>
        <v>0</v>
      </c>
      <c r="S25" s="742"/>
      <c r="T25" s="742"/>
      <c r="U25" s="743">
        <v>0</v>
      </c>
      <c r="V25" s="743">
        <v>0</v>
      </c>
      <c r="W25" s="743">
        <v>0</v>
      </c>
      <c r="X25" s="743">
        <v>0</v>
      </c>
      <c r="Y25" s="743">
        <v>0</v>
      </c>
      <c r="Z25" s="743">
        <v>0</v>
      </c>
      <c r="AA25" s="743">
        <v>0</v>
      </c>
      <c r="AB25" s="743">
        <v>0</v>
      </c>
      <c r="AC25" s="743">
        <v>0</v>
      </c>
      <c r="AD25" s="744">
        <v>0</v>
      </c>
      <c r="AE25" s="744">
        <v>0</v>
      </c>
      <c r="AF25" s="745">
        <v>0</v>
      </c>
      <c r="AG25" s="733">
        <f t="shared" si="11"/>
        <v>0</v>
      </c>
      <c r="AH25" s="208">
        <f t="shared" si="12"/>
        <v>0</v>
      </c>
      <c r="AI25" s="208">
        <f t="shared" si="13"/>
        <v>0</v>
      </c>
      <c r="AJ25" s="208">
        <f t="shared" si="14"/>
        <v>0</v>
      </c>
      <c r="AK25" s="208">
        <f t="shared" si="15"/>
        <v>0</v>
      </c>
      <c r="AL25" s="208">
        <f t="shared" si="16"/>
        <v>0</v>
      </c>
      <c r="AM25" s="680"/>
      <c r="AN25" s="746">
        <f t="shared" si="23"/>
        <v>0</v>
      </c>
      <c r="AO25" s="746">
        <f t="shared" si="23"/>
        <v>0</v>
      </c>
      <c r="AP25" s="746">
        <f t="shared" si="23"/>
        <v>0</v>
      </c>
      <c r="AQ25" s="746">
        <f t="shared" si="23"/>
        <v>0</v>
      </c>
      <c r="AR25" s="746">
        <f t="shared" si="23"/>
        <v>0</v>
      </c>
      <c r="AS25" s="746">
        <f t="shared" si="23"/>
        <v>0</v>
      </c>
      <c r="AT25" s="746">
        <f t="shared" si="23"/>
        <v>0</v>
      </c>
      <c r="AU25" s="746">
        <f t="shared" si="23"/>
        <v>0</v>
      </c>
      <c r="AV25" s="746">
        <f t="shared" si="23"/>
        <v>0</v>
      </c>
      <c r="AW25" s="746">
        <f t="shared" si="23"/>
        <v>0</v>
      </c>
      <c r="AX25" s="746">
        <f t="shared" si="23"/>
        <v>0</v>
      </c>
      <c r="AY25" s="746">
        <f t="shared" si="23"/>
        <v>0</v>
      </c>
      <c r="AZ25" s="733">
        <f t="shared" si="17"/>
        <v>0</v>
      </c>
      <c r="BA25" s="636">
        <f t="shared" si="18"/>
        <v>0</v>
      </c>
      <c r="BB25" s="636">
        <f t="shared" si="19"/>
        <v>0</v>
      </c>
      <c r="BC25" s="636">
        <f t="shared" si="20"/>
        <v>0</v>
      </c>
      <c r="BD25" s="636">
        <f t="shared" si="21"/>
        <v>0</v>
      </c>
      <c r="BE25" s="735">
        <f t="shared" si="22"/>
        <v>0</v>
      </c>
      <c r="BF25" s="680"/>
      <c r="BG25" s="680"/>
      <c r="BH25" s="680"/>
      <c r="BI25" s="680"/>
      <c r="BJ25" s="680"/>
      <c r="BK25" s="680"/>
      <c r="BL25" s="680"/>
      <c r="BM25" s="680"/>
      <c r="BN25" s="680"/>
    </row>
    <row r="26" spans="1:66" ht="12.95" customHeight="1">
      <c r="A26" s="722" t="s">
        <v>219</v>
      </c>
      <c r="B26" s="723" t="s">
        <v>135</v>
      </c>
      <c r="C26" s="752" t="s">
        <v>216</v>
      </c>
      <c r="D26" s="751" t="s">
        <v>217</v>
      </c>
      <c r="E26" s="738" t="s">
        <v>396</v>
      </c>
      <c r="F26" s="739">
        <v>2167.6705999999999</v>
      </c>
      <c r="G26" s="739">
        <v>0</v>
      </c>
      <c r="H26" s="739">
        <v>0</v>
      </c>
      <c r="I26" s="740">
        <f t="shared" si="7"/>
        <v>0</v>
      </c>
      <c r="J26" s="739">
        <v>0</v>
      </c>
      <c r="K26" s="686"/>
      <c r="L26" s="739">
        <f t="shared" si="24"/>
        <v>0</v>
      </c>
      <c r="M26" s="740">
        <f t="shared" si="9"/>
        <v>0</v>
      </c>
      <c r="N26" s="739">
        <v>0</v>
      </c>
      <c r="O26" s="740">
        <f t="shared" si="25"/>
        <v>0</v>
      </c>
      <c r="P26" s="739">
        <v>0</v>
      </c>
      <c r="Q26" s="741"/>
      <c r="R26" s="742">
        <f t="shared" si="10"/>
        <v>0</v>
      </c>
      <c r="S26" s="742"/>
      <c r="T26" s="742"/>
      <c r="U26" s="743">
        <v>0</v>
      </c>
      <c r="V26" s="743">
        <v>0</v>
      </c>
      <c r="W26" s="743">
        <v>0</v>
      </c>
      <c r="X26" s="743">
        <v>0</v>
      </c>
      <c r="Y26" s="743">
        <v>0</v>
      </c>
      <c r="Z26" s="743">
        <v>0</v>
      </c>
      <c r="AA26" s="743">
        <v>0</v>
      </c>
      <c r="AB26" s="743">
        <v>0</v>
      </c>
      <c r="AC26" s="743">
        <v>0</v>
      </c>
      <c r="AD26" s="744">
        <v>0</v>
      </c>
      <c r="AE26" s="744">
        <v>0</v>
      </c>
      <c r="AF26" s="745">
        <v>0</v>
      </c>
      <c r="AG26" s="733">
        <f t="shared" si="11"/>
        <v>0</v>
      </c>
      <c r="AH26" s="208">
        <f t="shared" si="12"/>
        <v>0</v>
      </c>
      <c r="AI26" s="208">
        <f t="shared" si="13"/>
        <v>0</v>
      </c>
      <c r="AJ26" s="208">
        <f t="shared" si="14"/>
        <v>0</v>
      </c>
      <c r="AK26" s="208">
        <f t="shared" si="15"/>
        <v>0</v>
      </c>
      <c r="AL26" s="208">
        <f t="shared" si="16"/>
        <v>0</v>
      </c>
      <c r="AM26" s="680"/>
      <c r="AN26" s="746">
        <f t="shared" si="23"/>
        <v>0</v>
      </c>
      <c r="AO26" s="746">
        <f t="shared" si="23"/>
        <v>0</v>
      </c>
      <c r="AP26" s="746">
        <f t="shared" si="23"/>
        <v>0</v>
      </c>
      <c r="AQ26" s="746">
        <f t="shared" si="23"/>
        <v>0</v>
      </c>
      <c r="AR26" s="746">
        <f t="shared" si="23"/>
        <v>0</v>
      </c>
      <c r="AS26" s="746">
        <f t="shared" si="23"/>
        <v>0</v>
      </c>
      <c r="AT26" s="746">
        <f t="shared" si="23"/>
        <v>0</v>
      </c>
      <c r="AU26" s="746">
        <f t="shared" si="23"/>
        <v>0</v>
      </c>
      <c r="AV26" s="746">
        <f t="shared" si="23"/>
        <v>0</v>
      </c>
      <c r="AW26" s="746">
        <f t="shared" si="23"/>
        <v>0</v>
      </c>
      <c r="AX26" s="746">
        <f t="shared" si="23"/>
        <v>0</v>
      </c>
      <c r="AY26" s="746">
        <f t="shared" si="23"/>
        <v>0</v>
      </c>
      <c r="AZ26" s="733">
        <f t="shared" si="17"/>
        <v>0</v>
      </c>
      <c r="BA26" s="636">
        <f t="shared" si="18"/>
        <v>0</v>
      </c>
      <c r="BB26" s="636">
        <f t="shared" si="19"/>
        <v>0</v>
      </c>
      <c r="BC26" s="636">
        <f t="shared" si="20"/>
        <v>0</v>
      </c>
      <c r="BD26" s="636">
        <f t="shared" si="21"/>
        <v>0</v>
      </c>
      <c r="BE26" s="735">
        <f t="shared" si="22"/>
        <v>0</v>
      </c>
      <c r="BF26" s="680"/>
      <c r="BG26" s="680"/>
      <c r="BH26" s="680"/>
      <c r="BI26" s="680"/>
      <c r="BJ26" s="680"/>
      <c r="BK26" s="680"/>
      <c r="BL26" s="680"/>
      <c r="BM26" s="680"/>
      <c r="BN26" s="680"/>
    </row>
    <row r="27" spans="1:66" ht="12.95" customHeight="1">
      <c r="A27" s="722" t="s">
        <v>223</v>
      </c>
      <c r="B27" s="723" t="s">
        <v>135</v>
      </c>
      <c r="C27" s="752" t="s">
        <v>216</v>
      </c>
      <c r="D27" s="751" t="s">
        <v>217</v>
      </c>
      <c r="E27" s="738" t="s">
        <v>144</v>
      </c>
      <c r="F27" s="739">
        <v>2910.3552160000008</v>
      </c>
      <c r="G27" s="739">
        <v>2700.364</v>
      </c>
      <c r="H27" s="739">
        <v>701.66899999999998</v>
      </c>
      <c r="I27" s="740">
        <f t="shared" si="7"/>
        <v>-0.74015762319450273</v>
      </c>
      <c r="J27" s="739">
        <v>140.64999999999998</v>
      </c>
      <c r="K27" s="686"/>
      <c r="L27" s="739">
        <f t="shared" si="24"/>
        <v>140.64999999999998</v>
      </c>
      <c r="M27" s="740">
        <f t="shared" si="9"/>
        <v>-0.7995493601683985</v>
      </c>
      <c r="N27" s="739">
        <v>0</v>
      </c>
      <c r="O27" s="740">
        <f t="shared" si="25"/>
        <v>-1</v>
      </c>
      <c r="P27" s="739">
        <v>0</v>
      </c>
      <c r="Q27" s="741"/>
      <c r="R27" s="742">
        <f t="shared" si="10"/>
        <v>0</v>
      </c>
      <c r="S27" s="742"/>
      <c r="T27" s="742"/>
      <c r="U27" s="743">
        <v>0</v>
      </c>
      <c r="V27" s="743">
        <v>0</v>
      </c>
      <c r="W27" s="743">
        <v>0</v>
      </c>
      <c r="X27" s="743">
        <v>0</v>
      </c>
      <c r="Y27" s="743">
        <v>0</v>
      </c>
      <c r="Z27" s="743">
        <v>0</v>
      </c>
      <c r="AA27" s="743">
        <v>0</v>
      </c>
      <c r="AB27" s="743">
        <v>0</v>
      </c>
      <c r="AC27" s="743">
        <v>0</v>
      </c>
      <c r="AD27" s="744">
        <v>0</v>
      </c>
      <c r="AE27" s="744">
        <v>0</v>
      </c>
      <c r="AF27" s="745">
        <v>0</v>
      </c>
      <c r="AG27" s="733">
        <f t="shared" si="11"/>
        <v>0</v>
      </c>
      <c r="AH27" s="208">
        <f t="shared" si="12"/>
        <v>0</v>
      </c>
      <c r="AI27" s="208">
        <f t="shared" si="13"/>
        <v>0</v>
      </c>
      <c r="AJ27" s="208">
        <f t="shared" si="14"/>
        <v>0</v>
      </c>
      <c r="AK27" s="208">
        <f t="shared" si="15"/>
        <v>0</v>
      </c>
      <c r="AL27" s="208">
        <f t="shared" si="16"/>
        <v>0</v>
      </c>
      <c r="AM27" s="680"/>
      <c r="AN27" s="746">
        <f t="shared" si="23"/>
        <v>0</v>
      </c>
      <c r="AO27" s="746">
        <f t="shared" si="23"/>
        <v>0</v>
      </c>
      <c r="AP27" s="746">
        <f t="shared" si="23"/>
        <v>0</v>
      </c>
      <c r="AQ27" s="746">
        <f t="shared" si="23"/>
        <v>0</v>
      </c>
      <c r="AR27" s="746">
        <f t="shared" si="23"/>
        <v>0</v>
      </c>
      <c r="AS27" s="746">
        <f t="shared" si="23"/>
        <v>0</v>
      </c>
      <c r="AT27" s="746">
        <f t="shared" si="23"/>
        <v>0</v>
      </c>
      <c r="AU27" s="746">
        <f t="shared" si="23"/>
        <v>0</v>
      </c>
      <c r="AV27" s="746">
        <f t="shared" si="23"/>
        <v>0</v>
      </c>
      <c r="AW27" s="746">
        <f t="shared" si="23"/>
        <v>0</v>
      </c>
      <c r="AX27" s="746">
        <f t="shared" si="23"/>
        <v>0</v>
      </c>
      <c r="AY27" s="746">
        <f t="shared" si="23"/>
        <v>0</v>
      </c>
      <c r="AZ27" s="733">
        <f t="shared" si="17"/>
        <v>0</v>
      </c>
      <c r="BA27" s="636">
        <f t="shared" si="18"/>
        <v>0</v>
      </c>
      <c r="BB27" s="636">
        <f t="shared" si="19"/>
        <v>0</v>
      </c>
      <c r="BC27" s="636">
        <f t="shared" si="20"/>
        <v>0</v>
      </c>
      <c r="BD27" s="636">
        <f t="shared" si="21"/>
        <v>0</v>
      </c>
      <c r="BE27" s="735">
        <f t="shared" si="22"/>
        <v>0</v>
      </c>
      <c r="BF27" s="680"/>
      <c r="BG27" s="680"/>
      <c r="BH27" s="680"/>
      <c r="BI27" s="680"/>
      <c r="BJ27" s="680"/>
      <c r="BK27" s="680"/>
      <c r="BL27" s="680"/>
      <c r="BM27" s="680"/>
      <c r="BN27" s="680"/>
    </row>
    <row r="28" spans="1:66" ht="12.95" customHeight="1">
      <c r="A28" s="722" t="s">
        <v>397</v>
      </c>
      <c r="B28" s="723" t="s">
        <v>135</v>
      </c>
      <c r="C28" s="752" t="s">
        <v>216</v>
      </c>
      <c r="D28" s="751" t="s">
        <v>398</v>
      </c>
      <c r="E28" s="738" t="s">
        <v>222</v>
      </c>
      <c r="F28" s="743">
        <v>19.595999999999997</v>
      </c>
      <c r="G28" s="743">
        <v>0</v>
      </c>
      <c r="H28" s="743">
        <v>0</v>
      </c>
      <c r="I28" s="740">
        <f t="shared" si="7"/>
        <v>0</v>
      </c>
      <c r="J28" s="739">
        <v>0</v>
      </c>
      <c r="K28" s="686"/>
      <c r="L28" s="739">
        <f t="shared" si="24"/>
        <v>0</v>
      </c>
      <c r="M28" s="740">
        <f t="shared" si="9"/>
        <v>0</v>
      </c>
      <c r="N28" s="739">
        <v>0</v>
      </c>
      <c r="O28" s="740">
        <f t="shared" si="25"/>
        <v>0</v>
      </c>
      <c r="P28" s="739">
        <v>0</v>
      </c>
      <c r="Q28" s="741"/>
      <c r="R28" s="742">
        <f t="shared" si="10"/>
        <v>0</v>
      </c>
      <c r="S28" s="742"/>
      <c r="T28" s="742"/>
      <c r="U28" s="743">
        <v>0</v>
      </c>
      <c r="V28" s="743">
        <v>0</v>
      </c>
      <c r="W28" s="743">
        <v>0</v>
      </c>
      <c r="X28" s="743">
        <v>0</v>
      </c>
      <c r="Y28" s="743">
        <v>0</v>
      </c>
      <c r="Z28" s="743">
        <v>0</v>
      </c>
      <c r="AA28" s="743">
        <v>0</v>
      </c>
      <c r="AB28" s="743">
        <v>0</v>
      </c>
      <c r="AC28" s="743">
        <v>0</v>
      </c>
      <c r="AD28" s="744">
        <v>0</v>
      </c>
      <c r="AE28" s="744">
        <v>0</v>
      </c>
      <c r="AF28" s="745">
        <v>0</v>
      </c>
      <c r="AG28" s="733">
        <f t="shared" si="11"/>
        <v>0</v>
      </c>
      <c r="AH28" s="208">
        <f t="shared" si="12"/>
        <v>0</v>
      </c>
      <c r="AI28" s="208">
        <f t="shared" si="13"/>
        <v>0</v>
      </c>
      <c r="AJ28" s="208">
        <f t="shared" si="14"/>
        <v>0</v>
      </c>
      <c r="AK28" s="208">
        <f t="shared" si="15"/>
        <v>0</v>
      </c>
      <c r="AL28" s="208">
        <f t="shared" si="16"/>
        <v>0</v>
      </c>
      <c r="AM28" s="680"/>
      <c r="AN28" s="746">
        <f t="shared" si="23"/>
        <v>0</v>
      </c>
      <c r="AO28" s="746">
        <f t="shared" si="23"/>
        <v>0</v>
      </c>
      <c r="AP28" s="746">
        <f t="shared" si="23"/>
        <v>0</v>
      </c>
      <c r="AQ28" s="746">
        <f t="shared" si="23"/>
        <v>0</v>
      </c>
      <c r="AR28" s="746">
        <f t="shared" si="23"/>
        <v>0</v>
      </c>
      <c r="AS28" s="746">
        <f t="shared" si="23"/>
        <v>0</v>
      </c>
      <c r="AT28" s="746">
        <f t="shared" si="23"/>
        <v>0</v>
      </c>
      <c r="AU28" s="746">
        <f t="shared" si="23"/>
        <v>0</v>
      </c>
      <c r="AV28" s="746">
        <f t="shared" si="23"/>
        <v>0</v>
      </c>
      <c r="AW28" s="746">
        <f t="shared" si="23"/>
        <v>0</v>
      </c>
      <c r="AX28" s="746">
        <f t="shared" si="23"/>
        <v>0</v>
      </c>
      <c r="AY28" s="746">
        <f t="shared" si="23"/>
        <v>0</v>
      </c>
      <c r="AZ28" s="733">
        <f t="shared" si="17"/>
        <v>0</v>
      </c>
      <c r="BA28" s="636">
        <f t="shared" si="18"/>
        <v>0</v>
      </c>
      <c r="BB28" s="636">
        <f t="shared" si="19"/>
        <v>0</v>
      </c>
      <c r="BC28" s="636">
        <f t="shared" si="20"/>
        <v>0</v>
      </c>
      <c r="BD28" s="636">
        <f t="shared" si="21"/>
        <v>0</v>
      </c>
      <c r="BE28" s="735">
        <f t="shared" si="22"/>
        <v>0</v>
      </c>
      <c r="BF28" s="680"/>
      <c r="BG28" s="680"/>
      <c r="BH28" s="680"/>
      <c r="BI28" s="680"/>
      <c r="BJ28" s="680"/>
      <c r="BK28" s="680"/>
      <c r="BL28" s="680"/>
      <c r="BM28" s="680"/>
      <c r="BN28" s="680"/>
    </row>
    <row r="29" spans="1:66" ht="12.95" customHeight="1">
      <c r="A29" s="722" t="s">
        <v>399</v>
      </c>
      <c r="B29" s="723" t="s">
        <v>135</v>
      </c>
      <c r="C29" s="752" t="s">
        <v>216</v>
      </c>
      <c r="D29" s="751" t="s">
        <v>398</v>
      </c>
      <c r="E29" s="738" t="s">
        <v>396</v>
      </c>
      <c r="F29" s="743">
        <v>0</v>
      </c>
      <c r="G29" s="743">
        <v>0</v>
      </c>
      <c r="H29" s="743">
        <v>0</v>
      </c>
      <c r="I29" s="740">
        <f t="shared" si="7"/>
        <v>0</v>
      </c>
      <c r="J29" s="739">
        <v>0</v>
      </c>
      <c r="K29" s="686"/>
      <c r="L29" s="739">
        <f t="shared" si="24"/>
        <v>0</v>
      </c>
      <c r="M29" s="740">
        <f t="shared" si="9"/>
        <v>0</v>
      </c>
      <c r="N29" s="739">
        <v>0</v>
      </c>
      <c r="O29" s="740">
        <f t="shared" si="25"/>
        <v>0</v>
      </c>
      <c r="P29" s="739">
        <v>0</v>
      </c>
      <c r="Q29" s="741"/>
      <c r="R29" s="742">
        <f t="shared" si="10"/>
        <v>0</v>
      </c>
      <c r="S29" s="742"/>
      <c r="T29" s="742"/>
      <c r="U29" s="743">
        <v>0</v>
      </c>
      <c r="V29" s="743">
        <v>0</v>
      </c>
      <c r="W29" s="743">
        <v>0</v>
      </c>
      <c r="X29" s="743">
        <v>0</v>
      </c>
      <c r="Y29" s="743">
        <v>0</v>
      </c>
      <c r="Z29" s="743">
        <v>0</v>
      </c>
      <c r="AA29" s="743">
        <v>0</v>
      </c>
      <c r="AB29" s="743">
        <v>0</v>
      </c>
      <c r="AC29" s="743">
        <v>0</v>
      </c>
      <c r="AD29" s="744">
        <v>0</v>
      </c>
      <c r="AE29" s="744">
        <v>0</v>
      </c>
      <c r="AF29" s="745">
        <v>0</v>
      </c>
      <c r="AG29" s="733">
        <f t="shared" si="11"/>
        <v>0</v>
      </c>
      <c r="AH29" s="208">
        <f t="shared" si="12"/>
        <v>0</v>
      </c>
      <c r="AI29" s="208">
        <f t="shared" si="13"/>
        <v>0</v>
      </c>
      <c r="AJ29" s="208">
        <f t="shared" si="14"/>
        <v>0</v>
      </c>
      <c r="AK29" s="208">
        <f t="shared" si="15"/>
        <v>0</v>
      </c>
      <c r="AL29" s="208">
        <f t="shared" si="16"/>
        <v>0</v>
      </c>
      <c r="AM29" s="680"/>
      <c r="AN29" s="746">
        <f t="shared" si="23"/>
        <v>0</v>
      </c>
      <c r="AO29" s="746">
        <f t="shared" si="23"/>
        <v>0</v>
      </c>
      <c r="AP29" s="746">
        <f t="shared" si="23"/>
        <v>0</v>
      </c>
      <c r="AQ29" s="746">
        <f t="shared" si="23"/>
        <v>0</v>
      </c>
      <c r="AR29" s="746">
        <f t="shared" si="23"/>
        <v>0</v>
      </c>
      <c r="AS29" s="746">
        <f t="shared" si="23"/>
        <v>0</v>
      </c>
      <c r="AT29" s="746">
        <f t="shared" si="23"/>
        <v>0</v>
      </c>
      <c r="AU29" s="746">
        <f t="shared" si="23"/>
        <v>0</v>
      </c>
      <c r="AV29" s="746">
        <f t="shared" si="23"/>
        <v>0</v>
      </c>
      <c r="AW29" s="746">
        <f t="shared" si="23"/>
        <v>0</v>
      </c>
      <c r="AX29" s="746">
        <f t="shared" si="23"/>
        <v>0</v>
      </c>
      <c r="AY29" s="746">
        <f t="shared" si="23"/>
        <v>0</v>
      </c>
      <c r="AZ29" s="733">
        <f t="shared" si="17"/>
        <v>0</v>
      </c>
      <c r="BA29" s="636">
        <f t="shared" si="18"/>
        <v>0</v>
      </c>
      <c r="BB29" s="636">
        <f t="shared" si="19"/>
        <v>0</v>
      </c>
      <c r="BC29" s="636">
        <f t="shared" si="20"/>
        <v>0</v>
      </c>
      <c r="BD29" s="636">
        <f t="shared" si="21"/>
        <v>0</v>
      </c>
      <c r="BE29" s="735">
        <f t="shared" si="22"/>
        <v>0</v>
      </c>
      <c r="BF29" s="680"/>
      <c r="BG29" s="680"/>
      <c r="BH29" s="680"/>
      <c r="BI29" s="680"/>
      <c r="BJ29" s="680"/>
      <c r="BK29" s="680"/>
      <c r="BL29" s="680"/>
      <c r="BM29" s="680"/>
      <c r="BN29" s="680"/>
    </row>
    <row r="30" spans="1:66" ht="12.95" customHeight="1">
      <c r="A30" s="722" t="s">
        <v>400</v>
      </c>
      <c r="B30" s="723" t="s">
        <v>135</v>
      </c>
      <c r="C30" s="752" t="s">
        <v>216</v>
      </c>
      <c r="D30" s="751" t="s">
        <v>401</v>
      </c>
      <c r="E30" s="738" t="s">
        <v>222</v>
      </c>
      <c r="F30" s="739">
        <v>109.80399999999999</v>
      </c>
      <c r="G30" s="739">
        <v>0</v>
      </c>
      <c r="H30" s="739">
        <v>0</v>
      </c>
      <c r="I30" s="740">
        <f t="shared" si="7"/>
        <v>0</v>
      </c>
      <c r="J30" s="739">
        <v>0</v>
      </c>
      <c r="K30" s="686"/>
      <c r="L30" s="739">
        <f t="shared" si="24"/>
        <v>0</v>
      </c>
      <c r="M30" s="740">
        <f t="shared" si="9"/>
        <v>0</v>
      </c>
      <c r="N30" s="739">
        <v>0</v>
      </c>
      <c r="O30" s="740">
        <f t="shared" si="25"/>
        <v>0</v>
      </c>
      <c r="P30" s="739">
        <v>0</v>
      </c>
      <c r="Q30" s="741"/>
      <c r="R30" s="742">
        <f t="shared" si="10"/>
        <v>0</v>
      </c>
      <c r="S30" s="742"/>
      <c r="T30" s="742"/>
      <c r="U30" s="743">
        <v>0</v>
      </c>
      <c r="V30" s="743">
        <v>0</v>
      </c>
      <c r="W30" s="743">
        <v>0</v>
      </c>
      <c r="X30" s="743">
        <v>0</v>
      </c>
      <c r="Y30" s="743">
        <v>0</v>
      </c>
      <c r="Z30" s="743">
        <v>0</v>
      </c>
      <c r="AA30" s="743">
        <v>0</v>
      </c>
      <c r="AB30" s="743">
        <v>0</v>
      </c>
      <c r="AC30" s="743">
        <v>0</v>
      </c>
      <c r="AD30" s="744">
        <v>0</v>
      </c>
      <c r="AE30" s="744">
        <v>0</v>
      </c>
      <c r="AF30" s="745">
        <v>0</v>
      </c>
      <c r="AG30" s="733">
        <f t="shared" si="11"/>
        <v>0</v>
      </c>
      <c r="AH30" s="208">
        <f t="shared" si="12"/>
        <v>0</v>
      </c>
      <c r="AI30" s="208">
        <f t="shared" si="13"/>
        <v>0</v>
      </c>
      <c r="AJ30" s="208">
        <f t="shared" si="14"/>
        <v>0</v>
      </c>
      <c r="AK30" s="208">
        <f t="shared" si="15"/>
        <v>0</v>
      </c>
      <c r="AL30" s="208">
        <f t="shared" si="16"/>
        <v>0</v>
      </c>
      <c r="AM30" s="680"/>
      <c r="AN30" s="746">
        <f t="shared" si="23"/>
        <v>0</v>
      </c>
      <c r="AO30" s="746">
        <f t="shared" si="23"/>
        <v>0</v>
      </c>
      <c r="AP30" s="746">
        <f t="shared" si="23"/>
        <v>0</v>
      </c>
      <c r="AQ30" s="746">
        <f t="shared" si="23"/>
        <v>0</v>
      </c>
      <c r="AR30" s="746">
        <f t="shared" si="23"/>
        <v>0</v>
      </c>
      <c r="AS30" s="746">
        <f t="shared" si="23"/>
        <v>0</v>
      </c>
      <c r="AT30" s="746">
        <f t="shared" si="23"/>
        <v>0</v>
      </c>
      <c r="AU30" s="746">
        <f t="shared" si="23"/>
        <v>0</v>
      </c>
      <c r="AV30" s="746">
        <f t="shared" si="23"/>
        <v>0</v>
      </c>
      <c r="AW30" s="746">
        <f t="shared" si="23"/>
        <v>0</v>
      </c>
      <c r="AX30" s="746">
        <f t="shared" si="23"/>
        <v>0</v>
      </c>
      <c r="AY30" s="746">
        <f t="shared" si="23"/>
        <v>0</v>
      </c>
      <c r="AZ30" s="733">
        <f t="shared" si="17"/>
        <v>0</v>
      </c>
      <c r="BA30" s="636">
        <f t="shared" si="18"/>
        <v>0</v>
      </c>
      <c r="BB30" s="636">
        <f t="shared" si="19"/>
        <v>0</v>
      </c>
      <c r="BC30" s="636">
        <f t="shared" si="20"/>
        <v>0</v>
      </c>
      <c r="BD30" s="636">
        <f t="shared" si="21"/>
        <v>0</v>
      </c>
      <c r="BE30" s="735">
        <f t="shared" si="22"/>
        <v>0</v>
      </c>
      <c r="BF30" s="680"/>
      <c r="BG30" s="680"/>
      <c r="BH30" s="680"/>
      <c r="BI30" s="680"/>
      <c r="BJ30" s="680"/>
      <c r="BK30" s="680"/>
      <c r="BL30" s="680"/>
      <c r="BM30" s="680"/>
      <c r="BN30" s="680"/>
    </row>
    <row r="31" spans="1:66" ht="12.95" customHeight="1">
      <c r="A31" s="722"/>
      <c r="B31" s="723" t="s">
        <v>135</v>
      </c>
      <c r="C31" s="752" t="s">
        <v>216</v>
      </c>
      <c r="D31" s="751" t="s">
        <v>402</v>
      </c>
      <c r="E31" s="738" t="s">
        <v>142</v>
      </c>
      <c r="F31" s="739"/>
      <c r="G31" s="739">
        <v>0</v>
      </c>
      <c r="H31" s="739">
        <v>0</v>
      </c>
      <c r="I31" s="740">
        <f t="shared" si="7"/>
        <v>0</v>
      </c>
      <c r="J31" s="739">
        <v>0</v>
      </c>
      <c r="K31" s="686"/>
      <c r="L31" s="739">
        <f t="shared" si="24"/>
        <v>0</v>
      </c>
      <c r="M31" s="740">
        <f t="shared" si="9"/>
        <v>0</v>
      </c>
      <c r="N31" s="739">
        <v>0</v>
      </c>
      <c r="O31" s="740">
        <f t="shared" si="25"/>
        <v>0</v>
      </c>
      <c r="P31" s="739">
        <v>0</v>
      </c>
      <c r="Q31" s="741"/>
      <c r="R31" s="742">
        <f t="shared" si="10"/>
        <v>0</v>
      </c>
      <c r="S31" s="742"/>
      <c r="T31" s="742"/>
      <c r="U31" s="743">
        <v>0</v>
      </c>
      <c r="V31" s="743">
        <v>0</v>
      </c>
      <c r="W31" s="743">
        <v>0</v>
      </c>
      <c r="X31" s="743">
        <v>0</v>
      </c>
      <c r="Y31" s="743">
        <v>0</v>
      </c>
      <c r="Z31" s="743">
        <v>0</v>
      </c>
      <c r="AA31" s="743">
        <v>0</v>
      </c>
      <c r="AB31" s="743">
        <v>0</v>
      </c>
      <c r="AC31" s="743">
        <v>0</v>
      </c>
      <c r="AD31" s="744">
        <v>0</v>
      </c>
      <c r="AE31" s="744">
        <v>0</v>
      </c>
      <c r="AF31" s="745">
        <v>0</v>
      </c>
      <c r="AG31" s="733">
        <f t="shared" si="11"/>
        <v>0</v>
      </c>
      <c r="AH31" s="208">
        <f t="shared" si="12"/>
        <v>0</v>
      </c>
      <c r="AI31" s="208">
        <f t="shared" si="13"/>
        <v>0</v>
      </c>
      <c r="AJ31" s="208">
        <f t="shared" si="14"/>
        <v>0</v>
      </c>
      <c r="AK31" s="208">
        <f t="shared" si="15"/>
        <v>0</v>
      </c>
      <c r="AL31" s="208">
        <f t="shared" si="16"/>
        <v>0</v>
      </c>
      <c r="AM31" s="680"/>
      <c r="AN31" s="746">
        <f t="shared" si="23"/>
        <v>0</v>
      </c>
      <c r="AO31" s="746">
        <f t="shared" si="23"/>
        <v>0</v>
      </c>
      <c r="AP31" s="746">
        <f t="shared" si="23"/>
        <v>0</v>
      </c>
      <c r="AQ31" s="746">
        <f t="shared" si="23"/>
        <v>0</v>
      </c>
      <c r="AR31" s="746">
        <f t="shared" si="23"/>
        <v>0</v>
      </c>
      <c r="AS31" s="746">
        <f t="shared" si="23"/>
        <v>0</v>
      </c>
      <c r="AT31" s="746">
        <f t="shared" si="23"/>
        <v>0</v>
      </c>
      <c r="AU31" s="746">
        <f t="shared" si="23"/>
        <v>0</v>
      </c>
      <c r="AV31" s="746">
        <f t="shared" si="23"/>
        <v>0</v>
      </c>
      <c r="AW31" s="746">
        <f t="shared" si="23"/>
        <v>0</v>
      </c>
      <c r="AX31" s="746">
        <f t="shared" si="23"/>
        <v>0</v>
      </c>
      <c r="AY31" s="746">
        <f t="shared" si="23"/>
        <v>0</v>
      </c>
      <c r="AZ31" s="733">
        <f t="shared" si="17"/>
        <v>0</v>
      </c>
      <c r="BA31" s="636">
        <f t="shared" si="18"/>
        <v>0</v>
      </c>
      <c r="BB31" s="636">
        <f t="shared" si="19"/>
        <v>0</v>
      </c>
      <c r="BC31" s="636">
        <f t="shared" si="20"/>
        <v>0</v>
      </c>
      <c r="BD31" s="636">
        <f t="shared" si="21"/>
        <v>0</v>
      </c>
      <c r="BE31" s="735">
        <f t="shared" si="22"/>
        <v>0</v>
      </c>
      <c r="BF31" s="680"/>
      <c r="BG31" s="680"/>
      <c r="BH31" s="680"/>
      <c r="BI31" s="680"/>
      <c r="BJ31" s="680"/>
      <c r="BK31" s="680"/>
      <c r="BL31" s="680"/>
      <c r="BM31" s="680"/>
      <c r="BN31" s="680"/>
    </row>
    <row r="32" spans="1:66" ht="12.95" customHeight="1">
      <c r="A32" s="722" t="s">
        <v>403</v>
      </c>
      <c r="B32" s="723" t="s">
        <v>135</v>
      </c>
      <c r="C32" s="753" t="s">
        <v>216</v>
      </c>
      <c r="D32" s="751" t="s">
        <v>404</v>
      </c>
      <c r="E32" s="738" t="s">
        <v>142</v>
      </c>
      <c r="F32" s="739">
        <v>0</v>
      </c>
      <c r="G32" s="739">
        <v>0</v>
      </c>
      <c r="H32" s="739">
        <v>0</v>
      </c>
      <c r="I32" s="740">
        <f t="shared" si="7"/>
        <v>0</v>
      </c>
      <c r="J32" s="739">
        <v>0</v>
      </c>
      <c r="K32" s="686"/>
      <c r="L32" s="739">
        <f t="shared" si="24"/>
        <v>0</v>
      </c>
      <c r="M32" s="740">
        <f t="shared" si="9"/>
        <v>0</v>
      </c>
      <c r="N32" s="739">
        <v>0</v>
      </c>
      <c r="O32" s="740">
        <f t="shared" si="25"/>
        <v>0</v>
      </c>
      <c r="P32" s="739">
        <v>0</v>
      </c>
      <c r="Q32" s="741"/>
      <c r="R32" s="742">
        <f t="shared" si="10"/>
        <v>0</v>
      </c>
      <c r="S32" s="742"/>
      <c r="T32" s="742"/>
      <c r="U32" s="743">
        <v>0</v>
      </c>
      <c r="V32" s="743">
        <v>0</v>
      </c>
      <c r="W32" s="743">
        <v>0</v>
      </c>
      <c r="X32" s="743">
        <v>0</v>
      </c>
      <c r="Y32" s="743">
        <v>0</v>
      </c>
      <c r="Z32" s="743">
        <v>0</v>
      </c>
      <c r="AA32" s="743">
        <v>0</v>
      </c>
      <c r="AB32" s="743">
        <v>0</v>
      </c>
      <c r="AC32" s="743">
        <v>0</v>
      </c>
      <c r="AD32" s="744">
        <v>0</v>
      </c>
      <c r="AE32" s="744">
        <v>0</v>
      </c>
      <c r="AF32" s="745">
        <v>0</v>
      </c>
      <c r="AG32" s="733">
        <f t="shared" si="11"/>
        <v>0</v>
      </c>
      <c r="AH32" s="208">
        <f t="shared" si="12"/>
        <v>0</v>
      </c>
      <c r="AI32" s="208">
        <f t="shared" si="13"/>
        <v>0</v>
      </c>
      <c r="AJ32" s="208">
        <f t="shared" si="14"/>
        <v>0</v>
      </c>
      <c r="AK32" s="208">
        <f t="shared" si="15"/>
        <v>0</v>
      </c>
      <c r="AL32" s="208">
        <f t="shared" si="16"/>
        <v>0</v>
      </c>
      <c r="AM32" s="680"/>
      <c r="AN32" s="746">
        <f t="shared" si="23"/>
        <v>0</v>
      </c>
      <c r="AO32" s="746">
        <f t="shared" si="23"/>
        <v>0</v>
      </c>
      <c r="AP32" s="746">
        <f t="shared" si="23"/>
        <v>0</v>
      </c>
      <c r="AQ32" s="746">
        <f t="shared" si="23"/>
        <v>0</v>
      </c>
      <c r="AR32" s="746">
        <f t="shared" si="23"/>
        <v>0</v>
      </c>
      <c r="AS32" s="746">
        <f t="shared" si="23"/>
        <v>0</v>
      </c>
      <c r="AT32" s="746">
        <f t="shared" si="23"/>
        <v>0</v>
      </c>
      <c r="AU32" s="746">
        <f t="shared" si="23"/>
        <v>0</v>
      </c>
      <c r="AV32" s="746">
        <f t="shared" si="23"/>
        <v>0</v>
      </c>
      <c r="AW32" s="746">
        <f t="shared" si="23"/>
        <v>0</v>
      </c>
      <c r="AX32" s="746">
        <f t="shared" si="23"/>
        <v>0</v>
      </c>
      <c r="AY32" s="746">
        <f t="shared" si="23"/>
        <v>0</v>
      </c>
      <c r="AZ32" s="733">
        <f t="shared" si="17"/>
        <v>0</v>
      </c>
      <c r="BA32" s="636">
        <f t="shared" si="18"/>
        <v>0</v>
      </c>
      <c r="BB32" s="636">
        <f t="shared" si="19"/>
        <v>0</v>
      </c>
      <c r="BC32" s="636">
        <f t="shared" si="20"/>
        <v>0</v>
      </c>
      <c r="BD32" s="636">
        <f t="shared" si="21"/>
        <v>0</v>
      </c>
      <c r="BE32" s="735">
        <f t="shared" si="22"/>
        <v>0</v>
      </c>
      <c r="BF32" s="680"/>
      <c r="BG32" s="680"/>
      <c r="BH32" s="680"/>
      <c r="BI32" s="680"/>
      <c r="BJ32" s="680"/>
      <c r="BK32" s="680"/>
      <c r="BL32" s="680"/>
      <c r="BM32" s="680"/>
      <c r="BN32" s="680"/>
    </row>
    <row r="33" spans="1:66" ht="12.95" customHeight="1">
      <c r="A33" s="722"/>
      <c r="B33" s="723"/>
      <c r="C33" s="754"/>
      <c r="D33" s="749"/>
      <c r="E33" s="738"/>
      <c r="F33" s="739"/>
      <c r="G33" s="739"/>
      <c r="H33" s="739"/>
      <c r="I33" s="740"/>
      <c r="J33" s="739"/>
      <c r="K33" s="686"/>
      <c r="L33" s="739"/>
      <c r="M33" s="740"/>
      <c r="N33" s="739"/>
      <c r="O33" s="740"/>
      <c r="P33" s="739"/>
      <c r="Q33" s="741"/>
      <c r="R33" s="742">
        <f t="shared" si="10"/>
        <v>0</v>
      </c>
      <c r="S33" s="742"/>
      <c r="T33" s="742"/>
      <c r="U33" s="743"/>
      <c r="V33" s="743"/>
      <c r="W33" s="743"/>
      <c r="X33" s="743"/>
      <c r="Y33" s="743"/>
      <c r="Z33" s="743"/>
      <c r="AA33" s="743"/>
      <c r="AB33" s="743"/>
      <c r="AC33" s="743"/>
      <c r="AD33" s="744"/>
      <c r="AE33" s="744"/>
      <c r="AF33" s="745"/>
      <c r="AG33" s="733">
        <f t="shared" si="11"/>
        <v>0</v>
      </c>
      <c r="AH33" s="208">
        <f t="shared" si="12"/>
        <v>0</v>
      </c>
      <c r="AI33" s="208">
        <f t="shared" si="13"/>
        <v>0</v>
      </c>
      <c r="AJ33" s="208">
        <f t="shared" si="14"/>
        <v>0</v>
      </c>
      <c r="AK33" s="208">
        <f t="shared" si="15"/>
        <v>0</v>
      </c>
      <c r="AL33" s="208">
        <f t="shared" si="16"/>
        <v>0</v>
      </c>
      <c r="AM33" s="680"/>
      <c r="AN33" s="746">
        <f t="shared" si="23"/>
        <v>0</v>
      </c>
      <c r="AO33" s="746">
        <f t="shared" si="23"/>
        <v>0</v>
      </c>
      <c r="AP33" s="746">
        <f t="shared" si="23"/>
        <v>0</v>
      </c>
      <c r="AQ33" s="746">
        <f t="shared" si="23"/>
        <v>0</v>
      </c>
      <c r="AR33" s="746">
        <f t="shared" si="23"/>
        <v>0</v>
      </c>
      <c r="AS33" s="746">
        <f t="shared" si="23"/>
        <v>0</v>
      </c>
      <c r="AT33" s="746">
        <f t="shared" si="23"/>
        <v>0</v>
      </c>
      <c r="AU33" s="746">
        <f t="shared" si="23"/>
        <v>0</v>
      </c>
      <c r="AV33" s="746">
        <f t="shared" si="23"/>
        <v>0</v>
      </c>
      <c r="AW33" s="746">
        <f t="shared" si="23"/>
        <v>0</v>
      </c>
      <c r="AX33" s="746">
        <f t="shared" si="23"/>
        <v>0</v>
      </c>
      <c r="AY33" s="746">
        <f t="shared" si="23"/>
        <v>0</v>
      </c>
      <c r="AZ33" s="733">
        <f t="shared" si="17"/>
        <v>0</v>
      </c>
      <c r="BA33" s="636">
        <f t="shared" si="18"/>
        <v>0</v>
      </c>
      <c r="BB33" s="636">
        <f t="shared" si="19"/>
        <v>0</v>
      </c>
      <c r="BC33" s="636">
        <f t="shared" si="20"/>
        <v>0</v>
      </c>
      <c r="BD33" s="636">
        <f t="shared" si="21"/>
        <v>0</v>
      </c>
      <c r="BE33" s="735">
        <f t="shared" si="22"/>
        <v>0</v>
      </c>
      <c r="BF33" s="680"/>
      <c r="BG33" s="680"/>
      <c r="BH33" s="680"/>
      <c r="BI33" s="680"/>
      <c r="BJ33" s="680"/>
      <c r="BK33" s="680"/>
      <c r="BL33" s="680"/>
      <c r="BM33" s="680"/>
      <c r="BN33" s="680"/>
    </row>
    <row r="34" spans="1:66" ht="12.95" customHeight="1">
      <c r="A34" s="722"/>
      <c r="B34" s="723"/>
      <c r="C34" s="754"/>
      <c r="D34" s="749"/>
      <c r="E34" s="738"/>
      <c r="F34" s="739"/>
      <c r="G34" s="739"/>
      <c r="H34" s="739"/>
      <c r="I34" s="740"/>
      <c r="J34" s="739"/>
      <c r="K34" s="686"/>
      <c r="L34" s="739"/>
      <c r="M34" s="740"/>
      <c r="N34" s="739"/>
      <c r="O34" s="740"/>
      <c r="P34" s="739"/>
      <c r="Q34" s="741"/>
      <c r="R34" s="742">
        <f t="shared" si="10"/>
        <v>0</v>
      </c>
      <c r="S34" s="742"/>
      <c r="T34" s="742"/>
      <c r="U34" s="743"/>
      <c r="V34" s="743"/>
      <c r="W34" s="743"/>
      <c r="X34" s="743"/>
      <c r="Y34" s="743"/>
      <c r="Z34" s="743"/>
      <c r="AA34" s="743"/>
      <c r="AB34" s="743"/>
      <c r="AC34" s="743"/>
      <c r="AD34" s="744"/>
      <c r="AE34" s="744"/>
      <c r="AF34" s="745"/>
      <c r="AG34" s="733">
        <f t="shared" si="11"/>
        <v>0</v>
      </c>
      <c r="AH34" s="208">
        <f t="shared" si="12"/>
        <v>0</v>
      </c>
      <c r="AI34" s="208">
        <f t="shared" si="13"/>
        <v>0</v>
      </c>
      <c r="AJ34" s="208">
        <f t="shared" si="14"/>
        <v>0</v>
      </c>
      <c r="AK34" s="208">
        <f t="shared" si="15"/>
        <v>0</v>
      </c>
      <c r="AL34" s="208">
        <f t="shared" si="16"/>
        <v>0</v>
      </c>
      <c r="AM34" s="680"/>
      <c r="AN34" s="746">
        <f t="shared" si="23"/>
        <v>0</v>
      </c>
      <c r="AO34" s="746">
        <f t="shared" si="23"/>
        <v>0</v>
      </c>
      <c r="AP34" s="746">
        <f t="shared" si="23"/>
        <v>0</v>
      </c>
      <c r="AQ34" s="746">
        <f t="shared" si="23"/>
        <v>0</v>
      </c>
      <c r="AR34" s="746">
        <f t="shared" si="23"/>
        <v>0</v>
      </c>
      <c r="AS34" s="746">
        <f t="shared" si="23"/>
        <v>0</v>
      </c>
      <c r="AT34" s="746">
        <f t="shared" si="23"/>
        <v>0</v>
      </c>
      <c r="AU34" s="746">
        <f t="shared" si="23"/>
        <v>0</v>
      </c>
      <c r="AV34" s="746">
        <f t="shared" si="23"/>
        <v>0</v>
      </c>
      <c r="AW34" s="746">
        <f t="shared" si="23"/>
        <v>0</v>
      </c>
      <c r="AX34" s="746">
        <f t="shared" si="23"/>
        <v>0</v>
      </c>
      <c r="AY34" s="746">
        <f t="shared" si="23"/>
        <v>0</v>
      </c>
      <c r="AZ34" s="733">
        <f t="shared" si="17"/>
        <v>0</v>
      </c>
      <c r="BA34" s="636">
        <f t="shared" si="18"/>
        <v>0</v>
      </c>
      <c r="BB34" s="636">
        <f t="shared" si="19"/>
        <v>0</v>
      </c>
      <c r="BC34" s="636">
        <f t="shared" si="20"/>
        <v>0</v>
      </c>
      <c r="BD34" s="636">
        <f t="shared" si="21"/>
        <v>0</v>
      </c>
      <c r="BE34" s="735">
        <f t="shared" si="22"/>
        <v>0</v>
      </c>
      <c r="BF34" s="680"/>
      <c r="BG34" s="680"/>
      <c r="BH34" s="680"/>
      <c r="BI34" s="680"/>
      <c r="BJ34" s="680"/>
      <c r="BK34" s="680"/>
      <c r="BL34" s="680"/>
      <c r="BM34" s="680"/>
      <c r="BN34" s="680"/>
    </row>
    <row r="35" spans="1:66" ht="12.95" customHeight="1">
      <c r="A35" s="722" t="s">
        <v>287</v>
      </c>
      <c r="B35" s="723" t="s">
        <v>135</v>
      </c>
      <c r="C35" s="754" t="s">
        <v>52</v>
      </c>
      <c r="D35" s="749" t="s">
        <v>405</v>
      </c>
      <c r="E35" s="738" t="s">
        <v>277</v>
      </c>
      <c r="F35" s="739"/>
      <c r="G35" s="739"/>
      <c r="H35" s="739"/>
      <c r="I35" s="740"/>
      <c r="J35" s="739"/>
      <c r="K35" s="686"/>
      <c r="L35" s="739"/>
      <c r="M35" s="740"/>
      <c r="N35" s="739">
        <v>0</v>
      </c>
      <c r="O35" s="740"/>
      <c r="P35" s="739"/>
      <c r="Q35" s="741"/>
      <c r="R35" s="742">
        <f t="shared" si="10"/>
        <v>0</v>
      </c>
      <c r="S35" s="742"/>
      <c r="T35" s="742"/>
      <c r="U35" s="743"/>
      <c r="V35" s="743"/>
      <c r="W35" s="743"/>
      <c r="X35" s="743"/>
      <c r="Y35" s="743"/>
      <c r="Z35" s="743"/>
      <c r="AA35" s="743"/>
      <c r="AB35" s="743"/>
      <c r="AC35" s="743"/>
      <c r="AD35" s="744"/>
      <c r="AE35" s="744"/>
      <c r="AF35" s="745"/>
      <c r="AG35" s="733">
        <f t="shared" si="11"/>
        <v>0</v>
      </c>
      <c r="AH35" s="208">
        <f t="shared" si="12"/>
        <v>0</v>
      </c>
      <c r="AI35" s="208">
        <f t="shared" si="13"/>
        <v>0</v>
      </c>
      <c r="AJ35" s="208">
        <f t="shared" si="14"/>
        <v>0</v>
      </c>
      <c r="AK35" s="208">
        <f t="shared" si="15"/>
        <v>0</v>
      </c>
      <c r="AL35" s="208">
        <f t="shared" si="16"/>
        <v>0</v>
      </c>
      <c r="AM35" s="680"/>
      <c r="AN35" s="746">
        <f t="shared" si="23"/>
        <v>0</v>
      </c>
      <c r="AO35" s="746">
        <f t="shared" si="23"/>
        <v>0</v>
      </c>
      <c r="AP35" s="746">
        <f t="shared" si="23"/>
        <v>0</v>
      </c>
      <c r="AQ35" s="746">
        <f t="shared" si="23"/>
        <v>0</v>
      </c>
      <c r="AR35" s="746">
        <f t="shared" si="23"/>
        <v>0</v>
      </c>
      <c r="AS35" s="746">
        <f t="shared" si="23"/>
        <v>0</v>
      </c>
      <c r="AT35" s="746">
        <f t="shared" si="23"/>
        <v>0</v>
      </c>
      <c r="AU35" s="746">
        <f t="shared" si="23"/>
        <v>0</v>
      </c>
      <c r="AV35" s="746">
        <f t="shared" si="23"/>
        <v>0</v>
      </c>
      <c r="AW35" s="746">
        <f t="shared" si="23"/>
        <v>0</v>
      </c>
      <c r="AX35" s="746">
        <f t="shared" si="23"/>
        <v>0</v>
      </c>
      <c r="AY35" s="746">
        <f t="shared" si="23"/>
        <v>0</v>
      </c>
      <c r="AZ35" s="733">
        <f t="shared" si="17"/>
        <v>0</v>
      </c>
      <c r="BA35" s="636">
        <f t="shared" si="18"/>
        <v>0</v>
      </c>
      <c r="BB35" s="636">
        <f t="shared" si="19"/>
        <v>0</v>
      </c>
      <c r="BC35" s="636">
        <f t="shared" si="20"/>
        <v>0</v>
      </c>
      <c r="BD35" s="636">
        <f t="shared" si="21"/>
        <v>0</v>
      </c>
      <c r="BE35" s="735">
        <f t="shared" si="22"/>
        <v>0</v>
      </c>
      <c r="BF35" s="680"/>
      <c r="BG35" s="680"/>
      <c r="BH35" s="680"/>
      <c r="BI35" s="680"/>
      <c r="BJ35" s="680"/>
      <c r="BK35" s="680"/>
      <c r="BL35" s="680"/>
      <c r="BM35" s="680"/>
      <c r="BN35" s="680"/>
    </row>
    <row r="36" spans="1:66" ht="12.95" customHeight="1">
      <c r="A36" s="722" t="s">
        <v>192</v>
      </c>
      <c r="B36" s="723" t="s">
        <v>135</v>
      </c>
      <c r="C36" s="749" t="s">
        <v>193</v>
      </c>
      <c r="D36" s="688" t="s">
        <v>406</v>
      </c>
      <c r="E36" s="738" t="s">
        <v>144</v>
      </c>
      <c r="F36" s="739"/>
      <c r="G36" s="739"/>
      <c r="H36" s="739">
        <v>0</v>
      </c>
      <c r="I36" s="740">
        <f>IF(ISERROR((H36-G36)/G36),0,((H36-G36)/G36))</f>
        <v>0</v>
      </c>
      <c r="J36" s="739">
        <v>0</v>
      </c>
      <c r="K36" s="686">
        <v>60</v>
      </c>
      <c r="L36" s="739">
        <f>J36+K36</f>
        <v>60</v>
      </c>
      <c r="M36" s="740">
        <f>IF(ISERROR((L36-H36)/H36),0,((L36-H36)/H36))</f>
        <v>0</v>
      </c>
      <c r="N36" s="739">
        <v>200</v>
      </c>
      <c r="O36" s="740">
        <f>IF(ISERROR((N36-L36)/L36),0,((N36-L36)/L36))</f>
        <v>2.3333333333333335</v>
      </c>
      <c r="P36" s="739">
        <v>207000</v>
      </c>
      <c r="Q36" s="741"/>
      <c r="R36" s="742">
        <f t="shared" si="10"/>
        <v>4.1399999999999997</v>
      </c>
      <c r="S36" s="742"/>
      <c r="T36" s="742"/>
      <c r="U36" s="743"/>
      <c r="V36" s="743"/>
      <c r="W36" s="743">
        <v>20</v>
      </c>
      <c r="X36" s="743">
        <v>20</v>
      </c>
      <c r="Y36" s="743">
        <v>20</v>
      </c>
      <c r="Z36" s="743">
        <v>20</v>
      </c>
      <c r="AA36" s="743">
        <v>20</v>
      </c>
      <c r="AB36" s="743">
        <v>20</v>
      </c>
      <c r="AC36" s="743">
        <v>20</v>
      </c>
      <c r="AD36" s="743">
        <v>20</v>
      </c>
      <c r="AE36" s="743">
        <v>20</v>
      </c>
      <c r="AF36" s="743">
        <v>20</v>
      </c>
      <c r="AG36" s="733">
        <f t="shared" si="11"/>
        <v>0</v>
      </c>
      <c r="AH36" s="208">
        <f t="shared" si="12"/>
        <v>20</v>
      </c>
      <c r="AI36" s="208">
        <f t="shared" si="13"/>
        <v>60</v>
      </c>
      <c r="AJ36" s="208">
        <f t="shared" si="14"/>
        <v>60</v>
      </c>
      <c r="AK36" s="208">
        <f t="shared" si="15"/>
        <v>60</v>
      </c>
      <c r="AL36" s="208">
        <f t="shared" si="16"/>
        <v>200</v>
      </c>
      <c r="AM36" s="680"/>
      <c r="AN36" s="746">
        <f t="shared" si="23"/>
        <v>0</v>
      </c>
      <c r="AO36" s="746">
        <f t="shared" si="23"/>
        <v>0</v>
      </c>
      <c r="AP36" s="746">
        <f t="shared" si="23"/>
        <v>0.41399999999999998</v>
      </c>
      <c r="AQ36" s="746">
        <f t="shared" si="23"/>
        <v>0.41399999999999998</v>
      </c>
      <c r="AR36" s="746">
        <f t="shared" si="23"/>
        <v>0.41399999999999998</v>
      </c>
      <c r="AS36" s="746">
        <f t="shared" si="23"/>
        <v>0.41399999999999998</v>
      </c>
      <c r="AT36" s="746">
        <f t="shared" si="23"/>
        <v>0.41399999999999998</v>
      </c>
      <c r="AU36" s="746">
        <f t="shared" si="23"/>
        <v>0.41399999999999998</v>
      </c>
      <c r="AV36" s="746">
        <f t="shared" si="23"/>
        <v>0.41399999999999998</v>
      </c>
      <c r="AW36" s="746">
        <f t="shared" si="23"/>
        <v>0.41399999999999998</v>
      </c>
      <c r="AX36" s="746">
        <f t="shared" si="23"/>
        <v>0.41399999999999998</v>
      </c>
      <c r="AY36" s="746">
        <f t="shared" si="23"/>
        <v>0.41399999999999998</v>
      </c>
      <c r="AZ36" s="733">
        <f t="shared" si="17"/>
        <v>0</v>
      </c>
      <c r="BA36" s="636">
        <f t="shared" si="18"/>
        <v>0.41399999999999998</v>
      </c>
      <c r="BB36" s="636">
        <f t="shared" si="19"/>
        <v>1.242</v>
      </c>
      <c r="BC36" s="636">
        <f t="shared" si="20"/>
        <v>1.242</v>
      </c>
      <c r="BD36" s="636">
        <f t="shared" si="21"/>
        <v>1.242</v>
      </c>
      <c r="BE36" s="735">
        <f t="shared" si="22"/>
        <v>4.1399999999999997</v>
      </c>
      <c r="BF36" s="680"/>
      <c r="BG36" s="680"/>
      <c r="BH36" s="680"/>
      <c r="BI36" s="680"/>
      <c r="BJ36" s="680"/>
      <c r="BK36" s="680"/>
      <c r="BL36" s="680"/>
      <c r="BM36" s="680"/>
      <c r="BN36" s="680"/>
    </row>
    <row r="37" spans="1:66" ht="12.95" customHeight="1">
      <c r="A37" s="722" t="s">
        <v>194</v>
      </c>
      <c r="B37" s="723" t="s">
        <v>135</v>
      </c>
      <c r="C37" s="749" t="s">
        <v>193</v>
      </c>
      <c r="D37" s="688" t="s">
        <v>406</v>
      </c>
      <c r="E37" s="738" t="s">
        <v>140</v>
      </c>
      <c r="F37" s="739"/>
      <c r="G37" s="739"/>
      <c r="H37" s="739"/>
      <c r="I37" s="740"/>
      <c r="J37" s="739"/>
      <c r="K37" s="686">
        <v>4</v>
      </c>
      <c r="L37" s="739"/>
      <c r="M37" s="740"/>
      <c r="N37" s="739">
        <v>20</v>
      </c>
      <c r="O37" s="740">
        <f>IF(ISERROR((N37-L37)/L37),0,((N37-L37)/L37))</f>
        <v>0</v>
      </c>
      <c r="P37" s="739">
        <v>232000</v>
      </c>
      <c r="Q37" s="741"/>
      <c r="R37" s="742">
        <v>0.46400000000000002</v>
      </c>
      <c r="S37" s="742"/>
      <c r="T37" s="742"/>
      <c r="U37" s="743"/>
      <c r="V37" s="743"/>
      <c r="W37" s="743"/>
      <c r="X37" s="743">
        <v>5</v>
      </c>
      <c r="Y37" s="743"/>
      <c r="Z37" s="743">
        <v>5</v>
      </c>
      <c r="AA37" s="743"/>
      <c r="AB37" s="743">
        <v>5</v>
      </c>
      <c r="AC37" s="743"/>
      <c r="AD37" s="743">
        <v>5</v>
      </c>
      <c r="AE37" s="744"/>
      <c r="AF37" s="745"/>
      <c r="AG37" s="733">
        <f t="shared" si="11"/>
        <v>0</v>
      </c>
      <c r="AH37" s="208">
        <f t="shared" si="12"/>
        <v>0</v>
      </c>
      <c r="AI37" s="208">
        <f t="shared" si="13"/>
        <v>10</v>
      </c>
      <c r="AJ37" s="208">
        <f t="shared" si="14"/>
        <v>5</v>
      </c>
      <c r="AK37" s="208">
        <f t="shared" si="15"/>
        <v>5</v>
      </c>
      <c r="AL37" s="208">
        <f t="shared" si="16"/>
        <v>20</v>
      </c>
      <c r="AM37" s="680"/>
      <c r="AN37" s="746">
        <f t="shared" si="23"/>
        <v>0</v>
      </c>
      <c r="AO37" s="746">
        <f t="shared" si="23"/>
        <v>0</v>
      </c>
      <c r="AP37" s="746">
        <f t="shared" si="23"/>
        <v>0</v>
      </c>
      <c r="AQ37" s="746">
        <f t="shared" si="23"/>
        <v>0.11600000000000001</v>
      </c>
      <c r="AR37" s="746">
        <f t="shared" si="23"/>
        <v>0</v>
      </c>
      <c r="AS37" s="746">
        <f t="shared" si="23"/>
        <v>0.11600000000000001</v>
      </c>
      <c r="AT37" s="746">
        <f t="shared" si="23"/>
        <v>0</v>
      </c>
      <c r="AU37" s="746">
        <f t="shared" si="23"/>
        <v>0.11600000000000001</v>
      </c>
      <c r="AV37" s="746">
        <f t="shared" si="23"/>
        <v>0</v>
      </c>
      <c r="AW37" s="746">
        <f t="shared" si="23"/>
        <v>0.11600000000000001</v>
      </c>
      <c r="AX37" s="746">
        <f t="shared" si="23"/>
        <v>0</v>
      </c>
      <c r="AY37" s="746">
        <f t="shared" si="23"/>
        <v>0</v>
      </c>
      <c r="AZ37" s="733">
        <f t="shared" si="17"/>
        <v>0</v>
      </c>
      <c r="BA37" s="636">
        <f t="shared" si="18"/>
        <v>0</v>
      </c>
      <c r="BB37" s="636">
        <f t="shared" si="19"/>
        <v>0.23200000000000001</v>
      </c>
      <c r="BC37" s="636">
        <f t="shared" si="20"/>
        <v>0.11600000000000001</v>
      </c>
      <c r="BD37" s="636">
        <f t="shared" si="21"/>
        <v>0.11600000000000001</v>
      </c>
      <c r="BE37" s="735">
        <f t="shared" si="22"/>
        <v>0.46400000000000002</v>
      </c>
      <c r="BF37" s="680"/>
      <c r="BG37" s="680"/>
      <c r="BH37" s="680"/>
      <c r="BI37" s="680"/>
      <c r="BJ37" s="680"/>
      <c r="BK37" s="680"/>
      <c r="BL37" s="680"/>
      <c r="BM37" s="680"/>
      <c r="BN37" s="680"/>
    </row>
    <row r="38" spans="1:66" ht="12.95" customHeight="1">
      <c r="A38" s="722" t="s">
        <v>195</v>
      </c>
      <c r="B38" s="723" t="s">
        <v>135</v>
      </c>
      <c r="C38" s="754" t="s">
        <v>27</v>
      </c>
      <c r="D38" s="749" t="s">
        <v>407</v>
      </c>
      <c r="E38" s="738" t="s">
        <v>142</v>
      </c>
      <c r="F38" s="739">
        <v>1525.5319999999999</v>
      </c>
      <c r="G38" s="739">
        <v>1325.3690000000004</v>
      </c>
      <c r="H38" s="739">
        <v>596.36699999999996</v>
      </c>
      <c r="I38" s="740">
        <f t="shared" ref="I38:I55" si="26">IF(ISERROR((H38-G38)/G38),0,((H38-G38)/G38))</f>
        <v>-0.55003700856138948</v>
      </c>
      <c r="J38" s="739">
        <v>936.83900000000006</v>
      </c>
      <c r="K38" s="755">
        <f>1451-J38</f>
        <v>514.16099999999994</v>
      </c>
      <c r="L38" s="739">
        <f t="shared" ref="L38:L55" si="27">J38+K38</f>
        <v>1451</v>
      </c>
      <c r="M38" s="740">
        <f t="shared" ref="M38:M55" si="28">IF(ISERROR((L38-H38)/H38),0,((L38-H38)/H38))</f>
        <v>1.4330655452095775</v>
      </c>
      <c r="N38" s="739">
        <v>1450</v>
      </c>
      <c r="O38" s="740">
        <f>IF(ISERROR((N38-L38)/L38),0,((N38-L38)/L38))</f>
        <v>-6.8917987594762232E-4</v>
      </c>
      <c r="P38" s="739">
        <v>82283.403646728999</v>
      </c>
      <c r="Q38" s="741"/>
      <c r="R38" s="742">
        <f t="shared" si="10"/>
        <v>11.931093528775705</v>
      </c>
      <c r="S38" s="742"/>
      <c r="T38" s="742"/>
      <c r="U38" s="743">
        <v>80</v>
      </c>
      <c r="V38" s="743">
        <v>71</v>
      </c>
      <c r="W38" s="743">
        <v>79</v>
      </c>
      <c r="X38" s="743">
        <v>79</v>
      </c>
      <c r="Y38" s="743">
        <v>79</v>
      </c>
      <c r="Z38" s="743">
        <v>79</v>
      </c>
      <c r="AA38" s="743">
        <v>79</v>
      </c>
      <c r="AB38" s="743">
        <v>79</v>
      </c>
      <c r="AC38" s="743">
        <v>79</v>
      </c>
      <c r="AD38" s="744">
        <v>191</v>
      </c>
      <c r="AE38" s="744">
        <v>286</v>
      </c>
      <c r="AF38" s="745">
        <v>269</v>
      </c>
      <c r="AG38" s="733">
        <f t="shared" si="11"/>
        <v>0</v>
      </c>
      <c r="AH38" s="208">
        <f t="shared" si="12"/>
        <v>230</v>
      </c>
      <c r="AI38" s="208">
        <f t="shared" si="13"/>
        <v>237</v>
      </c>
      <c r="AJ38" s="208">
        <f t="shared" si="14"/>
        <v>237</v>
      </c>
      <c r="AK38" s="208">
        <f t="shared" si="15"/>
        <v>746</v>
      </c>
      <c r="AL38" s="208">
        <f t="shared" si="16"/>
        <v>1450</v>
      </c>
      <c r="AM38" s="680"/>
      <c r="AN38" s="746">
        <f t="shared" si="23"/>
        <v>0.65826722917383207</v>
      </c>
      <c r="AO38" s="746">
        <f t="shared" si="23"/>
        <v>0.58421216589177583</v>
      </c>
      <c r="AP38" s="746">
        <f t="shared" si="23"/>
        <v>0.65003888880915917</v>
      </c>
      <c r="AQ38" s="746">
        <f t="shared" si="23"/>
        <v>0.65003888880915917</v>
      </c>
      <c r="AR38" s="746">
        <f t="shared" si="23"/>
        <v>0.65003888880915917</v>
      </c>
      <c r="AS38" s="746">
        <f t="shared" si="23"/>
        <v>0.65003888880915917</v>
      </c>
      <c r="AT38" s="746">
        <f t="shared" si="23"/>
        <v>0.65003888880915917</v>
      </c>
      <c r="AU38" s="746">
        <f t="shared" si="23"/>
        <v>0.65003888880915917</v>
      </c>
      <c r="AV38" s="746">
        <f t="shared" si="23"/>
        <v>0.65003888880915917</v>
      </c>
      <c r="AW38" s="746">
        <f t="shared" si="23"/>
        <v>1.5716130096525238</v>
      </c>
      <c r="AX38" s="746">
        <f t="shared" si="23"/>
        <v>2.3533053442964493</v>
      </c>
      <c r="AY38" s="746">
        <f t="shared" si="23"/>
        <v>2.2134235580970101</v>
      </c>
      <c r="AZ38" s="733">
        <f t="shared" si="17"/>
        <v>0</v>
      </c>
      <c r="BA38" s="636">
        <f t="shared" si="18"/>
        <v>1.8925182838747672</v>
      </c>
      <c r="BB38" s="636">
        <f t="shared" si="19"/>
        <v>1.9501166664274776</v>
      </c>
      <c r="BC38" s="636">
        <f t="shared" si="20"/>
        <v>1.9501166664274776</v>
      </c>
      <c r="BD38" s="636">
        <f t="shared" si="21"/>
        <v>6.1383419120459832</v>
      </c>
      <c r="BE38" s="735">
        <f t="shared" si="22"/>
        <v>11.931093528775705</v>
      </c>
      <c r="BF38" s="680"/>
      <c r="BG38" s="680"/>
      <c r="BH38" s="680"/>
      <c r="BI38" s="680"/>
      <c r="BJ38" s="680"/>
      <c r="BK38" s="680"/>
      <c r="BL38" s="680"/>
      <c r="BM38" s="680"/>
      <c r="BN38" s="680"/>
    </row>
    <row r="39" spans="1:66" ht="12.95" customHeight="1">
      <c r="A39" s="722" t="s">
        <v>209</v>
      </c>
      <c r="B39" s="723" t="s">
        <v>135</v>
      </c>
      <c r="C39" s="752" t="s">
        <v>210</v>
      </c>
      <c r="D39" s="749" t="s">
        <v>211</v>
      </c>
      <c r="E39" s="738" t="s">
        <v>212</v>
      </c>
      <c r="F39" s="739">
        <v>0</v>
      </c>
      <c r="G39" s="739">
        <v>0</v>
      </c>
      <c r="H39" s="739">
        <v>0</v>
      </c>
      <c r="I39" s="740">
        <f t="shared" si="26"/>
        <v>0</v>
      </c>
      <c r="J39" s="739">
        <v>0</v>
      </c>
      <c r="K39" s="686"/>
      <c r="L39" s="739">
        <f t="shared" si="27"/>
        <v>0</v>
      </c>
      <c r="M39" s="740">
        <f t="shared" si="28"/>
        <v>0</v>
      </c>
      <c r="N39" s="739">
        <v>0</v>
      </c>
      <c r="O39" s="740">
        <f t="shared" ref="O39:O54" si="29">IF(ISERROR((N39-L39)/L39),0,((N39-L39)/L39))</f>
        <v>0</v>
      </c>
      <c r="P39" s="739">
        <v>0</v>
      </c>
      <c r="Q39" s="741"/>
      <c r="R39" s="742">
        <f t="shared" si="10"/>
        <v>0</v>
      </c>
      <c r="S39" s="742"/>
      <c r="T39" s="742"/>
      <c r="U39" s="743"/>
      <c r="V39" s="743"/>
      <c r="W39" s="743"/>
      <c r="X39" s="743"/>
      <c r="Y39" s="743"/>
      <c r="Z39" s="743"/>
      <c r="AA39" s="743"/>
      <c r="AB39" s="743"/>
      <c r="AC39" s="743"/>
      <c r="AD39" s="744"/>
      <c r="AE39" s="744"/>
      <c r="AF39" s="745"/>
      <c r="AG39" s="733">
        <f t="shared" si="11"/>
        <v>0</v>
      </c>
      <c r="AH39" s="208">
        <f t="shared" si="12"/>
        <v>0</v>
      </c>
      <c r="AI39" s="208">
        <f t="shared" si="13"/>
        <v>0</v>
      </c>
      <c r="AJ39" s="208">
        <f t="shared" si="14"/>
        <v>0</v>
      </c>
      <c r="AK39" s="208">
        <f t="shared" si="15"/>
        <v>0</v>
      </c>
      <c r="AL39" s="208">
        <f t="shared" si="16"/>
        <v>0</v>
      </c>
      <c r="AM39" s="680"/>
      <c r="AN39" s="746">
        <f t="shared" si="23"/>
        <v>0</v>
      </c>
      <c r="AO39" s="746">
        <f t="shared" si="23"/>
        <v>0</v>
      </c>
      <c r="AP39" s="746">
        <f t="shared" si="23"/>
        <v>0</v>
      </c>
      <c r="AQ39" s="746">
        <f t="shared" si="23"/>
        <v>0</v>
      </c>
      <c r="AR39" s="746">
        <f t="shared" si="23"/>
        <v>0</v>
      </c>
      <c r="AS39" s="746">
        <f t="shared" si="23"/>
        <v>0</v>
      </c>
      <c r="AT39" s="746">
        <f t="shared" si="23"/>
        <v>0</v>
      </c>
      <c r="AU39" s="746">
        <f t="shared" si="23"/>
        <v>0</v>
      </c>
      <c r="AV39" s="746">
        <f t="shared" si="23"/>
        <v>0</v>
      </c>
      <c r="AW39" s="746">
        <f t="shared" si="23"/>
        <v>0</v>
      </c>
      <c r="AX39" s="746">
        <f t="shared" si="23"/>
        <v>0</v>
      </c>
      <c r="AY39" s="746">
        <f t="shared" si="23"/>
        <v>0</v>
      </c>
      <c r="AZ39" s="733">
        <f t="shared" si="17"/>
        <v>0</v>
      </c>
      <c r="BA39" s="636">
        <f t="shared" si="18"/>
        <v>0</v>
      </c>
      <c r="BB39" s="636">
        <f t="shared" si="19"/>
        <v>0</v>
      </c>
      <c r="BC39" s="636">
        <f t="shared" si="20"/>
        <v>0</v>
      </c>
      <c r="BD39" s="636">
        <f t="shared" si="21"/>
        <v>0</v>
      </c>
      <c r="BE39" s="735">
        <f t="shared" si="22"/>
        <v>0</v>
      </c>
      <c r="BF39" s="680"/>
      <c r="BG39" s="680"/>
      <c r="BH39" s="680"/>
      <c r="BI39" s="680"/>
      <c r="BJ39" s="680"/>
      <c r="BK39" s="680"/>
      <c r="BL39" s="680"/>
      <c r="BM39" s="680"/>
      <c r="BN39" s="680"/>
    </row>
    <row r="40" spans="1:66" ht="12.95" customHeight="1">
      <c r="A40" s="722" t="s">
        <v>213</v>
      </c>
      <c r="B40" s="723" t="s">
        <v>135</v>
      </c>
      <c r="C40" s="752" t="s">
        <v>210</v>
      </c>
      <c r="D40" s="749" t="s">
        <v>211</v>
      </c>
      <c r="E40" s="738" t="s">
        <v>142</v>
      </c>
      <c r="F40" s="739">
        <v>854.93299999999999</v>
      </c>
      <c r="G40" s="739">
        <v>1030.769</v>
      </c>
      <c r="H40" s="739">
        <v>16.113</v>
      </c>
      <c r="I40" s="740">
        <f t="shared" si="26"/>
        <v>-0.98436798157492122</v>
      </c>
      <c r="J40" s="739">
        <v>24.71</v>
      </c>
      <c r="K40" s="686"/>
      <c r="L40" s="739">
        <f t="shared" si="27"/>
        <v>24.71</v>
      </c>
      <c r="M40" s="740">
        <f t="shared" si="28"/>
        <v>0.5335443430770187</v>
      </c>
      <c r="N40" s="739">
        <v>0</v>
      </c>
      <c r="O40" s="740">
        <f t="shared" si="29"/>
        <v>-1</v>
      </c>
      <c r="P40" s="739">
        <v>0</v>
      </c>
      <c r="Q40" s="741"/>
      <c r="R40" s="742">
        <f t="shared" si="10"/>
        <v>0</v>
      </c>
      <c r="S40" s="742"/>
      <c r="T40" s="742"/>
      <c r="U40" s="743"/>
      <c r="V40" s="743"/>
      <c r="W40" s="743"/>
      <c r="X40" s="743"/>
      <c r="Y40" s="743"/>
      <c r="Z40" s="743"/>
      <c r="AA40" s="743"/>
      <c r="AB40" s="743"/>
      <c r="AC40" s="743"/>
      <c r="AD40" s="744"/>
      <c r="AE40" s="744"/>
      <c r="AF40" s="745"/>
      <c r="AG40" s="733">
        <f t="shared" si="11"/>
        <v>0</v>
      </c>
      <c r="AH40" s="208">
        <f t="shared" si="12"/>
        <v>0</v>
      </c>
      <c r="AI40" s="208">
        <f t="shared" si="13"/>
        <v>0</v>
      </c>
      <c r="AJ40" s="208">
        <f t="shared" si="14"/>
        <v>0</v>
      </c>
      <c r="AK40" s="208">
        <f t="shared" si="15"/>
        <v>0</v>
      </c>
      <c r="AL40" s="208">
        <f t="shared" si="16"/>
        <v>0</v>
      </c>
      <c r="AM40" s="680"/>
      <c r="AN40" s="746">
        <f t="shared" si="23"/>
        <v>0</v>
      </c>
      <c r="AO40" s="746">
        <f t="shared" si="23"/>
        <v>0</v>
      </c>
      <c r="AP40" s="746">
        <f t="shared" si="23"/>
        <v>0</v>
      </c>
      <c r="AQ40" s="746">
        <f t="shared" si="23"/>
        <v>0</v>
      </c>
      <c r="AR40" s="746">
        <f t="shared" si="23"/>
        <v>0</v>
      </c>
      <c r="AS40" s="746">
        <f t="shared" si="23"/>
        <v>0</v>
      </c>
      <c r="AT40" s="746">
        <f t="shared" si="23"/>
        <v>0</v>
      </c>
      <c r="AU40" s="746">
        <f t="shared" si="23"/>
        <v>0</v>
      </c>
      <c r="AV40" s="746">
        <f t="shared" si="23"/>
        <v>0</v>
      </c>
      <c r="AW40" s="746">
        <f t="shared" si="23"/>
        <v>0</v>
      </c>
      <c r="AX40" s="746">
        <f t="shared" si="23"/>
        <v>0</v>
      </c>
      <c r="AY40" s="746">
        <f t="shared" si="23"/>
        <v>0</v>
      </c>
      <c r="AZ40" s="733">
        <f t="shared" si="17"/>
        <v>0</v>
      </c>
      <c r="BA40" s="636">
        <f t="shared" si="18"/>
        <v>0</v>
      </c>
      <c r="BB40" s="636">
        <f t="shared" si="19"/>
        <v>0</v>
      </c>
      <c r="BC40" s="636">
        <f t="shared" si="20"/>
        <v>0</v>
      </c>
      <c r="BD40" s="636">
        <f t="shared" si="21"/>
        <v>0</v>
      </c>
      <c r="BE40" s="735">
        <f t="shared" si="22"/>
        <v>0</v>
      </c>
      <c r="BF40" s="680"/>
      <c r="BG40" s="680"/>
      <c r="BH40" s="680"/>
      <c r="BI40" s="680"/>
      <c r="BJ40" s="680"/>
      <c r="BK40" s="680"/>
      <c r="BL40" s="680"/>
      <c r="BM40" s="680"/>
      <c r="BN40" s="680"/>
    </row>
    <row r="41" spans="1:66" ht="12.95" customHeight="1">
      <c r="A41" s="722" t="s">
        <v>408</v>
      </c>
      <c r="B41" s="723" t="s">
        <v>135</v>
      </c>
      <c r="C41" s="753" t="s">
        <v>210</v>
      </c>
      <c r="D41" s="749" t="s">
        <v>409</v>
      </c>
      <c r="E41" s="738" t="s">
        <v>142</v>
      </c>
      <c r="F41" s="739">
        <v>9.8830000000000009</v>
      </c>
      <c r="G41" s="739">
        <v>0</v>
      </c>
      <c r="H41" s="739">
        <v>0</v>
      </c>
      <c r="I41" s="740">
        <f t="shared" si="26"/>
        <v>0</v>
      </c>
      <c r="J41" s="756">
        <v>0</v>
      </c>
      <c r="K41" s="686"/>
      <c r="L41" s="739">
        <f t="shared" si="27"/>
        <v>0</v>
      </c>
      <c r="M41" s="740">
        <f t="shared" si="28"/>
        <v>0</v>
      </c>
      <c r="N41" s="739">
        <v>0</v>
      </c>
      <c r="O41" s="740">
        <f t="shared" si="29"/>
        <v>0</v>
      </c>
      <c r="P41" s="739">
        <v>0</v>
      </c>
      <c r="Q41" s="741"/>
      <c r="R41" s="742">
        <f t="shared" si="10"/>
        <v>0</v>
      </c>
      <c r="S41" s="742"/>
      <c r="T41" s="742"/>
      <c r="U41" s="743"/>
      <c r="V41" s="743"/>
      <c r="W41" s="743"/>
      <c r="X41" s="743"/>
      <c r="Y41" s="743"/>
      <c r="Z41" s="743"/>
      <c r="AA41" s="743"/>
      <c r="AB41" s="743"/>
      <c r="AC41" s="743"/>
      <c r="AD41" s="744"/>
      <c r="AE41" s="744"/>
      <c r="AF41" s="745"/>
      <c r="AG41" s="733">
        <f t="shared" si="11"/>
        <v>0</v>
      </c>
      <c r="AH41" s="208">
        <f t="shared" si="12"/>
        <v>0</v>
      </c>
      <c r="AI41" s="208">
        <f t="shared" si="13"/>
        <v>0</v>
      </c>
      <c r="AJ41" s="208">
        <f t="shared" si="14"/>
        <v>0</v>
      </c>
      <c r="AK41" s="208">
        <f t="shared" si="15"/>
        <v>0</v>
      </c>
      <c r="AL41" s="208">
        <f t="shared" si="16"/>
        <v>0</v>
      </c>
      <c r="AM41" s="680"/>
      <c r="AN41" s="746">
        <f t="shared" si="23"/>
        <v>0</v>
      </c>
      <c r="AO41" s="746">
        <f t="shared" si="23"/>
        <v>0</v>
      </c>
      <c r="AP41" s="746">
        <f t="shared" si="23"/>
        <v>0</v>
      </c>
      <c r="AQ41" s="746">
        <f t="shared" si="23"/>
        <v>0</v>
      </c>
      <c r="AR41" s="746">
        <f t="shared" si="23"/>
        <v>0</v>
      </c>
      <c r="AS41" s="746">
        <f t="shared" si="23"/>
        <v>0</v>
      </c>
      <c r="AT41" s="746">
        <f t="shared" si="23"/>
        <v>0</v>
      </c>
      <c r="AU41" s="746">
        <f t="shared" si="23"/>
        <v>0</v>
      </c>
      <c r="AV41" s="746">
        <f t="shared" si="23"/>
        <v>0</v>
      </c>
      <c r="AW41" s="746">
        <f t="shared" si="23"/>
        <v>0</v>
      </c>
      <c r="AX41" s="746">
        <f t="shared" si="23"/>
        <v>0</v>
      </c>
      <c r="AY41" s="746">
        <f t="shared" si="23"/>
        <v>0</v>
      </c>
      <c r="AZ41" s="733">
        <f t="shared" si="17"/>
        <v>0</v>
      </c>
      <c r="BA41" s="636">
        <f t="shared" si="18"/>
        <v>0</v>
      </c>
      <c r="BB41" s="636">
        <f t="shared" si="19"/>
        <v>0</v>
      </c>
      <c r="BC41" s="636">
        <f t="shared" si="20"/>
        <v>0</v>
      </c>
      <c r="BD41" s="636">
        <f t="shared" si="21"/>
        <v>0</v>
      </c>
      <c r="BE41" s="735">
        <f t="shared" si="22"/>
        <v>0</v>
      </c>
      <c r="BF41" s="680"/>
      <c r="BG41" s="680"/>
      <c r="BH41" s="680"/>
      <c r="BI41" s="680"/>
      <c r="BJ41" s="680"/>
      <c r="BK41" s="680"/>
      <c r="BL41" s="680"/>
      <c r="BM41" s="680"/>
      <c r="BN41" s="680"/>
    </row>
    <row r="42" spans="1:66" ht="12.95" customHeight="1">
      <c r="A42" s="722" t="s">
        <v>214</v>
      </c>
      <c r="B42" s="723" t="s">
        <v>135</v>
      </c>
      <c r="C42" s="753" t="s">
        <v>210</v>
      </c>
      <c r="D42" s="749" t="s">
        <v>211</v>
      </c>
      <c r="E42" s="738" t="s">
        <v>144</v>
      </c>
      <c r="F42" s="739"/>
      <c r="G42" s="739"/>
      <c r="H42" s="739">
        <v>1043.518</v>
      </c>
      <c r="I42" s="740">
        <f t="shared" si="26"/>
        <v>0</v>
      </c>
      <c r="J42" s="756">
        <v>731.01</v>
      </c>
      <c r="K42" s="755">
        <f>1134-J42-J40</f>
        <v>378.28000000000003</v>
      </c>
      <c r="L42" s="739">
        <f t="shared" si="27"/>
        <v>1109.29</v>
      </c>
      <c r="M42" s="740">
        <f t="shared" si="28"/>
        <v>6.3029099641788572E-2</v>
      </c>
      <c r="N42" s="739">
        <v>1200</v>
      </c>
      <c r="O42" s="740">
        <f t="shared" si="29"/>
        <v>8.1773025989596987E-2</v>
      </c>
      <c r="P42" s="739">
        <v>150500.37948885726</v>
      </c>
      <c r="Q42" s="741"/>
      <c r="R42" s="742">
        <f t="shared" si="10"/>
        <v>18.060045538662873</v>
      </c>
      <c r="S42" s="742"/>
      <c r="T42" s="742"/>
      <c r="U42" s="743">
        <v>80</v>
      </c>
      <c r="V42" s="743">
        <v>140</v>
      </c>
      <c r="W42" s="743">
        <v>90</v>
      </c>
      <c r="X42" s="743">
        <v>80</v>
      </c>
      <c r="Y42" s="743">
        <v>100</v>
      </c>
      <c r="Z42" s="743">
        <v>100</v>
      </c>
      <c r="AA42" s="743">
        <v>100</v>
      </c>
      <c r="AB42" s="743">
        <v>100</v>
      </c>
      <c r="AC42" s="743">
        <v>100</v>
      </c>
      <c r="AD42" s="743">
        <v>100</v>
      </c>
      <c r="AE42" s="743">
        <v>120</v>
      </c>
      <c r="AF42" s="745">
        <v>90</v>
      </c>
      <c r="AG42" s="733">
        <f t="shared" si="11"/>
        <v>0</v>
      </c>
      <c r="AH42" s="208">
        <f t="shared" si="12"/>
        <v>310</v>
      </c>
      <c r="AI42" s="208">
        <f t="shared" si="13"/>
        <v>280</v>
      </c>
      <c r="AJ42" s="208">
        <f t="shared" si="14"/>
        <v>300</v>
      </c>
      <c r="AK42" s="208">
        <f t="shared" si="15"/>
        <v>310</v>
      </c>
      <c r="AL42" s="208">
        <f t="shared" si="16"/>
        <v>1200</v>
      </c>
      <c r="AM42" s="680"/>
      <c r="AN42" s="746">
        <f t="shared" si="23"/>
        <v>1.204003035910858</v>
      </c>
      <c r="AO42" s="746">
        <f t="shared" si="23"/>
        <v>2.1070053128440014</v>
      </c>
      <c r="AP42" s="746">
        <f t="shared" si="23"/>
        <v>1.3545034153997153</v>
      </c>
      <c r="AQ42" s="746">
        <f t="shared" si="23"/>
        <v>1.204003035910858</v>
      </c>
      <c r="AR42" s="746">
        <f t="shared" si="23"/>
        <v>1.5050037948885726</v>
      </c>
      <c r="AS42" s="746">
        <f t="shared" si="23"/>
        <v>1.5050037948885726</v>
      </c>
      <c r="AT42" s="746">
        <f t="shared" si="23"/>
        <v>1.5050037948885726</v>
      </c>
      <c r="AU42" s="746">
        <f t="shared" si="23"/>
        <v>1.5050037948885726</v>
      </c>
      <c r="AV42" s="746">
        <f t="shared" si="23"/>
        <v>1.5050037948885726</v>
      </c>
      <c r="AW42" s="746">
        <f t="shared" si="23"/>
        <v>1.5050037948885726</v>
      </c>
      <c r="AX42" s="746">
        <f t="shared" si="23"/>
        <v>1.806004553866287</v>
      </c>
      <c r="AY42" s="746">
        <f t="shared" si="23"/>
        <v>1.3545034153997153</v>
      </c>
      <c r="AZ42" s="733">
        <f t="shared" si="17"/>
        <v>0</v>
      </c>
      <c r="BA42" s="636">
        <f t="shared" si="18"/>
        <v>4.6655117641545747</v>
      </c>
      <c r="BB42" s="636">
        <f t="shared" si="19"/>
        <v>4.2140106256880028</v>
      </c>
      <c r="BC42" s="636">
        <f t="shared" si="20"/>
        <v>4.5150113846657174</v>
      </c>
      <c r="BD42" s="636">
        <f t="shared" si="21"/>
        <v>4.6655117641545747</v>
      </c>
      <c r="BE42" s="735">
        <f t="shared" si="22"/>
        <v>18.06004553866287</v>
      </c>
      <c r="BF42" s="680"/>
      <c r="BG42" s="680"/>
      <c r="BH42" s="680"/>
      <c r="BI42" s="680"/>
      <c r="BJ42" s="680"/>
      <c r="BK42" s="680"/>
      <c r="BL42" s="680"/>
      <c r="BM42" s="680"/>
      <c r="BN42" s="680"/>
    </row>
    <row r="43" spans="1:66" ht="12.95" customHeight="1">
      <c r="A43" s="722" t="s">
        <v>189</v>
      </c>
      <c r="B43" s="723" t="s">
        <v>135</v>
      </c>
      <c r="C43" s="754" t="s">
        <v>190</v>
      </c>
      <c r="D43" s="749" t="s">
        <v>410</v>
      </c>
      <c r="E43" s="738" t="s">
        <v>144</v>
      </c>
      <c r="F43" s="739">
        <v>21.848999999999997</v>
      </c>
      <c r="G43" s="739">
        <v>14.125</v>
      </c>
      <c r="H43" s="739">
        <v>12.254999999999999</v>
      </c>
      <c r="I43" s="740">
        <f t="shared" si="26"/>
        <v>-0.13238938053097352</v>
      </c>
      <c r="J43" s="739">
        <v>11.606</v>
      </c>
      <c r="K43" s="686">
        <v>0</v>
      </c>
      <c r="L43" s="739">
        <f t="shared" si="27"/>
        <v>11.606</v>
      </c>
      <c r="M43" s="740">
        <f t="shared" si="28"/>
        <v>-5.2957976336189247E-2</v>
      </c>
      <c r="N43" s="739">
        <v>12</v>
      </c>
      <c r="O43" s="740">
        <f t="shared" si="29"/>
        <v>3.3947957952783055E-2</v>
      </c>
      <c r="P43" s="739">
        <v>163331.3051696</v>
      </c>
      <c r="Q43" s="741"/>
      <c r="R43" s="742">
        <f t="shared" si="10"/>
        <v>0.19599756620352002</v>
      </c>
      <c r="S43" s="742"/>
      <c r="T43" s="742"/>
      <c r="U43" s="743"/>
      <c r="V43" s="743"/>
      <c r="W43" s="743"/>
      <c r="X43" s="743">
        <v>6</v>
      </c>
      <c r="Y43" s="743"/>
      <c r="Z43" s="743"/>
      <c r="AA43" s="743"/>
      <c r="AB43" s="743"/>
      <c r="AC43" s="743">
        <v>6</v>
      </c>
      <c r="AD43" s="744"/>
      <c r="AE43" s="744"/>
      <c r="AF43" s="745"/>
      <c r="AG43" s="733">
        <f t="shared" si="11"/>
        <v>0</v>
      </c>
      <c r="AH43" s="208">
        <f t="shared" si="12"/>
        <v>0</v>
      </c>
      <c r="AI43" s="208">
        <f t="shared" si="13"/>
        <v>6</v>
      </c>
      <c r="AJ43" s="208">
        <f t="shared" si="14"/>
        <v>6</v>
      </c>
      <c r="AK43" s="208">
        <f t="shared" si="15"/>
        <v>0</v>
      </c>
      <c r="AL43" s="208">
        <f t="shared" si="16"/>
        <v>12</v>
      </c>
      <c r="AM43" s="680"/>
      <c r="AN43" s="746">
        <f t="shared" si="23"/>
        <v>0</v>
      </c>
      <c r="AO43" s="746">
        <f t="shared" si="23"/>
        <v>0</v>
      </c>
      <c r="AP43" s="746">
        <f t="shared" si="23"/>
        <v>0</v>
      </c>
      <c r="AQ43" s="746">
        <f t="shared" si="23"/>
        <v>9.7998783101760009E-2</v>
      </c>
      <c r="AR43" s="746">
        <f t="shared" si="23"/>
        <v>0</v>
      </c>
      <c r="AS43" s="746">
        <f t="shared" si="23"/>
        <v>0</v>
      </c>
      <c r="AT43" s="746">
        <f t="shared" si="23"/>
        <v>0</v>
      </c>
      <c r="AU43" s="746">
        <f t="shared" si="23"/>
        <v>0</v>
      </c>
      <c r="AV43" s="746">
        <f t="shared" si="23"/>
        <v>9.7998783101760009E-2</v>
      </c>
      <c r="AW43" s="746">
        <f t="shared" si="23"/>
        <v>0</v>
      </c>
      <c r="AX43" s="746">
        <f t="shared" si="23"/>
        <v>0</v>
      </c>
      <c r="AY43" s="746">
        <f t="shared" si="23"/>
        <v>0</v>
      </c>
      <c r="AZ43" s="733">
        <f t="shared" si="17"/>
        <v>0</v>
      </c>
      <c r="BA43" s="636">
        <f t="shared" si="18"/>
        <v>0</v>
      </c>
      <c r="BB43" s="636">
        <f t="shared" si="19"/>
        <v>9.7998783101760009E-2</v>
      </c>
      <c r="BC43" s="636">
        <f t="shared" si="20"/>
        <v>9.7998783101760009E-2</v>
      </c>
      <c r="BD43" s="636">
        <f t="shared" si="21"/>
        <v>0</v>
      </c>
      <c r="BE43" s="735">
        <f t="shared" si="22"/>
        <v>0.19599756620352002</v>
      </c>
      <c r="BF43" s="680"/>
      <c r="BG43" s="680"/>
      <c r="BH43" s="680"/>
      <c r="BI43" s="680"/>
      <c r="BJ43" s="680"/>
      <c r="BK43" s="680"/>
      <c r="BL43" s="680"/>
      <c r="BM43" s="680"/>
      <c r="BN43" s="680"/>
    </row>
    <row r="44" spans="1:66" ht="12.95" customHeight="1">
      <c r="A44" s="722" t="s">
        <v>202</v>
      </c>
      <c r="B44" s="723" t="s">
        <v>135</v>
      </c>
      <c r="C44" s="750" t="s">
        <v>53</v>
      </c>
      <c r="D44" s="748" t="s">
        <v>53</v>
      </c>
      <c r="E44" s="738" t="s">
        <v>140</v>
      </c>
      <c r="F44" s="739">
        <v>0</v>
      </c>
      <c r="G44" s="739">
        <v>0</v>
      </c>
      <c r="H44" s="739">
        <v>0</v>
      </c>
      <c r="I44" s="740">
        <f t="shared" si="26"/>
        <v>0</v>
      </c>
      <c r="J44" s="739">
        <v>4.7699999999999996</v>
      </c>
      <c r="K44" s="686">
        <v>4</v>
      </c>
      <c r="L44" s="739">
        <f t="shared" si="27"/>
        <v>8.77</v>
      </c>
      <c r="M44" s="740">
        <f t="shared" si="28"/>
        <v>0</v>
      </c>
      <c r="N44" s="739">
        <v>0</v>
      </c>
      <c r="O44" s="740">
        <f t="shared" si="29"/>
        <v>-1</v>
      </c>
      <c r="P44" s="739">
        <v>0</v>
      </c>
      <c r="Q44" s="741"/>
      <c r="R44" s="742">
        <f t="shared" si="10"/>
        <v>0</v>
      </c>
      <c r="S44" s="742"/>
      <c r="T44" s="742"/>
      <c r="U44" s="743"/>
      <c r="V44" s="743"/>
      <c r="W44" s="743"/>
      <c r="X44" s="743"/>
      <c r="Y44" s="743"/>
      <c r="Z44" s="743"/>
      <c r="AA44" s="743"/>
      <c r="AB44" s="743"/>
      <c r="AC44" s="743"/>
      <c r="AD44" s="744"/>
      <c r="AE44" s="744"/>
      <c r="AF44" s="745"/>
      <c r="AG44" s="733">
        <f t="shared" si="11"/>
        <v>0</v>
      </c>
      <c r="AH44" s="208">
        <f t="shared" si="12"/>
        <v>0</v>
      </c>
      <c r="AI44" s="208">
        <f t="shared" si="13"/>
        <v>0</v>
      </c>
      <c r="AJ44" s="208">
        <f t="shared" si="14"/>
        <v>0</v>
      </c>
      <c r="AK44" s="208">
        <f t="shared" si="15"/>
        <v>0</v>
      </c>
      <c r="AL44" s="208">
        <f t="shared" si="16"/>
        <v>0</v>
      </c>
      <c r="AM44" s="680"/>
      <c r="AN44" s="746">
        <f t="shared" si="23"/>
        <v>0</v>
      </c>
      <c r="AO44" s="746">
        <f t="shared" si="23"/>
        <v>0</v>
      </c>
      <c r="AP44" s="746">
        <f t="shared" si="23"/>
        <v>0</v>
      </c>
      <c r="AQ44" s="746">
        <f t="shared" ref="AQ44:AY72" si="30">X44*$P44/10^7</f>
        <v>0</v>
      </c>
      <c r="AR44" s="746">
        <f t="shared" si="30"/>
        <v>0</v>
      </c>
      <c r="AS44" s="746">
        <f t="shared" si="30"/>
        <v>0</v>
      </c>
      <c r="AT44" s="746">
        <f t="shared" si="30"/>
        <v>0</v>
      </c>
      <c r="AU44" s="746">
        <f t="shared" si="30"/>
        <v>0</v>
      </c>
      <c r="AV44" s="746">
        <f t="shared" si="30"/>
        <v>0</v>
      </c>
      <c r="AW44" s="746">
        <f t="shared" si="30"/>
        <v>0</v>
      </c>
      <c r="AX44" s="746">
        <f t="shared" si="30"/>
        <v>0</v>
      </c>
      <c r="AY44" s="746">
        <f t="shared" si="30"/>
        <v>0</v>
      </c>
      <c r="AZ44" s="733">
        <f t="shared" si="17"/>
        <v>0</v>
      </c>
      <c r="BA44" s="636">
        <f t="shared" si="18"/>
        <v>0</v>
      </c>
      <c r="BB44" s="636">
        <f t="shared" si="19"/>
        <v>0</v>
      </c>
      <c r="BC44" s="636">
        <f t="shared" si="20"/>
        <v>0</v>
      </c>
      <c r="BD44" s="636">
        <f t="shared" si="21"/>
        <v>0</v>
      </c>
      <c r="BE44" s="735">
        <f t="shared" si="22"/>
        <v>0</v>
      </c>
      <c r="BF44" s="680"/>
      <c r="BG44" s="680"/>
      <c r="BH44" s="680"/>
      <c r="BI44" s="680"/>
      <c r="BJ44" s="680"/>
      <c r="BK44" s="680"/>
      <c r="BL44" s="680"/>
      <c r="BM44" s="680"/>
      <c r="BN44" s="680"/>
    </row>
    <row r="45" spans="1:66" ht="12.95" customHeight="1">
      <c r="A45" s="722" t="s">
        <v>204</v>
      </c>
      <c r="B45" s="723" t="s">
        <v>135</v>
      </c>
      <c r="C45" s="752" t="s">
        <v>53</v>
      </c>
      <c r="D45" s="737" t="s">
        <v>53</v>
      </c>
      <c r="E45" s="738" t="s">
        <v>142</v>
      </c>
      <c r="F45" s="739">
        <v>180.46020000000001</v>
      </c>
      <c r="G45" s="739">
        <v>270.73799999999994</v>
      </c>
      <c r="H45" s="739">
        <v>508.34699999999998</v>
      </c>
      <c r="I45" s="740">
        <f t="shared" si="26"/>
        <v>0.87763446579349813</v>
      </c>
      <c r="J45" s="739">
        <v>351.642</v>
      </c>
      <c r="K45" s="757">
        <f>J45/9*1</f>
        <v>39.071333333333335</v>
      </c>
      <c r="L45" s="739">
        <f t="shared" si="27"/>
        <v>390.71333333333331</v>
      </c>
      <c r="M45" s="740">
        <f t="shared" si="28"/>
        <v>-0.23140427044256517</v>
      </c>
      <c r="N45" s="739">
        <v>400</v>
      </c>
      <c r="O45" s="740">
        <f t="shared" si="29"/>
        <v>2.376849181838353E-2</v>
      </c>
      <c r="P45" s="739">
        <v>154576.05267204341</v>
      </c>
      <c r="Q45" s="741"/>
      <c r="R45" s="742">
        <f t="shared" si="10"/>
        <v>6.1830421068817358</v>
      </c>
      <c r="S45" s="742"/>
      <c r="T45" s="742"/>
      <c r="U45" s="743">
        <v>21</v>
      </c>
      <c r="V45" s="743">
        <v>40</v>
      </c>
      <c r="W45" s="743">
        <v>39</v>
      </c>
      <c r="X45" s="743">
        <v>43</v>
      </c>
      <c r="Y45" s="743">
        <v>55</v>
      </c>
      <c r="Z45" s="743">
        <v>47</v>
      </c>
      <c r="AA45" s="743">
        <v>39</v>
      </c>
      <c r="AB45" s="743">
        <v>38</v>
      </c>
      <c r="AC45" s="743">
        <v>21</v>
      </c>
      <c r="AD45" s="744">
        <v>27</v>
      </c>
      <c r="AE45" s="744">
        <v>15</v>
      </c>
      <c r="AF45" s="745">
        <v>15</v>
      </c>
      <c r="AG45" s="733">
        <f t="shared" si="11"/>
        <v>0</v>
      </c>
      <c r="AH45" s="208">
        <f t="shared" si="12"/>
        <v>100</v>
      </c>
      <c r="AI45" s="208">
        <f t="shared" si="13"/>
        <v>145</v>
      </c>
      <c r="AJ45" s="208">
        <f t="shared" si="14"/>
        <v>98</v>
      </c>
      <c r="AK45" s="208">
        <f t="shared" si="15"/>
        <v>57</v>
      </c>
      <c r="AL45" s="208">
        <f t="shared" si="16"/>
        <v>400</v>
      </c>
      <c r="AM45" s="680"/>
      <c r="AN45" s="746">
        <f t="shared" ref="AN45:AS101" si="31">U45*$P45/10^7</f>
        <v>0.32460971061129118</v>
      </c>
      <c r="AO45" s="746">
        <f t="shared" si="31"/>
        <v>0.61830421068817365</v>
      </c>
      <c r="AP45" s="746">
        <f t="shared" si="31"/>
        <v>0.60284660542096935</v>
      </c>
      <c r="AQ45" s="746">
        <f t="shared" si="30"/>
        <v>0.66467702648978666</v>
      </c>
      <c r="AR45" s="746">
        <f t="shared" si="30"/>
        <v>0.8501682896962387</v>
      </c>
      <c r="AS45" s="746">
        <f t="shared" si="30"/>
        <v>0.72650744755860408</v>
      </c>
      <c r="AT45" s="746">
        <f t="shared" si="30"/>
        <v>0.60284660542096935</v>
      </c>
      <c r="AU45" s="746">
        <f t="shared" si="30"/>
        <v>0.58738900015376494</v>
      </c>
      <c r="AV45" s="746">
        <f t="shared" si="30"/>
        <v>0.32460971061129118</v>
      </c>
      <c r="AW45" s="746">
        <f t="shared" si="30"/>
        <v>0.4173553422145172</v>
      </c>
      <c r="AX45" s="746">
        <f t="shared" si="30"/>
        <v>0.2318640790080651</v>
      </c>
      <c r="AY45" s="746">
        <f t="shared" si="30"/>
        <v>0.2318640790080651</v>
      </c>
      <c r="AZ45" s="733">
        <f t="shared" si="17"/>
        <v>0</v>
      </c>
      <c r="BA45" s="636">
        <f t="shared" si="18"/>
        <v>1.5457605267204342</v>
      </c>
      <c r="BB45" s="636">
        <f t="shared" si="19"/>
        <v>2.2413527637446293</v>
      </c>
      <c r="BC45" s="636">
        <f t="shared" si="20"/>
        <v>1.5148453161860256</v>
      </c>
      <c r="BD45" s="636">
        <f t="shared" si="21"/>
        <v>0.88108350023064741</v>
      </c>
      <c r="BE45" s="735">
        <f t="shared" si="22"/>
        <v>6.1830421068817367</v>
      </c>
      <c r="BF45" s="680"/>
      <c r="BG45" s="680"/>
      <c r="BH45" s="680"/>
      <c r="BI45" s="680"/>
      <c r="BJ45" s="680"/>
      <c r="BK45" s="680"/>
      <c r="BL45" s="680"/>
      <c r="BM45" s="680"/>
      <c r="BN45" s="680"/>
    </row>
    <row r="46" spans="1:66" ht="12.95" customHeight="1">
      <c r="A46" s="722" t="s">
        <v>205</v>
      </c>
      <c r="B46" s="723" t="s">
        <v>135</v>
      </c>
      <c r="C46" s="753" t="s">
        <v>53</v>
      </c>
      <c r="D46" s="747" t="s">
        <v>53</v>
      </c>
      <c r="E46" s="738" t="s">
        <v>182</v>
      </c>
      <c r="F46" s="739">
        <v>375.45975000000004</v>
      </c>
      <c r="G46" s="739">
        <v>81.486000000000004</v>
      </c>
      <c r="H46" s="739">
        <v>486.22500000000002</v>
      </c>
      <c r="I46" s="740">
        <f t="shared" si="26"/>
        <v>4.9669759222443117</v>
      </c>
      <c r="J46" s="739">
        <v>468.83599999999996</v>
      </c>
      <c r="K46" s="757">
        <f>J46/9*1.3</f>
        <v>67.720755555555556</v>
      </c>
      <c r="L46" s="739">
        <f t="shared" si="27"/>
        <v>536.55675555555547</v>
      </c>
      <c r="M46" s="740">
        <f t="shared" si="28"/>
        <v>0.10351535925868774</v>
      </c>
      <c r="N46" s="739">
        <v>545</v>
      </c>
      <c r="O46" s="740">
        <f t="shared" si="29"/>
        <v>1.5735976403283419E-2</v>
      </c>
      <c r="P46" s="739">
        <v>125046.9221312708</v>
      </c>
      <c r="Q46" s="741"/>
      <c r="R46" s="742">
        <f t="shared" si="10"/>
        <v>6.8150572561542582</v>
      </c>
      <c r="S46" s="742"/>
      <c r="T46" s="742"/>
      <c r="U46" s="743">
        <v>28</v>
      </c>
      <c r="V46" s="743">
        <v>53</v>
      </c>
      <c r="W46" s="743">
        <v>53</v>
      </c>
      <c r="X46" s="743">
        <v>51</v>
      </c>
      <c r="Y46" s="743">
        <v>69</v>
      </c>
      <c r="Z46" s="743">
        <v>77</v>
      </c>
      <c r="AA46" s="743">
        <v>57</v>
      </c>
      <c r="AB46" s="743">
        <v>41</v>
      </c>
      <c r="AC46" s="743">
        <v>25</v>
      </c>
      <c r="AD46" s="744">
        <v>34</v>
      </c>
      <c r="AE46" s="744">
        <v>27</v>
      </c>
      <c r="AF46" s="745">
        <v>30</v>
      </c>
      <c r="AG46" s="733">
        <f t="shared" si="11"/>
        <v>0</v>
      </c>
      <c r="AH46" s="208">
        <f t="shared" si="12"/>
        <v>134</v>
      </c>
      <c r="AI46" s="208">
        <f t="shared" si="13"/>
        <v>197</v>
      </c>
      <c r="AJ46" s="208">
        <f t="shared" si="14"/>
        <v>123</v>
      </c>
      <c r="AK46" s="208">
        <f t="shared" si="15"/>
        <v>91</v>
      </c>
      <c r="AL46" s="208">
        <f t="shared" si="16"/>
        <v>545</v>
      </c>
      <c r="AM46" s="680"/>
      <c r="AN46" s="746">
        <f t="shared" si="31"/>
        <v>0.35013138196755822</v>
      </c>
      <c r="AO46" s="746">
        <f t="shared" si="31"/>
        <v>0.66274868729573522</v>
      </c>
      <c r="AP46" s="746">
        <f t="shared" si="31"/>
        <v>0.66274868729573522</v>
      </c>
      <c r="AQ46" s="746">
        <f t="shared" si="30"/>
        <v>0.637739302869481</v>
      </c>
      <c r="AR46" s="746">
        <f t="shared" si="30"/>
        <v>0.86282376270576844</v>
      </c>
      <c r="AS46" s="746">
        <f t="shared" si="30"/>
        <v>0.9628613004107851</v>
      </c>
      <c r="AT46" s="746">
        <f t="shared" si="30"/>
        <v>0.71276745614824355</v>
      </c>
      <c r="AU46" s="746">
        <f t="shared" si="30"/>
        <v>0.51269238073821033</v>
      </c>
      <c r="AV46" s="746">
        <f t="shared" si="30"/>
        <v>0.312617305328177</v>
      </c>
      <c r="AW46" s="746">
        <f t="shared" si="30"/>
        <v>0.42515953524632072</v>
      </c>
      <c r="AX46" s="746">
        <f t="shared" si="30"/>
        <v>0.33762668975443111</v>
      </c>
      <c r="AY46" s="746">
        <f t="shared" si="30"/>
        <v>0.37514076639381239</v>
      </c>
      <c r="AZ46" s="733">
        <f t="shared" si="17"/>
        <v>0</v>
      </c>
      <c r="BA46" s="636">
        <f t="shared" si="18"/>
        <v>1.6756287565590284</v>
      </c>
      <c r="BB46" s="636">
        <f t="shared" si="19"/>
        <v>2.4634243659860342</v>
      </c>
      <c r="BC46" s="636">
        <f t="shared" si="20"/>
        <v>1.5380771422146307</v>
      </c>
      <c r="BD46" s="636">
        <f t="shared" si="21"/>
        <v>1.1379269913945642</v>
      </c>
      <c r="BE46" s="735">
        <f t="shared" si="22"/>
        <v>6.8150572561542573</v>
      </c>
      <c r="BF46" s="680"/>
      <c r="BG46" s="680"/>
      <c r="BH46" s="680"/>
      <c r="BI46" s="680"/>
      <c r="BJ46" s="680"/>
      <c r="BK46" s="680"/>
      <c r="BL46" s="680"/>
      <c r="BM46" s="680"/>
      <c r="BN46" s="680"/>
    </row>
    <row r="47" spans="1:66" ht="12.95" customHeight="1">
      <c r="A47" s="722" t="s">
        <v>199</v>
      </c>
      <c r="B47" s="723" t="s">
        <v>135</v>
      </c>
      <c r="C47" s="754" t="s">
        <v>200</v>
      </c>
      <c r="D47" s="749" t="s">
        <v>411</v>
      </c>
      <c r="E47" s="738" t="s">
        <v>142</v>
      </c>
      <c r="F47" s="739">
        <v>178.614</v>
      </c>
      <c r="G47" s="739">
        <v>208.44</v>
      </c>
      <c r="H47" s="739">
        <v>298.56600000000003</v>
      </c>
      <c r="I47" s="740">
        <f t="shared" si="26"/>
        <v>0.43238341968911931</v>
      </c>
      <c r="J47" s="739">
        <v>153.99</v>
      </c>
      <c r="K47" s="686"/>
      <c r="L47" s="739">
        <f t="shared" si="27"/>
        <v>153.99</v>
      </c>
      <c r="M47" s="740">
        <f t="shared" si="28"/>
        <v>-0.48423464158678486</v>
      </c>
      <c r="N47" s="739">
        <v>210</v>
      </c>
      <c r="O47" s="740">
        <f t="shared" si="29"/>
        <v>0.36372491720241568</v>
      </c>
      <c r="P47" s="739">
        <v>120406.40153347186</v>
      </c>
      <c r="Q47" s="741"/>
      <c r="R47" s="742">
        <f t="shared" si="10"/>
        <v>2.5285344322029091</v>
      </c>
      <c r="S47" s="742"/>
      <c r="T47" s="742"/>
      <c r="U47" s="743">
        <v>30</v>
      </c>
      <c r="V47" s="743"/>
      <c r="W47" s="743"/>
      <c r="X47" s="743">
        <v>30</v>
      </c>
      <c r="Y47" s="743"/>
      <c r="Z47" s="743">
        <v>30</v>
      </c>
      <c r="AA47" s="743"/>
      <c r="AB47" s="743">
        <v>30</v>
      </c>
      <c r="AC47" s="743">
        <v>30</v>
      </c>
      <c r="AD47" s="743">
        <v>30</v>
      </c>
      <c r="AE47" s="743">
        <v>30</v>
      </c>
      <c r="AF47" s="745"/>
      <c r="AG47" s="733">
        <f t="shared" si="11"/>
        <v>0</v>
      </c>
      <c r="AH47" s="208">
        <f t="shared" si="12"/>
        <v>30</v>
      </c>
      <c r="AI47" s="208">
        <f t="shared" si="13"/>
        <v>60</v>
      </c>
      <c r="AJ47" s="208">
        <f t="shared" si="14"/>
        <v>60</v>
      </c>
      <c r="AK47" s="208">
        <f t="shared" si="15"/>
        <v>60</v>
      </c>
      <c r="AL47" s="208">
        <f t="shared" si="16"/>
        <v>210</v>
      </c>
      <c r="AM47" s="680"/>
      <c r="AN47" s="746">
        <f t="shared" si="31"/>
        <v>0.36121920460041557</v>
      </c>
      <c r="AO47" s="746">
        <f t="shared" si="31"/>
        <v>0</v>
      </c>
      <c r="AP47" s="746">
        <f t="shared" si="31"/>
        <v>0</v>
      </c>
      <c r="AQ47" s="746">
        <f t="shared" si="30"/>
        <v>0.36121920460041557</v>
      </c>
      <c r="AR47" s="746">
        <f t="shared" si="30"/>
        <v>0</v>
      </c>
      <c r="AS47" s="746">
        <f t="shared" si="30"/>
        <v>0.36121920460041557</v>
      </c>
      <c r="AT47" s="746">
        <f t="shared" si="30"/>
        <v>0</v>
      </c>
      <c r="AU47" s="746">
        <f t="shared" si="30"/>
        <v>0.36121920460041557</v>
      </c>
      <c r="AV47" s="746">
        <f t="shared" si="30"/>
        <v>0.36121920460041557</v>
      </c>
      <c r="AW47" s="746">
        <f t="shared" si="30"/>
        <v>0.36121920460041557</v>
      </c>
      <c r="AX47" s="746">
        <f t="shared" si="30"/>
        <v>0.36121920460041557</v>
      </c>
      <c r="AY47" s="746">
        <f t="shared" si="30"/>
        <v>0</v>
      </c>
      <c r="AZ47" s="733">
        <f t="shared" si="17"/>
        <v>0</v>
      </c>
      <c r="BA47" s="636">
        <f t="shared" si="18"/>
        <v>0.36121920460041557</v>
      </c>
      <c r="BB47" s="636">
        <f t="shared" si="19"/>
        <v>0.72243840920083113</v>
      </c>
      <c r="BC47" s="636">
        <f t="shared" si="20"/>
        <v>0.72243840920083113</v>
      </c>
      <c r="BD47" s="636">
        <f t="shared" si="21"/>
        <v>0.72243840920083113</v>
      </c>
      <c r="BE47" s="735">
        <f t="shared" si="22"/>
        <v>2.5285344322029091</v>
      </c>
      <c r="BF47" s="680"/>
      <c r="BG47" s="680"/>
      <c r="BH47" s="680"/>
      <c r="BI47" s="680"/>
      <c r="BJ47" s="680"/>
      <c r="BK47" s="680"/>
      <c r="BL47" s="680"/>
      <c r="BM47" s="680"/>
      <c r="BN47" s="680"/>
    </row>
    <row r="48" spans="1:66" ht="24">
      <c r="A48" s="722"/>
      <c r="B48" s="723" t="s">
        <v>135</v>
      </c>
      <c r="C48" s="750" t="s">
        <v>412</v>
      </c>
      <c r="D48" s="748" t="s">
        <v>413</v>
      </c>
      <c r="E48" s="738" t="s">
        <v>144</v>
      </c>
      <c r="F48" s="739"/>
      <c r="G48" s="739">
        <v>0</v>
      </c>
      <c r="H48" s="739">
        <v>0</v>
      </c>
      <c r="I48" s="740">
        <f t="shared" si="26"/>
        <v>0</v>
      </c>
      <c r="J48" s="739">
        <v>0</v>
      </c>
      <c r="K48" s="686"/>
      <c r="L48" s="739">
        <f t="shared" si="27"/>
        <v>0</v>
      </c>
      <c r="M48" s="740">
        <f t="shared" si="28"/>
        <v>0</v>
      </c>
      <c r="N48" s="739">
        <v>0</v>
      </c>
      <c r="O48" s="740">
        <f t="shared" si="29"/>
        <v>0</v>
      </c>
      <c r="P48" s="739">
        <v>0</v>
      </c>
      <c r="Q48" s="741"/>
      <c r="R48" s="742">
        <f t="shared" si="10"/>
        <v>0</v>
      </c>
      <c r="S48" s="742"/>
      <c r="T48" s="742"/>
      <c r="U48" s="743"/>
      <c r="V48" s="743"/>
      <c r="W48" s="743"/>
      <c r="X48" s="743"/>
      <c r="Y48" s="743"/>
      <c r="Z48" s="743"/>
      <c r="AA48" s="743"/>
      <c r="AB48" s="743"/>
      <c r="AC48" s="743"/>
      <c r="AD48" s="744"/>
      <c r="AE48" s="744"/>
      <c r="AF48" s="745"/>
      <c r="AG48" s="733">
        <f t="shared" si="11"/>
        <v>0</v>
      </c>
      <c r="AH48" s="208">
        <f t="shared" si="12"/>
        <v>0</v>
      </c>
      <c r="AI48" s="208">
        <f t="shared" si="13"/>
        <v>0</v>
      </c>
      <c r="AJ48" s="208">
        <f t="shared" si="14"/>
        <v>0</v>
      </c>
      <c r="AK48" s="208">
        <f t="shared" si="15"/>
        <v>0</v>
      </c>
      <c r="AL48" s="208">
        <f t="shared" si="16"/>
        <v>0</v>
      </c>
      <c r="AM48" s="680"/>
      <c r="AN48" s="746">
        <f t="shared" si="31"/>
        <v>0</v>
      </c>
      <c r="AO48" s="746">
        <f t="shared" si="31"/>
        <v>0</v>
      </c>
      <c r="AP48" s="746">
        <f t="shared" si="31"/>
        <v>0</v>
      </c>
      <c r="AQ48" s="746">
        <f t="shared" si="30"/>
        <v>0</v>
      </c>
      <c r="AR48" s="746">
        <f t="shared" si="30"/>
        <v>0</v>
      </c>
      <c r="AS48" s="746">
        <f t="shared" si="30"/>
        <v>0</v>
      </c>
      <c r="AT48" s="746">
        <f t="shared" si="30"/>
        <v>0</v>
      </c>
      <c r="AU48" s="746">
        <f t="shared" si="30"/>
        <v>0</v>
      </c>
      <c r="AV48" s="746">
        <f t="shared" si="30"/>
        <v>0</v>
      </c>
      <c r="AW48" s="746">
        <f t="shared" si="30"/>
        <v>0</v>
      </c>
      <c r="AX48" s="746">
        <f t="shared" si="30"/>
        <v>0</v>
      </c>
      <c r="AY48" s="746">
        <f t="shared" si="30"/>
        <v>0</v>
      </c>
      <c r="AZ48" s="733">
        <f t="shared" si="17"/>
        <v>0</v>
      </c>
      <c r="BA48" s="636">
        <f t="shared" si="18"/>
        <v>0</v>
      </c>
      <c r="BB48" s="636">
        <f t="shared" si="19"/>
        <v>0</v>
      </c>
      <c r="BC48" s="636">
        <f t="shared" si="20"/>
        <v>0</v>
      </c>
      <c r="BD48" s="636">
        <f t="shared" si="21"/>
        <v>0</v>
      </c>
      <c r="BE48" s="735">
        <f t="shared" si="22"/>
        <v>0</v>
      </c>
      <c r="BF48" s="680"/>
      <c r="BG48" s="680"/>
      <c r="BH48" s="680"/>
      <c r="BI48" s="680"/>
      <c r="BJ48" s="680"/>
      <c r="BK48" s="680"/>
      <c r="BL48" s="680"/>
      <c r="BM48" s="680"/>
      <c r="BN48" s="680"/>
    </row>
    <row r="49" spans="1:66" ht="24">
      <c r="A49" s="722"/>
      <c r="B49" s="723" t="s">
        <v>135</v>
      </c>
      <c r="C49" s="753" t="s">
        <v>412</v>
      </c>
      <c r="D49" s="747" t="s">
        <v>413</v>
      </c>
      <c r="E49" s="738" t="s">
        <v>182</v>
      </c>
      <c r="F49" s="739"/>
      <c r="G49" s="739">
        <v>0</v>
      </c>
      <c r="H49" s="739">
        <v>0</v>
      </c>
      <c r="I49" s="740">
        <f t="shared" si="26"/>
        <v>0</v>
      </c>
      <c r="J49" s="739">
        <v>0</v>
      </c>
      <c r="K49" s="686"/>
      <c r="L49" s="739">
        <f t="shared" si="27"/>
        <v>0</v>
      </c>
      <c r="M49" s="740">
        <f t="shared" si="28"/>
        <v>0</v>
      </c>
      <c r="N49" s="739">
        <v>0</v>
      </c>
      <c r="O49" s="740">
        <f t="shared" si="29"/>
        <v>0</v>
      </c>
      <c r="P49" s="739">
        <v>0</v>
      </c>
      <c r="Q49" s="741"/>
      <c r="R49" s="742">
        <f t="shared" si="10"/>
        <v>0</v>
      </c>
      <c r="S49" s="742"/>
      <c r="T49" s="742"/>
      <c r="U49" s="743"/>
      <c r="V49" s="743"/>
      <c r="W49" s="743"/>
      <c r="X49" s="743"/>
      <c r="Y49" s="743"/>
      <c r="Z49" s="743"/>
      <c r="AA49" s="743"/>
      <c r="AB49" s="743"/>
      <c r="AC49" s="743"/>
      <c r="AD49" s="744"/>
      <c r="AE49" s="744"/>
      <c r="AF49" s="745"/>
      <c r="AG49" s="733">
        <f t="shared" si="11"/>
        <v>0</v>
      </c>
      <c r="AH49" s="208">
        <f t="shared" si="12"/>
        <v>0</v>
      </c>
      <c r="AI49" s="208">
        <f t="shared" si="13"/>
        <v>0</v>
      </c>
      <c r="AJ49" s="208">
        <f t="shared" si="14"/>
        <v>0</v>
      </c>
      <c r="AK49" s="208">
        <f t="shared" si="15"/>
        <v>0</v>
      </c>
      <c r="AL49" s="208">
        <f t="shared" si="16"/>
        <v>0</v>
      </c>
      <c r="AM49" s="680"/>
      <c r="AN49" s="746">
        <f t="shared" si="31"/>
        <v>0</v>
      </c>
      <c r="AO49" s="746">
        <f t="shared" si="31"/>
        <v>0</v>
      </c>
      <c r="AP49" s="746">
        <f t="shared" si="31"/>
        <v>0</v>
      </c>
      <c r="AQ49" s="746">
        <f t="shared" si="30"/>
        <v>0</v>
      </c>
      <c r="AR49" s="746">
        <f t="shared" si="30"/>
        <v>0</v>
      </c>
      <c r="AS49" s="746">
        <f t="shared" si="30"/>
        <v>0</v>
      </c>
      <c r="AT49" s="746">
        <f t="shared" si="30"/>
        <v>0</v>
      </c>
      <c r="AU49" s="746">
        <f t="shared" si="30"/>
        <v>0</v>
      </c>
      <c r="AV49" s="746">
        <f t="shared" si="30"/>
        <v>0</v>
      </c>
      <c r="AW49" s="746">
        <f t="shared" si="30"/>
        <v>0</v>
      </c>
      <c r="AX49" s="746">
        <f t="shared" si="30"/>
        <v>0</v>
      </c>
      <c r="AY49" s="746">
        <f t="shared" si="30"/>
        <v>0</v>
      </c>
      <c r="AZ49" s="733">
        <f t="shared" si="17"/>
        <v>0</v>
      </c>
      <c r="BA49" s="636">
        <f t="shared" si="18"/>
        <v>0</v>
      </c>
      <c r="BB49" s="636">
        <f t="shared" si="19"/>
        <v>0</v>
      </c>
      <c r="BC49" s="636">
        <f t="shared" si="20"/>
        <v>0</v>
      </c>
      <c r="BD49" s="636">
        <f t="shared" si="21"/>
        <v>0</v>
      </c>
      <c r="BE49" s="735">
        <f t="shared" si="22"/>
        <v>0</v>
      </c>
      <c r="BF49" s="680"/>
      <c r="BG49" s="680"/>
      <c r="BH49" s="680"/>
      <c r="BI49" s="680"/>
      <c r="BJ49" s="680"/>
      <c r="BK49" s="680"/>
      <c r="BL49" s="680"/>
      <c r="BM49" s="680"/>
      <c r="BN49" s="680"/>
    </row>
    <row r="50" spans="1:66" ht="12.75">
      <c r="A50" s="722" t="s">
        <v>254</v>
      </c>
      <c r="B50" s="723" t="s">
        <v>135</v>
      </c>
      <c r="C50" s="750" t="s">
        <v>255</v>
      </c>
      <c r="D50" s="748" t="s">
        <v>414</v>
      </c>
      <c r="E50" s="738" t="s">
        <v>142</v>
      </c>
      <c r="F50" s="739">
        <v>4.4928000000000008</v>
      </c>
      <c r="G50" s="739">
        <v>0</v>
      </c>
      <c r="H50" s="739">
        <v>0</v>
      </c>
      <c r="I50" s="740">
        <f t="shared" si="26"/>
        <v>0</v>
      </c>
      <c r="J50" s="739">
        <v>0</v>
      </c>
      <c r="K50" s="686"/>
      <c r="L50" s="739">
        <f t="shared" si="27"/>
        <v>0</v>
      </c>
      <c r="M50" s="740">
        <f t="shared" si="28"/>
        <v>0</v>
      </c>
      <c r="N50" s="739">
        <v>0</v>
      </c>
      <c r="O50" s="740">
        <f t="shared" si="29"/>
        <v>0</v>
      </c>
      <c r="P50" s="739">
        <v>0</v>
      </c>
      <c r="Q50" s="741"/>
      <c r="R50" s="742">
        <f t="shared" si="10"/>
        <v>0</v>
      </c>
      <c r="S50" s="742"/>
      <c r="T50" s="742"/>
      <c r="U50" s="743"/>
      <c r="V50" s="743"/>
      <c r="W50" s="743"/>
      <c r="X50" s="743"/>
      <c r="Y50" s="743"/>
      <c r="Z50" s="743"/>
      <c r="AA50" s="743"/>
      <c r="AB50" s="743"/>
      <c r="AC50" s="743"/>
      <c r="AD50" s="744"/>
      <c r="AE50" s="744"/>
      <c r="AF50" s="745"/>
      <c r="AG50" s="733">
        <f t="shared" si="11"/>
        <v>0</v>
      </c>
      <c r="AH50" s="208">
        <f t="shared" si="12"/>
        <v>0</v>
      </c>
      <c r="AI50" s="208">
        <f t="shared" si="13"/>
        <v>0</v>
      </c>
      <c r="AJ50" s="208">
        <f t="shared" si="14"/>
        <v>0</v>
      </c>
      <c r="AK50" s="208">
        <f t="shared" si="15"/>
        <v>0</v>
      </c>
      <c r="AL50" s="208">
        <f t="shared" si="16"/>
        <v>0</v>
      </c>
      <c r="AM50" s="680"/>
      <c r="AN50" s="746">
        <f t="shared" si="31"/>
        <v>0</v>
      </c>
      <c r="AO50" s="746">
        <f t="shared" si="31"/>
        <v>0</v>
      </c>
      <c r="AP50" s="746">
        <f t="shared" si="31"/>
        <v>0</v>
      </c>
      <c r="AQ50" s="746">
        <f t="shared" si="30"/>
        <v>0</v>
      </c>
      <c r="AR50" s="746">
        <f t="shared" si="30"/>
        <v>0</v>
      </c>
      <c r="AS50" s="746">
        <f t="shared" si="30"/>
        <v>0</v>
      </c>
      <c r="AT50" s="746">
        <f t="shared" si="30"/>
        <v>0</v>
      </c>
      <c r="AU50" s="746">
        <f t="shared" si="30"/>
        <v>0</v>
      </c>
      <c r="AV50" s="746">
        <f t="shared" si="30"/>
        <v>0</v>
      </c>
      <c r="AW50" s="746">
        <f t="shared" si="30"/>
        <v>0</v>
      </c>
      <c r="AX50" s="746">
        <f t="shared" si="30"/>
        <v>0</v>
      </c>
      <c r="AY50" s="746">
        <f t="shared" si="30"/>
        <v>0</v>
      </c>
      <c r="AZ50" s="733">
        <f t="shared" si="17"/>
        <v>0</v>
      </c>
      <c r="BA50" s="636">
        <f t="shared" si="18"/>
        <v>0</v>
      </c>
      <c r="BB50" s="636">
        <f t="shared" si="19"/>
        <v>0</v>
      </c>
      <c r="BC50" s="636">
        <f t="shared" si="20"/>
        <v>0</v>
      </c>
      <c r="BD50" s="636">
        <f t="shared" si="21"/>
        <v>0</v>
      </c>
      <c r="BE50" s="735">
        <f t="shared" si="22"/>
        <v>0</v>
      </c>
      <c r="BF50" s="680"/>
      <c r="BG50" s="680"/>
      <c r="BH50" s="680"/>
      <c r="BI50" s="680"/>
      <c r="BJ50" s="680"/>
      <c r="BK50" s="680"/>
      <c r="BL50" s="680"/>
      <c r="BM50" s="680"/>
      <c r="BN50" s="680"/>
    </row>
    <row r="51" spans="1:66" ht="12.75">
      <c r="A51" s="722" t="s">
        <v>257</v>
      </c>
      <c r="B51" s="723" t="s">
        <v>135</v>
      </c>
      <c r="C51" s="753" t="s">
        <v>255</v>
      </c>
      <c r="D51" s="747" t="s">
        <v>414</v>
      </c>
      <c r="E51" s="738" t="s">
        <v>182</v>
      </c>
      <c r="F51" s="739">
        <v>0</v>
      </c>
      <c r="G51" s="739">
        <v>0</v>
      </c>
      <c r="H51" s="739">
        <v>0</v>
      </c>
      <c r="I51" s="740">
        <f t="shared" si="26"/>
        <v>0</v>
      </c>
      <c r="J51" s="739">
        <v>0</v>
      </c>
      <c r="K51" s="686"/>
      <c r="L51" s="739">
        <f t="shared" si="27"/>
        <v>0</v>
      </c>
      <c r="M51" s="740">
        <f t="shared" si="28"/>
        <v>0</v>
      </c>
      <c r="N51" s="739">
        <v>0</v>
      </c>
      <c r="O51" s="740">
        <f t="shared" si="29"/>
        <v>0</v>
      </c>
      <c r="P51" s="739">
        <v>0</v>
      </c>
      <c r="Q51" s="741"/>
      <c r="R51" s="742">
        <f t="shared" si="10"/>
        <v>0</v>
      </c>
      <c r="S51" s="742"/>
      <c r="T51" s="742"/>
      <c r="U51" s="743"/>
      <c r="V51" s="743"/>
      <c r="W51" s="743"/>
      <c r="X51" s="743"/>
      <c r="Y51" s="743"/>
      <c r="Z51" s="743"/>
      <c r="AA51" s="743"/>
      <c r="AB51" s="743"/>
      <c r="AC51" s="743"/>
      <c r="AD51" s="744"/>
      <c r="AE51" s="744"/>
      <c r="AF51" s="745"/>
      <c r="AG51" s="733">
        <f t="shared" si="11"/>
        <v>0</v>
      </c>
      <c r="AH51" s="208">
        <f t="shared" si="12"/>
        <v>0</v>
      </c>
      <c r="AI51" s="208">
        <f t="shared" si="13"/>
        <v>0</v>
      </c>
      <c r="AJ51" s="208">
        <f t="shared" si="14"/>
        <v>0</v>
      </c>
      <c r="AK51" s="208">
        <f t="shared" si="15"/>
        <v>0</v>
      </c>
      <c r="AL51" s="208">
        <f t="shared" si="16"/>
        <v>0</v>
      </c>
      <c r="AM51" s="680"/>
      <c r="AN51" s="746">
        <f t="shared" si="31"/>
        <v>0</v>
      </c>
      <c r="AO51" s="746">
        <f t="shared" si="31"/>
        <v>0</v>
      </c>
      <c r="AP51" s="746">
        <f t="shared" si="31"/>
        <v>0</v>
      </c>
      <c r="AQ51" s="746">
        <f t="shared" si="30"/>
        <v>0</v>
      </c>
      <c r="AR51" s="746">
        <f t="shared" si="30"/>
        <v>0</v>
      </c>
      <c r="AS51" s="746">
        <f t="shared" si="30"/>
        <v>0</v>
      </c>
      <c r="AT51" s="746">
        <f t="shared" si="30"/>
        <v>0</v>
      </c>
      <c r="AU51" s="746">
        <f t="shared" si="30"/>
        <v>0</v>
      </c>
      <c r="AV51" s="746">
        <f t="shared" si="30"/>
        <v>0</v>
      </c>
      <c r="AW51" s="746">
        <f t="shared" si="30"/>
        <v>0</v>
      </c>
      <c r="AX51" s="746">
        <f t="shared" si="30"/>
        <v>0</v>
      </c>
      <c r="AY51" s="746">
        <f t="shared" si="30"/>
        <v>0</v>
      </c>
      <c r="AZ51" s="733">
        <f t="shared" si="17"/>
        <v>0</v>
      </c>
      <c r="BA51" s="636">
        <f t="shared" si="18"/>
        <v>0</v>
      </c>
      <c r="BB51" s="636">
        <f t="shared" si="19"/>
        <v>0</v>
      </c>
      <c r="BC51" s="636">
        <f t="shared" si="20"/>
        <v>0</v>
      </c>
      <c r="BD51" s="636">
        <f t="shared" si="21"/>
        <v>0</v>
      </c>
      <c r="BE51" s="735">
        <f t="shared" si="22"/>
        <v>0</v>
      </c>
      <c r="BF51" s="680"/>
      <c r="BG51" s="680"/>
      <c r="BH51" s="680"/>
      <c r="BI51" s="680"/>
      <c r="BJ51" s="680"/>
      <c r="BK51" s="680"/>
      <c r="BL51" s="680"/>
      <c r="BM51" s="680"/>
      <c r="BN51" s="680"/>
    </row>
    <row r="52" spans="1:66" ht="12.75">
      <c r="A52" s="758" t="s">
        <v>244</v>
      </c>
      <c r="B52" s="723" t="s">
        <v>135</v>
      </c>
      <c r="C52" s="754" t="s">
        <v>242</v>
      </c>
      <c r="D52" s="749" t="s">
        <v>415</v>
      </c>
      <c r="E52" s="738" t="s">
        <v>142</v>
      </c>
      <c r="F52" s="739">
        <v>0</v>
      </c>
      <c r="G52" s="739">
        <v>0</v>
      </c>
      <c r="H52" s="739">
        <v>0</v>
      </c>
      <c r="I52" s="740">
        <f t="shared" si="26"/>
        <v>0</v>
      </c>
      <c r="J52" s="739">
        <v>0</v>
      </c>
      <c r="K52" s="686"/>
      <c r="L52" s="739">
        <f t="shared" si="27"/>
        <v>0</v>
      </c>
      <c r="M52" s="740">
        <f t="shared" si="28"/>
        <v>0</v>
      </c>
      <c r="N52" s="739">
        <v>0</v>
      </c>
      <c r="O52" s="740">
        <f t="shared" si="29"/>
        <v>0</v>
      </c>
      <c r="P52" s="739">
        <v>0</v>
      </c>
      <c r="Q52" s="741"/>
      <c r="R52" s="742">
        <f t="shared" si="10"/>
        <v>0</v>
      </c>
      <c r="S52" s="742"/>
      <c r="T52" s="742"/>
      <c r="U52" s="743"/>
      <c r="V52" s="743"/>
      <c r="W52" s="743"/>
      <c r="X52" s="743"/>
      <c r="Y52" s="743"/>
      <c r="Z52" s="743"/>
      <c r="AA52" s="743"/>
      <c r="AB52" s="743"/>
      <c r="AC52" s="743"/>
      <c r="AD52" s="744"/>
      <c r="AE52" s="744"/>
      <c r="AF52" s="745"/>
      <c r="AG52" s="733">
        <f t="shared" si="11"/>
        <v>0</v>
      </c>
      <c r="AH52" s="208">
        <f t="shared" si="12"/>
        <v>0</v>
      </c>
      <c r="AI52" s="208">
        <f t="shared" si="13"/>
        <v>0</v>
      </c>
      <c r="AJ52" s="208">
        <f t="shared" si="14"/>
        <v>0</v>
      </c>
      <c r="AK52" s="208">
        <f t="shared" si="15"/>
        <v>0</v>
      </c>
      <c r="AL52" s="208">
        <f t="shared" si="16"/>
        <v>0</v>
      </c>
      <c r="AM52" s="680"/>
      <c r="AN52" s="746">
        <f t="shared" si="31"/>
        <v>0</v>
      </c>
      <c r="AO52" s="746">
        <f t="shared" si="31"/>
        <v>0</v>
      </c>
      <c r="AP52" s="746">
        <f t="shared" si="31"/>
        <v>0</v>
      </c>
      <c r="AQ52" s="746">
        <f t="shared" si="30"/>
        <v>0</v>
      </c>
      <c r="AR52" s="746">
        <f t="shared" si="30"/>
        <v>0</v>
      </c>
      <c r="AS52" s="746">
        <f t="shared" si="30"/>
        <v>0</v>
      </c>
      <c r="AT52" s="746">
        <f t="shared" si="30"/>
        <v>0</v>
      </c>
      <c r="AU52" s="746">
        <f t="shared" si="30"/>
        <v>0</v>
      </c>
      <c r="AV52" s="746">
        <f t="shared" si="30"/>
        <v>0</v>
      </c>
      <c r="AW52" s="746">
        <f t="shared" si="30"/>
        <v>0</v>
      </c>
      <c r="AX52" s="746">
        <f t="shared" si="30"/>
        <v>0</v>
      </c>
      <c r="AY52" s="746">
        <f t="shared" si="30"/>
        <v>0</v>
      </c>
      <c r="AZ52" s="733">
        <f t="shared" si="17"/>
        <v>0</v>
      </c>
      <c r="BA52" s="636">
        <f t="shared" si="18"/>
        <v>0</v>
      </c>
      <c r="BB52" s="636">
        <f t="shared" si="19"/>
        <v>0</v>
      </c>
      <c r="BC52" s="636">
        <f t="shared" si="20"/>
        <v>0</v>
      </c>
      <c r="BD52" s="636">
        <f t="shared" si="21"/>
        <v>0</v>
      </c>
      <c r="BE52" s="735">
        <f t="shared" si="22"/>
        <v>0</v>
      </c>
      <c r="BF52" s="680"/>
      <c r="BG52" s="680"/>
      <c r="BH52" s="680"/>
      <c r="BI52" s="680"/>
      <c r="BJ52" s="680"/>
      <c r="BK52" s="680"/>
      <c r="BL52" s="680"/>
      <c r="BM52" s="680"/>
      <c r="BN52" s="680"/>
    </row>
    <row r="53" spans="1:66" ht="12.75">
      <c r="A53" s="758" t="s">
        <v>241</v>
      </c>
      <c r="B53" s="723" t="s">
        <v>135</v>
      </c>
      <c r="C53" s="754" t="s">
        <v>242</v>
      </c>
      <c r="D53" s="749" t="s">
        <v>415</v>
      </c>
      <c r="E53" s="738" t="s">
        <v>182</v>
      </c>
      <c r="F53" s="739">
        <v>0</v>
      </c>
      <c r="G53" s="739">
        <v>0</v>
      </c>
      <c r="H53" s="739">
        <v>0</v>
      </c>
      <c r="I53" s="740">
        <f t="shared" si="26"/>
        <v>0</v>
      </c>
      <c r="J53" s="739">
        <v>0</v>
      </c>
      <c r="K53" s="686"/>
      <c r="L53" s="739">
        <f t="shared" si="27"/>
        <v>0</v>
      </c>
      <c r="M53" s="740">
        <f t="shared" si="28"/>
        <v>0</v>
      </c>
      <c r="N53" s="739"/>
      <c r="O53" s="740">
        <f t="shared" si="29"/>
        <v>0</v>
      </c>
      <c r="P53" s="739">
        <v>0</v>
      </c>
      <c r="Q53" s="741"/>
      <c r="R53" s="742">
        <f t="shared" si="10"/>
        <v>0</v>
      </c>
      <c r="S53" s="742"/>
      <c r="T53" s="742"/>
      <c r="U53" s="743"/>
      <c r="V53" s="743"/>
      <c r="W53" s="743"/>
      <c r="X53" s="743"/>
      <c r="Y53" s="743"/>
      <c r="Z53" s="743"/>
      <c r="AA53" s="743"/>
      <c r="AB53" s="743"/>
      <c r="AC53" s="743"/>
      <c r="AD53" s="744"/>
      <c r="AE53" s="744"/>
      <c r="AF53" s="745"/>
      <c r="AG53" s="733">
        <f t="shared" si="11"/>
        <v>0</v>
      </c>
      <c r="AH53" s="208">
        <f t="shared" si="12"/>
        <v>0</v>
      </c>
      <c r="AI53" s="208">
        <f t="shared" si="13"/>
        <v>0</v>
      </c>
      <c r="AJ53" s="208">
        <f t="shared" si="14"/>
        <v>0</v>
      </c>
      <c r="AK53" s="208">
        <f t="shared" si="15"/>
        <v>0</v>
      </c>
      <c r="AL53" s="208">
        <f t="shared" si="16"/>
        <v>0</v>
      </c>
      <c r="AM53" s="680"/>
      <c r="AN53" s="746">
        <f t="shared" si="31"/>
        <v>0</v>
      </c>
      <c r="AO53" s="746">
        <f t="shared" si="31"/>
        <v>0</v>
      </c>
      <c r="AP53" s="746">
        <f t="shared" si="31"/>
        <v>0</v>
      </c>
      <c r="AQ53" s="746">
        <f t="shared" si="30"/>
        <v>0</v>
      </c>
      <c r="AR53" s="746">
        <f t="shared" si="30"/>
        <v>0</v>
      </c>
      <c r="AS53" s="746">
        <f t="shared" si="30"/>
        <v>0</v>
      </c>
      <c r="AT53" s="746">
        <f t="shared" si="30"/>
        <v>0</v>
      </c>
      <c r="AU53" s="746">
        <f t="shared" si="30"/>
        <v>0</v>
      </c>
      <c r="AV53" s="746">
        <f t="shared" si="30"/>
        <v>0</v>
      </c>
      <c r="AW53" s="746">
        <f t="shared" si="30"/>
        <v>0</v>
      </c>
      <c r="AX53" s="746">
        <f t="shared" si="30"/>
        <v>0</v>
      </c>
      <c r="AY53" s="746">
        <f t="shared" si="30"/>
        <v>0</v>
      </c>
      <c r="AZ53" s="733">
        <f t="shared" si="17"/>
        <v>0</v>
      </c>
      <c r="BA53" s="636">
        <f t="shared" si="18"/>
        <v>0</v>
      </c>
      <c r="BB53" s="636">
        <f t="shared" si="19"/>
        <v>0</v>
      </c>
      <c r="BC53" s="636">
        <f t="shared" si="20"/>
        <v>0</v>
      </c>
      <c r="BD53" s="636">
        <f t="shared" si="21"/>
        <v>0</v>
      </c>
      <c r="BE53" s="735">
        <f t="shared" si="22"/>
        <v>0</v>
      </c>
      <c r="BF53" s="680"/>
      <c r="BG53" s="680"/>
      <c r="BH53" s="680"/>
      <c r="BI53" s="680"/>
      <c r="BJ53" s="680"/>
      <c r="BK53" s="680"/>
      <c r="BL53" s="680"/>
      <c r="BM53" s="680"/>
      <c r="BN53" s="680"/>
    </row>
    <row r="54" spans="1:66" ht="12.75">
      <c r="A54" s="758" t="s">
        <v>231</v>
      </c>
      <c r="B54" s="723" t="s">
        <v>135</v>
      </c>
      <c r="C54" s="759" t="s">
        <v>416</v>
      </c>
      <c r="D54" s="751" t="s">
        <v>417</v>
      </c>
      <c r="E54" s="738" t="s">
        <v>144</v>
      </c>
      <c r="F54" s="739">
        <v>234.66080000000005</v>
      </c>
      <c r="G54" s="739">
        <v>425.64300000000003</v>
      </c>
      <c r="H54" s="739">
        <v>310.428</v>
      </c>
      <c r="I54" s="740">
        <f t="shared" si="26"/>
        <v>-0.27068458778835791</v>
      </c>
      <c r="J54" s="739">
        <v>145.499</v>
      </c>
      <c r="K54" s="757">
        <f>J54/8*3</f>
        <v>54.562124999999995</v>
      </c>
      <c r="L54" s="739">
        <f t="shared" si="27"/>
        <v>200.061125</v>
      </c>
      <c r="M54" s="740">
        <f t="shared" si="28"/>
        <v>-0.35553131482984779</v>
      </c>
      <c r="N54" s="739">
        <v>200</v>
      </c>
      <c r="O54" s="740">
        <f t="shared" si="29"/>
        <v>-3.0553162189807785E-4</v>
      </c>
      <c r="P54" s="739">
        <v>156714.75634937605</v>
      </c>
      <c r="Q54" s="741"/>
      <c r="R54" s="742">
        <f t="shared" si="10"/>
        <v>3.1342951269875208</v>
      </c>
      <c r="S54" s="742"/>
      <c r="T54" s="742"/>
      <c r="U54" s="743">
        <v>25</v>
      </c>
      <c r="V54" s="743">
        <v>5</v>
      </c>
      <c r="W54" s="743">
        <v>70</v>
      </c>
      <c r="X54" s="743">
        <v>9</v>
      </c>
      <c r="Y54" s="743">
        <v>9</v>
      </c>
      <c r="Z54" s="743">
        <v>10</v>
      </c>
      <c r="AA54" s="743">
        <v>9</v>
      </c>
      <c r="AB54" s="743">
        <v>9</v>
      </c>
      <c r="AC54" s="743">
        <v>9</v>
      </c>
      <c r="AD54" s="744">
        <v>30</v>
      </c>
      <c r="AE54" s="744">
        <v>15</v>
      </c>
      <c r="AF54" s="745">
        <v>0</v>
      </c>
      <c r="AG54" s="733">
        <f t="shared" si="11"/>
        <v>0</v>
      </c>
      <c r="AH54" s="208">
        <f t="shared" si="12"/>
        <v>100</v>
      </c>
      <c r="AI54" s="208">
        <f t="shared" si="13"/>
        <v>28</v>
      </c>
      <c r="AJ54" s="208">
        <f t="shared" si="14"/>
        <v>27</v>
      </c>
      <c r="AK54" s="208">
        <f t="shared" si="15"/>
        <v>45</v>
      </c>
      <c r="AL54" s="208">
        <f t="shared" si="16"/>
        <v>200</v>
      </c>
      <c r="AM54" s="680"/>
      <c r="AN54" s="746">
        <f t="shared" si="31"/>
        <v>0.3917868908734401</v>
      </c>
      <c r="AO54" s="746">
        <f t="shared" si="31"/>
        <v>7.8357378174688033E-2</v>
      </c>
      <c r="AP54" s="746">
        <f t="shared" si="31"/>
        <v>1.0970032944456325</v>
      </c>
      <c r="AQ54" s="746">
        <f t="shared" si="30"/>
        <v>0.14104328071443845</v>
      </c>
      <c r="AR54" s="746">
        <f t="shared" si="30"/>
        <v>0.14104328071443845</v>
      </c>
      <c r="AS54" s="746">
        <f t="shared" si="30"/>
        <v>0.15671475634937607</v>
      </c>
      <c r="AT54" s="746">
        <f t="shared" si="30"/>
        <v>0.14104328071443845</v>
      </c>
      <c r="AU54" s="746">
        <f t="shared" si="30"/>
        <v>0.14104328071443845</v>
      </c>
      <c r="AV54" s="746">
        <f t="shared" si="30"/>
        <v>0.14104328071443845</v>
      </c>
      <c r="AW54" s="746">
        <f t="shared" si="30"/>
        <v>0.47014426904812817</v>
      </c>
      <c r="AX54" s="746">
        <f t="shared" si="30"/>
        <v>0.23507213452406409</v>
      </c>
      <c r="AY54" s="746">
        <f t="shared" si="30"/>
        <v>0</v>
      </c>
      <c r="AZ54" s="733">
        <f t="shared" si="17"/>
        <v>0</v>
      </c>
      <c r="BA54" s="636">
        <f t="shared" si="18"/>
        <v>1.5671475634937606</v>
      </c>
      <c r="BB54" s="636">
        <f t="shared" si="19"/>
        <v>0.43880131777825293</v>
      </c>
      <c r="BC54" s="636">
        <f t="shared" si="20"/>
        <v>0.42312984214331534</v>
      </c>
      <c r="BD54" s="636">
        <f t="shared" si="21"/>
        <v>0.70521640357219229</v>
      </c>
      <c r="BE54" s="735">
        <f t="shared" si="22"/>
        <v>3.1342951269875212</v>
      </c>
      <c r="BF54" s="680"/>
      <c r="BG54" s="680"/>
      <c r="BH54" s="680"/>
      <c r="BI54" s="680"/>
      <c r="BJ54" s="680"/>
      <c r="BK54" s="680"/>
      <c r="BL54" s="680"/>
      <c r="BM54" s="680"/>
      <c r="BN54" s="680"/>
    </row>
    <row r="55" spans="1:66" ht="12.75">
      <c r="A55" s="758" t="s">
        <v>233</v>
      </c>
      <c r="B55" s="723" t="s">
        <v>135</v>
      </c>
      <c r="C55" s="759" t="s">
        <v>416</v>
      </c>
      <c r="D55" s="751" t="s">
        <v>417</v>
      </c>
      <c r="E55" s="738" t="s">
        <v>142</v>
      </c>
      <c r="F55" s="739"/>
      <c r="G55" s="739"/>
      <c r="H55" s="739">
        <v>0</v>
      </c>
      <c r="I55" s="740">
        <f t="shared" si="26"/>
        <v>0</v>
      </c>
      <c r="J55" s="739">
        <v>118.19400000000002</v>
      </c>
      <c r="K55" s="757">
        <f>J55/8*3.4</f>
        <v>50.232450000000007</v>
      </c>
      <c r="L55" s="739">
        <f t="shared" si="27"/>
        <v>168.42645000000002</v>
      </c>
      <c r="M55" s="740">
        <f t="shared" si="28"/>
        <v>0</v>
      </c>
      <c r="N55" s="739">
        <v>75</v>
      </c>
      <c r="O55" s="740"/>
      <c r="P55" s="739">
        <v>158216.78104629912</v>
      </c>
      <c r="Q55" s="741"/>
      <c r="R55" s="742">
        <f t="shared" si="10"/>
        <v>1.1866258578472433</v>
      </c>
      <c r="S55" s="742"/>
      <c r="T55" s="742"/>
      <c r="U55" s="743"/>
      <c r="V55" s="743">
        <v>5</v>
      </c>
      <c r="W55" s="743"/>
      <c r="X55" s="743">
        <v>10</v>
      </c>
      <c r="Y55" s="743"/>
      <c r="Z55" s="743"/>
      <c r="AA55" s="743">
        <v>10</v>
      </c>
      <c r="AB55" s="743">
        <v>10</v>
      </c>
      <c r="AC55" s="743">
        <v>10</v>
      </c>
      <c r="AD55" s="743">
        <v>10</v>
      </c>
      <c r="AE55" s="743">
        <v>10</v>
      </c>
      <c r="AF55" s="743">
        <v>10</v>
      </c>
      <c r="AG55" s="733">
        <f t="shared" si="11"/>
        <v>0</v>
      </c>
      <c r="AH55" s="208">
        <f t="shared" si="12"/>
        <v>5</v>
      </c>
      <c r="AI55" s="208">
        <f t="shared" si="13"/>
        <v>10</v>
      </c>
      <c r="AJ55" s="208">
        <f t="shared" si="14"/>
        <v>30</v>
      </c>
      <c r="AK55" s="208">
        <f t="shared" si="15"/>
        <v>30</v>
      </c>
      <c r="AL55" s="208">
        <f t="shared" si="16"/>
        <v>75</v>
      </c>
      <c r="AM55" s="680"/>
      <c r="AN55" s="746">
        <f t="shared" si="31"/>
        <v>0</v>
      </c>
      <c r="AO55" s="746">
        <f t="shared" si="31"/>
        <v>7.9108390523149566E-2</v>
      </c>
      <c r="AP55" s="746">
        <f t="shared" si="31"/>
        <v>0</v>
      </c>
      <c r="AQ55" s="746">
        <f t="shared" si="30"/>
        <v>0.15821678104629913</v>
      </c>
      <c r="AR55" s="746">
        <f t="shared" si="30"/>
        <v>0</v>
      </c>
      <c r="AS55" s="746">
        <f t="shared" si="30"/>
        <v>0</v>
      </c>
      <c r="AT55" s="746">
        <f t="shared" si="30"/>
        <v>0.15821678104629913</v>
      </c>
      <c r="AU55" s="746">
        <f t="shared" si="30"/>
        <v>0.15821678104629913</v>
      </c>
      <c r="AV55" s="746">
        <f t="shared" si="30"/>
        <v>0.15821678104629913</v>
      </c>
      <c r="AW55" s="746">
        <f t="shared" si="30"/>
        <v>0.15821678104629913</v>
      </c>
      <c r="AX55" s="746">
        <f t="shared" si="30"/>
        <v>0.15821678104629913</v>
      </c>
      <c r="AY55" s="746">
        <f t="shared" si="30"/>
        <v>0.15821678104629913</v>
      </c>
      <c r="AZ55" s="733">
        <f t="shared" si="17"/>
        <v>0</v>
      </c>
      <c r="BA55" s="636">
        <f t="shared" si="18"/>
        <v>7.9108390523149566E-2</v>
      </c>
      <c r="BB55" s="636">
        <f t="shared" si="19"/>
        <v>0.15821678104629913</v>
      </c>
      <c r="BC55" s="636">
        <f t="shared" si="20"/>
        <v>0.47465034313889742</v>
      </c>
      <c r="BD55" s="636">
        <f t="shared" si="21"/>
        <v>0.47465034313889742</v>
      </c>
      <c r="BE55" s="735">
        <f t="shared" si="22"/>
        <v>1.1866258578472437</v>
      </c>
      <c r="BF55" s="680"/>
      <c r="BG55" s="680"/>
      <c r="BH55" s="680"/>
      <c r="BI55" s="680"/>
      <c r="BJ55" s="680"/>
      <c r="BK55" s="680"/>
      <c r="BL55" s="680"/>
      <c r="BM55" s="680"/>
      <c r="BN55" s="680"/>
    </row>
    <row r="56" spans="1:66" ht="12.75">
      <c r="A56" s="758" t="s">
        <v>418</v>
      </c>
      <c r="B56" s="723" t="s">
        <v>135</v>
      </c>
      <c r="C56" s="759" t="s">
        <v>416</v>
      </c>
      <c r="D56" s="751" t="s">
        <v>417</v>
      </c>
      <c r="E56" s="738" t="s">
        <v>142</v>
      </c>
      <c r="F56" s="739"/>
      <c r="G56" s="739"/>
      <c r="H56" s="739"/>
      <c r="I56" s="740"/>
      <c r="J56" s="739"/>
      <c r="K56" s="686"/>
      <c r="L56" s="739"/>
      <c r="M56" s="740"/>
      <c r="N56" s="739">
        <v>75</v>
      </c>
      <c r="O56" s="740"/>
      <c r="P56" s="739">
        <v>151815.64952619735</v>
      </c>
      <c r="Q56" s="741"/>
      <c r="R56" s="742">
        <f t="shared" si="10"/>
        <v>1.13861737144648</v>
      </c>
      <c r="S56" s="742"/>
      <c r="T56" s="742"/>
      <c r="U56" s="743"/>
      <c r="V56" s="743">
        <v>5</v>
      </c>
      <c r="W56" s="743"/>
      <c r="X56" s="743">
        <v>10</v>
      </c>
      <c r="Y56" s="743"/>
      <c r="Z56" s="743"/>
      <c r="AA56" s="743">
        <v>10</v>
      </c>
      <c r="AB56" s="743">
        <v>10</v>
      </c>
      <c r="AC56" s="743">
        <v>10</v>
      </c>
      <c r="AD56" s="743">
        <v>10</v>
      </c>
      <c r="AE56" s="743">
        <v>10</v>
      </c>
      <c r="AF56" s="743">
        <v>10</v>
      </c>
      <c r="AG56" s="733">
        <f t="shared" si="11"/>
        <v>0</v>
      </c>
      <c r="AH56" s="208">
        <f t="shared" si="12"/>
        <v>5</v>
      </c>
      <c r="AI56" s="208">
        <f t="shared" si="13"/>
        <v>10</v>
      </c>
      <c r="AJ56" s="208">
        <f t="shared" si="14"/>
        <v>30</v>
      </c>
      <c r="AK56" s="208">
        <f t="shared" si="15"/>
        <v>30</v>
      </c>
      <c r="AL56" s="208">
        <f t="shared" si="16"/>
        <v>75</v>
      </c>
      <c r="AM56" s="680"/>
      <c r="AN56" s="746">
        <f t="shared" si="31"/>
        <v>0</v>
      </c>
      <c r="AO56" s="746">
        <f t="shared" si="31"/>
        <v>7.590782476309868E-2</v>
      </c>
      <c r="AP56" s="746">
        <f t="shared" si="31"/>
        <v>0</v>
      </c>
      <c r="AQ56" s="746">
        <f t="shared" si="30"/>
        <v>0.15181564952619736</v>
      </c>
      <c r="AR56" s="746">
        <f t="shared" si="30"/>
        <v>0</v>
      </c>
      <c r="AS56" s="746">
        <f t="shared" si="30"/>
        <v>0</v>
      </c>
      <c r="AT56" s="746">
        <f t="shared" si="30"/>
        <v>0.15181564952619736</v>
      </c>
      <c r="AU56" s="746">
        <f t="shared" si="30"/>
        <v>0.15181564952619736</v>
      </c>
      <c r="AV56" s="746">
        <f t="shared" si="30"/>
        <v>0.15181564952619736</v>
      </c>
      <c r="AW56" s="746">
        <f t="shared" si="30"/>
        <v>0.15181564952619736</v>
      </c>
      <c r="AX56" s="746">
        <f t="shared" si="30"/>
        <v>0.15181564952619736</v>
      </c>
      <c r="AY56" s="746">
        <f t="shared" si="30"/>
        <v>0.15181564952619736</v>
      </c>
      <c r="AZ56" s="733">
        <f t="shared" si="17"/>
        <v>0</v>
      </c>
      <c r="BA56" s="636">
        <f t="shared" si="18"/>
        <v>7.590782476309868E-2</v>
      </c>
      <c r="BB56" s="636">
        <f t="shared" si="19"/>
        <v>0.15181564952619736</v>
      </c>
      <c r="BC56" s="636">
        <f t="shared" si="20"/>
        <v>0.45544694857859208</v>
      </c>
      <c r="BD56" s="636">
        <f t="shared" si="21"/>
        <v>0.45544694857859208</v>
      </c>
      <c r="BE56" s="735">
        <f t="shared" si="22"/>
        <v>1.1386173714464802</v>
      </c>
      <c r="BF56" s="680"/>
      <c r="BG56" s="680"/>
      <c r="BH56" s="680"/>
      <c r="BI56" s="680"/>
      <c r="BJ56" s="680"/>
      <c r="BK56" s="680"/>
      <c r="BL56" s="680"/>
      <c r="BM56" s="680"/>
      <c r="BN56" s="680"/>
    </row>
    <row r="57" spans="1:66" ht="12.75">
      <c r="A57" s="722" t="s">
        <v>275</v>
      </c>
      <c r="B57" s="723" t="s">
        <v>135</v>
      </c>
      <c r="C57" s="750" t="s">
        <v>52</v>
      </c>
      <c r="D57" s="749" t="s">
        <v>276</v>
      </c>
      <c r="E57" s="738" t="s">
        <v>277</v>
      </c>
      <c r="F57" s="739"/>
      <c r="G57" s="739">
        <v>451.30700000000002</v>
      </c>
      <c r="H57" s="739">
        <v>288.83300000000003</v>
      </c>
      <c r="I57" s="740">
        <f t="shared" ref="I57:I62" si="32">IF(ISERROR((H57-G57)/G57),0,((H57-G57)/G57))</f>
        <v>-0.36000771093734418</v>
      </c>
      <c r="J57" s="739">
        <v>221.12700000000001</v>
      </c>
      <c r="K57" s="729">
        <f>J57/9*2.5</f>
        <v>61.424166666666665</v>
      </c>
      <c r="L57" s="739">
        <f t="shared" ref="L57:L62" si="33">J57+K57</f>
        <v>282.55116666666669</v>
      </c>
      <c r="M57" s="740">
        <f t="shared" ref="M57:M62" si="34">IF(ISERROR((L57-H57)/H57),0,((L57-H57)/H57))</f>
        <v>-2.1749015290265787E-2</v>
      </c>
      <c r="N57" s="739">
        <v>180</v>
      </c>
      <c r="O57" s="740">
        <f>IF(ISERROR((N57-L57)/L57),0,((N57-L57)/L57))</f>
        <v>-0.36294724200395567</v>
      </c>
      <c r="P57" s="739">
        <v>190050.43054606509</v>
      </c>
      <c r="Q57" s="741"/>
      <c r="R57" s="742">
        <f t="shared" si="10"/>
        <v>3.4209077498291718</v>
      </c>
      <c r="S57" s="742"/>
      <c r="T57" s="742"/>
      <c r="U57" s="743">
        <f>15</f>
        <v>15</v>
      </c>
      <c r="V57" s="743">
        <f>15</f>
        <v>15</v>
      </c>
      <c r="W57" s="743">
        <f>15</f>
        <v>15</v>
      </c>
      <c r="X57" s="743">
        <f>15</f>
        <v>15</v>
      </c>
      <c r="Y57" s="743">
        <f>15</f>
        <v>15</v>
      </c>
      <c r="Z57" s="743">
        <f>15</f>
        <v>15</v>
      </c>
      <c r="AA57" s="743">
        <f>15</f>
        <v>15</v>
      </c>
      <c r="AB57" s="743">
        <f>15</f>
        <v>15</v>
      </c>
      <c r="AC57" s="743">
        <f>15</f>
        <v>15</v>
      </c>
      <c r="AD57" s="743">
        <f>15</f>
        <v>15</v>
      </c>
      <c r="AE57" s="743">
        <f>15</f>
        <v>15</v>
      </c>
      <c r="AF57" s="743">
        <f>15</f>
        <v>15</v>
      </c>
      <c r="AG57" s="733">
        <f t="shared" si="11"/>
        <v>0</v>
      </c>
      <c r="AH57" s="208">
        <f t="shared" si="12"/>
        <v>45</v>
      </c>
      <c r="AI57" s="208">
        <f t="shared" si="13"/>
        <v>45</v>
      </c>
      <c r="AJ57" s="208">
        <f t="shared" si="14"/>
        <v>45</v>
      </c>
      <c r="AK57" s="208">
        <f t="shared" si="15"/>
        <v>45</v>
      </c>
      <c r="AL57" s="208">
        <f t="shared" si="16"/>
        <v>180</v>
      </c>
      <c r="AM57" s="680"/>
      <c r="AN57" s="746">
        <f t="shared" si="31"/>
        <v>0.28507564581909767</v>
      </c>
      <c r="AO57" s="746">
        <f t="shared" si="31"/>
        <v>0.28507564581909767</v>
      </c>
      <c r="AP57" s="746">
        <f t="shared" si="31"/>
        <v>0.28507564581909767</v>
      </c>
      <c r="AQ57" s="746">
        <f t="shared" si="30"/>
        <v>0.28507564581909767</v>
      </c>
      <c r="AR57" s="746">
        <f t="shared" si="30"/>
        <v>0.28507564581909767</v>
      </c>
      <c r="AS57" s="746">
        <f t="shared" si="30"/>
        <v>0.28507564581909767</v>
      </c>
      <c r="AT57" s="746">
        <f t="shared" si="30"/>
        <v>0.28507564581909767</v>
      </c>
      <c r="AU57" s="746">
        <f t="shared" si="30"/>
        <v>0.28507564581909767</v>
      </c>
      <c r="AV57" s="746">
        <f t="shared" si="30"/>
        <v>0.28507564581909767</v>
      </c>
      <c r="AW57" s="746">
        <f t="shared" si="30"/>
        <v>0.28507564581909767</v>
      </c>
      <c r="AX57" s="746">
        <f t="shared" si="30"/>
        <v>0.28507564581909767</v>
      </c>
      <c r="AY57" s="746">
        <f t="shared" si="30"/>
        <v>0.28507564581909767</v>
      </c>
      <c r="AZ57" s="733">
        <f t="shared" si="17"/>
        <v>0</v>
      </c>
      <c r="BA57" s="636">
        <f t="shared" si="18"/>
        <v>0.85522693745729295</v>
      </c>
      <c r="BB57" s="636">
        <f t="shared" si="19"/>
        <v>0.85522693745729295</v>
      </c>
      <c r="BC57" s="636">
        <f t="shared" si="20"/>
        <v>0.85522693745729295</v>
      </c>
      <c r="BD57" s="636">
        <f t="shared" si="21"/>
        <v>0.85522693745729295</v>
      </c>
      <c r="BE57" s="735">
        <f t="shared" si="22"/>
        <v>3.4209077498291718</v>
      </c>
      <c r="BF57" s="680"/>
      <c r="BG57" s="680"/>
      <c r="BH57" s="680"/>
      <c r="BI57" s="680"/>
      <c r="BJ57" s="680"/>
      <c r="BK57" s="680"/>
      <c r="BL57" s="680"/>
      <c r="BM57" s="680"/>
      <c r="BN57" s="680"/>
    </row>
    <row r="58" spans="1:66" ht="12.75">
      <c r="A58" s="760" t="s">
        <v>278</v>
      </c>
      <c r="B58" s="761" t="s">
        <v>135</v>
      </c>
      <c r="C58" s="749" t="s">
        <v>52</v>
      </c>
      <c r="D58" s="749" t="s">
        <v>276</v>
      </c>
      <c r="E58" s="738" t="s">
        <v>279</v>
      </c>
      <c r="F58" s="739"/>
      <c r="G58" s="739">
        <v>39.280999999999992</v>
      </c>
      <c r="H58" s="739">
        <v>43.6</v>
      </c>
      <c r="I58" s="740">
        <f t="shared" si="32"/>
        <v>0.10995137598330008</v>
      </c>
      <c r="J58" s="739">
        <v>39.341000000000008</v>
      </c>
      <c r="K58" s="729">
        <f>J58/9*2.5</f>
        <v>10.928055555555558</v>
      </c>
      <c r="L58" s="739">
        <f t="shared" si="33"/>
        <v>50.269055555555568</v>
      </c>
      <c r="M58" s="740">
        <f t="shared" si="34"/>
        <v>0.15295998980632031</v>
      </c>
      <c r="N58" s="739">
        <v>120</v>
      </c>
      <c r="O58" s="740">
        <f>IF(ISERROR((N58-L58)/L58),0,((N58-L58)/L58))</f>
        <v>1.387154456629492</v>
      </c>
      <c r="P58" s="739">
        <v>207845.80423564956</v>
      </c>
      <c r="Q58" s="741"/>
      <c r="R58" s="742">
        <f t="shared" si="10"/>
        <v>2.4941496508277945</v>
      </c>
      <c r="S58" s="742"/>
      <c r="T58" s="742"/>
      <c r="U58" s="743">
        <f>N58/12</f>
        <v>10</v>
      </c>
      <c r="V58" s="743">
        <f>U58</f>
        <v>10</v>
      </c>
      <c r="W58" s="743">
        <f t="shared" ref="W58:AF58" si="35">V58</f>
        <v>10</v>
      </c>
      <c r="X58" s="743">
        <f t="shared" si="35"/>
        <v>10</v>
      </c>
      <c r="Y58" s="743">
        <f t="shared" si="35"/>
        <v>10</v>
      </c>
      <c r="Z58" s="743">
        <f t="shared" si="35"/>
        <v>10</v>
      </c>
      <c r="AA58" s="743">
        <f t="shared" si="35"/>
        <v>10</v>
      </c>
      <c r="AB58" s="743">
        <f t="shared" si="35"/>
        <v>10</v>
      </c>
      <c r="AC58" s="743">
        <f t="shared" si="35"/>
        <v>10</v>
      </c>
      <c r="AD58" s="743">
        <f t="shared" si="35"/>
        <v>10</v>
      </c>
      <c r="AE58" s="743">
        <f t="shared" si="35"/>
        <v>10</v>
      </c>
      <c r="AF58" s="743">
        <f t="shared" si="35"/>
        <v>10</v>
      </c>
      <c r="AG58" s="733">
        <f t="shared" si="11"/>
        <v>0</v>
      </c>
      <c r="AH58" s="208">
        <f t="shared" si="12"/>
        <v>30</v>
      </c>
      <c r="AI58" s="208">
        <f t="shared" si="13"/>
        <v>30</v>
      </c>
      <c r="AJ58" s="208">
        <f t="shared" si="14"/>
        <v>30</v>
      </c>
      <c r="AK58" s="208">
        <f t="shared" si="15"/>
        <v>30</v>
      </c>
      <c r="AL58" s="208">
        <f t="shared" si="16"/>
        <v>120</v>
      </c>
      <c r="AM58" s="680"/>
      <c r="AN58" s="746">
        <f t="shared" si="31"/>
        <v>0.20784580423564955</v>
      </c>
      <c r="AO58" s="746">
        <f t="shared" si="31"/>
        <v>0.20784580423564955</v>
      </c>
      <c r="AP58" s="746">
        <f t="shared" si="31"/>
        <v>0.20784580423564955</v>
      </c>
      <c r="AQ58" s="746">
        <f t="shared" si="30"/>
        <v>0.20784580423564955</v>
      </c>
      <c r="AR58" s="746">
        <f t="shared" si="30"/>
        <v>0.20784580423564955</v>
      </c>
      <c r="AS58" s="746">
        <f t="shared" si="30"/>
        <v>0.20784580423564955</v>
      </c>
      <c r="AT58" s="746">
        <f t="shared" si="30"/>
        <v>0.20784580423564955</v>
      </c>
      <c r="AU58" s="746">
        <f t="shared" si="30"/>
        <v>0.20784580423564955</v>
      </c>
      <c r="AV58" s="746">
        <f t="shared" si="30"/>
        <v>0.20784580423564955</v>
      </c>
      <c r="AW58" s="746">
        <f t="shared" si="30"/>
        <v>0.20784580423564955</v>
      </c>
      <c r="AX58" s="746">
        <f t="shared" si="30"/>
        <v>0.20784580423564955</v>
      </c>
      <c r="AY58" s="746">
        <f t="shared" si="30"/>
        <v>0.20784580423564955</v>
      </c>
      <c r="AZ58" s="733">
        <f t="shared" si="17"/>
        <v>0</v>
      </c>
      <c r="BA58" s="636">
        <f t="shared" si="18"/>
        <v>0.62353741270694862</v>
      </c>
      <c r="BB58" s="636">
        <f t="shared" si="19"/>
        <v>0.62353741270694862</v>
      </c>
      <c r="BC58" s="636">
        <f t="shared" si="20"/>
        <v>0.62353741270694862</v>
      </c>
      <c r="BD58" s="636">
        <f t="shared" si="21"/>
        <v>0.62353741270694862</v>
      </c>
      <c r="BE58" s="735">
        <f t="shared" si="22"/>
        <v>2.4941496508277945</v>
      </c>
      <c r="BF58" s="680"/>
      <c r="BG58" s="680"/>
      <c r="BH58" s="680"/>
      <c r="BI58" s="680"/>
      <c r="BJ58" s="680"/>
      <c r="BK58" s="680"/>
      <c r="BL58" s="680"/>
      <c r="BM58" s="680"/>
      <c r="BN58" s="680"/>
    </row>
    <row r="59" spans="1:66" s="708" customFormat="1" ht="12.95" customHeight="1">
      <c r="A59" s="722" t="s">
        <v>280</v>
      </c>
      <c r="B59" s="723" t="s">
        <v>135</v>
      </c>
      <c r="C59" s="749" t="s">
        <v>52</v>
      </c>
      <c r="D59" s="749" t="s">
        <v>276</v>
      </c>
      <c r="E59" s="738" t="s">
        <v>277</v>
      </c>
      <c r="F59" s="739"/>
      <c r="G59" s="739">
        <v>133.166</v>
      </c>
      <c r="H59" s="739">
        <v>83.329000000000008</v>
      </c>
      <c r="I59" s="740">
        <f t="shared" si="32"/>
        <v>-0.37424718021116493</v>
      </c>
      <c r="J59" s="739">
        <v>83.343000000000004</v>
      </c>
      <c r="K59" s="729">
        <f>J59/9*2.5</f>
        <v>23.150833333333335</v>
      </c>
      <c r="L59" s="739">
        <f t="shared" si="33"/>
        <v>106.49383333333334</v>
      </c>
      <c r="M59" s="740">
        <f t="shared" si="34"/>
        <v>0.27799245560769159</v>
      </c>
      <c r="N59" s="739">
        <v>120</v>
      </c>
      <c r="O59" s="740">
        <f>IF(ISERROR((N59-L59)/L59),0,((N59-L59)/L59))</f>
        <v>0.1268258099451767</v>
      </c>
      <c r="P59" s="739">
        <v>257865.9157342831</v>
      </c>
      <c r="Q59" s="741"/>
      <c r="R59" s="742">
        <f t="shared" si="10"/>
        <v>3.094390988811397</v>
      </c>
      <c r="S59" s="742"/>
      <c r="T59" s="742"/>
      <c r="U59" s="743">
        <f>N59/12</f>
        <v>10</v>
      </c>
      <c r="V59" s="743">
        <f t="shared" ref="V59:AF62" si="36">U59</f>
        <v>10</v>
      </c>
      <c r="W59" s="743">
        <f t="shared" si="36"/>
        <v>10</v>
      </c>
      <c r="X59" s="743">
        <f t="shared" si="36"/>
        <v>10</v>
      </c>
      <c r="Y59" s="743">
        <f t="shared" si="36"/>
        <v>10</v>
      </c>
      <c r="Z59" s="743">
        <f t="shared" si="36"/>
        <v>10</v>
      </c>
      <c r="AA59" s="743">
        <f t="shared" si="36"/>
        <v>10</v>
      </c>
      <c r="AB59" s="743">
        <f t="shared" si="36"/>
        <v>10</v>
      </c>
      <c r="AC59" s="743">
        <f t="shared" si="36"/>
        <v>10</v>
      </c>
      <c r="AD59" s="743">
        <f t="shared" si="36"/>
        <v>10</v>
      </c>
      <c r="AE59" s="743">
        <f t="shared" si="36"/>
        <v>10</v>
      </c>
      <c r="AF59" s="743">
        <f t="shared" si="36"/>
        <v>10</v>
      </c>
      <c r="AG59" s="733">
        <f t="shared" si="11"/>
        <v>0</v>
      </c>
      <c r="AH59" s="208">
        <f t="shared" si="12"/>
        <v>30</v>
      </c>
      <c r="AI59" s="208">
        <f t="shared" si="13"/>
        <v>30</v>
      </c>
      <c r="AJ59" s="208">
        <f t="shared" si="14"/>
        <v>30</v>
      </c>
      <c r="AK59" s="208">
        <f t="shared" si="15"/>
        <v>30</v>
      </c>
      <c r="AL59" s="208">
        <f t="shared" si="16"/>
        <v>120</v>
      </c>
      <c r="AM59" s="707"/>
      <c r="AN59" s="746">
        <f t="shared" si="31"/>
        <v>0.25786591573428314</v>
      </c>
      <c r="AO59" s="746">
        <f t="shared" si="31"/>
        <v>0.25786591573428314</v>
      </c>
      <c r="AP59" s="746">
        <f t="shared" si="31"/>
        <v>0.25786591573428314</v>
      </c>
      <c r="AQ59" s="746">
        <f t="shared" si="30"/>
        <v>0.25786591573428314</v>
      </c>
      <c r="AR59" s="746">
        <f t="shared" si="30"/>
        <v>0.25786591573428314</v>
      </c>
      <c r="AS59" s="746">
        <f t="shared" si="30"/>
        <v>0.25786591573428314</v>
      </c>
      <c r="AT59" s="746">
        <f t="shared" si="30"/>
        <v>0.25786591573428314</v>
      </c>
      <c r="AU59" s="746">
        <f t="shared" si="30"/>
        <v>0.25786591573428314</v>
      </c>
      <c r="AV59" s="746">
        <f t="shared" si="30"/>
        <v>0.25786591573428314</v>
      </c>
      <c r="AW59" s="746">
        <f t="shared" si="30"/>
        <v>0.25786591573428314</v>
      </c>
      <c r="AX59" s="746">
        <f t="shared" si="30"/>
        <v>0.25786591573428314</v>
      </c>
      <c r="AY59" s="746">
        <f t="shared" si="30"/>
        <v>0.25786591573428314</v>
      </c>
      <c r="AZ59" s="733">
        <f t="shared" si="17"/>
        <v>0</v>
      </c>
      <c r="BA59" s="636">
        <f t="shared" si="18"/>
        <v>0.77359774720284946</v>
      </c>
      <c r="BB59" s="636">
        <f t="shared" si="19"/>
        <v>0.77359774720284946</v>
      </c>
      <c r="BC59" s="636">
        <f t="shared" si="20"/>
        <v>0.77359774720284946</v>
      </c>
      <c r="BD59" s="636">
        <f t="shared" si="21"/>
        <v>0.77359774720284946</v>
      </c>
      <c r="BE59" s="735">
        <f t="shared" si="22"/>
        <v>3.0943909888113978</v>
      </c>
      <c r="BF59" s="707"/>
      <c r="BG59" s="707"/>
      <c r="BH59" s="707"/>
      <c r="BI59" s="707"/>
      <c r="BJ59" s="707"/>
      <c r="BK59" s="707"/>
      <c r="BL59" s="707"/>
      <c r="BM59" s="707"/>
      <c r="BN59" s="707"/>
    </row>
    <row r="60" spans="1:66" ht="12.95" customHeight="1">
      <c r="A60" s="722" t="s">
        <v>281</v>
      </c>
      <c r="B60" s="723" t="s">
        <v>135</v>
      </c>
      <c r="C60" s="749" t="s">
        <v>52</v>
      </c>
      <c r="D60" s="749" t="s">
        <v>276</v>
      </c>
      <c r="E60" s="738" t="s">
        <v>277</v>
      </c>
      <c r="F60" s="739"/>
      <c r="G60" s="739">
        <v>96.42</v>
      </c>
      <c r="H60" s="739">
        <v>104.31800000000001</v>
      </c>
      <c r="I60" s="740">
        <f t="shared" si="32"/>
        <v>8.1912466293300248E-2</v>
      </c>
      <c r="J60" s="739">
        <v>97.527000000000001</v>
      </c>
      <c r="K60" s="729">
        <f>J60/9*2</f>
        <v>21.672666666666668</v>
      </c>
      <c r="L60" s="739">
        <f t="shared" si="33"/>
        <v>119.19966666666667</v>
      </c>
      <c r="M60" s="740">
        <f t="shared" si="34"/>
        <v>0.14265674827610439</v>
      </c>
      <c r="N60" s="739">
        <v>72</v>
      </c>
      <c r="O60" s="740">
        <f>IF(ISERROR((N60-L60)/L60),0,((N60-L60)/L60))</f>
        <v>-0.39597146524458965</v>
      </c>
      <c r="P60" s="739">
        <v>243693.1991507941</v>
      </c>
      <c r="Q60" s="741"/>
      <c r="R60" s="742">
        <f t="shared" si="10"/>
        <v>1.7545910338857174</v>
      </c>
      <c r="S60" s="742"/>
      <c r="T60" s="742"/>
      <c r="U60" s="743">
        <f>N60/12</f>
        <v>6</v>
      </c>
      <c r="V60" s="743">
        <f t="shared" si="36"/>
        <v>6</v>
      </c>
      <c r="W60" s="743">
        <f t="shared" si="36"/>
        <v>6</v>
      </c>
      <c r="X60" s="743">
        <f t="shared" si="36"/>
        <v>6</v>
      </c>
      <c r="Y60" s="743">
        <f t="shared" si="36"/>
        <v>6</v>
      </c>
      <c r="Z60" s="743">
        <f t="shared" si="36"/>
        <v>6</v>
      </c>
      <c r="AA60" s="743">
        <f t="shared" si="36"/>
        <v>6</v>
      </c>
      <c r="AB60" s="743">
        <f t="shared" si="36"/>
        <v>6</v>
      </c>
      <c r="AC60" s="743">
        <f t="shared" si="36"/>
        <v>6</v>
      </c>
      <c r="AD60" s="743">
        <f t="shared" si="36"/>
        <v>6</v>
      </c>
      <c r="AE60" s="743">
        <f t="shared" si="36"/>
        <v>6</v>
      </c>
      <c r="AF60" s="743">
        <f t="shared" si="36"/>
        <v>6</v>
      </c>
      <c r="AG60" s="733">
        <f t="shared" si="11"/>
        <v>0</v>
      </c>
      <c r="AH60" s="208">
        <f t="shared" si="12"/>
        <v>18</v>
      </c>
      <c r="AI60" s="208">
        <f t="shared" si="13"/>
        <v>18</v>
      </c>
      <c r="AJ60" s="208">
        <f t="shared" si="14"/>
        <v>18</v>
      </c>
      <c r="AK60" s="208">
        <f t="shared" si="15"/>
        <v>18</v>
      </c>
      <c r="AL60" s="208">
        <f t="shared" si="16"/>
        <v>72</v>
      </c>
      <c r="AM60" s="680"/>
      <c r="AN60" s="746">
        <f t="shared" si="31"/>
        <v>0.14621591949047646</v>
      </c>
      <c r="AO60" s="746">
        <f t="shared" si="31"/>
        <v>0.14621591949047646</v>
      </c>
      <c r="AP60" s="746">
        <f t="shared" si="31"/>
        <v>0.14621591949047646</v>
      </c>
      <c r="AQ60" s="746">
        <f t="shared" si="30"/>
        <v>0.14621591949047646</v>
      </c>
      <c r="AR60" s="746">
        <f t="shared" si="30"/>
        <v>0.14621591949047646</v>
      </c>
      <c r="AS60" s="746">
        <f t="shared" si="30"/>
        <v>0.14621591949047646</v>
      </c>
      <c r="AT60" s="746">
        <f t="shared" si="30"/>
        <v>0.14621591949047646</v>
      </c>
      <c r="AU60" s="746">
        <f t="shared" si="30"/>
        <v>0.14621591949047646</v>
      </c>
      <c r="AV60" s="746">
        <f t="shared" si="30"/>
        <v>0.14621591949047646</v>
      </c>
      <c r="AW60" s="746">
        <f t="shared" si="30"/>
        <v>0.14621591949047646</v>
      </c>
      <c r="AX60" s="746">
        <f t="shared" si="30"/>
        <v>0.14621591949047646</v>
      </c>
      <c r="AY60" s="746">
        <f t="shared" si="30"/>
        <v>0.14621591949047646</v>
      </c>
      <c r="AZ60" s="733">
        <f t="shared" si="17"/>
        <v>0</v>
      </c>
      <c r="BA60" s="636">
        <f t="shared" si="18"/>
        <v>0.43864775847142939</v>
      </c>
      <c r="BB60" s="636">
        <f t="shared" si="19"/>
        <v>0.43864775847142939</v>
      </c>
      <c r="BC60" s="636">
        <f t="shared" si="20"/>
        <v>0.43864775847142939</v>
      </c>
      <c r="BD60" s="636">
        <f t="shared" si="21"/>
        <v>0.43864775847142939</v>
      </c>
      <c r="BE60" s="735">
        <f t="shared" si="22"/>
        <v>1.7545910338857176</v>
      </c>
      <c r="BF60" s="680"/>
      <c r="BG60" s="680"/>
      <c r="BH60" s="680"/>
      <c r="BI60" s="680"/>
      <c r="BJ60" s="680"/>
      <c r="BK60" s="680"/>
      <c r="BL60" s="680"/>
      <c r="BM60" s="680"/>
      <c r="BN60" s="680"/>
    </row>
    <row r="61" spans="1:66" ht="12.95" customHeight="1">
      <c r="A61" s="722" t="s">
        <v>282</v>
      </c>
      <c r="B61" s="723" t="s">
        <v>135</v>
      </c>
      <c r="C61" s="754" t="s">
        <v>52</v>
      </c>
      <c r="D61" s="749" t="s">
        <v>283</v>
      </c>
      <c r="E61" s="738" t="s">
        <v>277</v>
      </c>
      <c r="F61" s="739"/>
      <c r="G61" s="739">
        <v>0</v>
      </c>
      <c r="H61" s="739">
        <v>32.153999999999996</v>
      </c>
      <c r="I61" s="740">
        <f t="shared" si="32"/>
        <v>0</v>
      </c>
      <c r="J61" s="739">
        <v>15.341999999999999</v>
      </c>
      <c r="K61" s="729">
        <f>J61/9*2.5</f>
        <v>4.2616666666666667</v>
      </c>
      <c r="L61" s="739">
        <f t="shared" si="33"/>
        <v>19.603666666666665</v>
      </c>
      <c r="M61" s="740">
        <f t="shared" si="34"/>
        <v>-0.39031950405340959</v>
      </c>
      <c r="N61" s="739">
        <v>48</v>
      </c>
      <c r="O61" s="740"/>
      <c r="P61" s="739">
        <v>224308.85307406157</v>
      </c>
      <c r="Q61" s="741"/>
      <c r="R61" s="742">
        <f t="shared" si="10"/>
        <v>1.0766824947554956</v>
      </c>
      <c r="S61" s="742"/>
      <c r="T61" s="742"/>
      <c r="U61" s="743">
        <f>N61/12</f>
        <v>4</v>
      </c>
      <c r="V61" s="743">
        <f t="shared" si="36"/>
        <v>4</v>
      </c>
      <c r="W61" s="743">
        <f t="shared" si="36"/>
        <v>4</v>
      </c>
      <c r="X61" s="743">
        <f t="shared" si="36"/>
        <v>4</v>
      </c>
      <c r="Y61" s="743">
        <f t="shared" si="36"/>
        <v>4</v>
      </c>
      <c r="Z61" s="743">
        <f t="shared" si="36"/>
        <v>4</v>
      </c>
      <c r="AA61" s="743">
        <f t="shared" si="36"/>
        <v>4</v>
      </c>
      <c r="AB61" s="743">
        <f t="shared" si="36"/>
        <v>4</v>
      </c>
      <c r="AC61" s="743">
        <f t="shared" si="36"/>
        <v>4</v>
      </c>
      <c r="AD61" s="743">
        <f t="shared" si="36"/>
        <v>4</v>
      </c>
      <c r="AE61" s="743">
        <f t="shared" si="36"/>
        <v>4</v>
      </c>
      <c r="AF61" s="743">
        <f t="shared" si="36"/>
        <v>4</v>
      </c>
      <c r="AG61" s="733">
        <f t="shared" si="11"/>
        <v>0</v>
      </c>
      <c r="AH61" s="208">
        <f t="shared" si="12"/>
        <v>12</v>
      </c>
      <c r="AI61" s="208">
        <f t="shared" si="13"/>
        <v>12</v>
      </c>
      <c r="AJ61" s="208">
        <f t="shared" si="14"/>
        <v>12</v>
      </c>
      <c r="AK61" s="208">
        <f t="shared" si="15"/>
        <v>12</v>
      </c>
      <c r="AL61" s="208">
        <f t="shared" si="16"/>
        <v>48</v>
      </c>
      <c r="AM61" s="680"/>
      <c r="AN61" s="746">
        <f t="shared" si="31"/>
        <v>8.9723541229624629E-2</v>
      </c>
      <c r="AO61" s="746">
        <f t="shared" si="31"/>
        <v>8.9723541229624629E-2</v>
      </c>
      <c r="AP61" s="746">
        <f t="shared" si="31"/>
        <v>8.9723541229624629E-2</v>
      </c>
      <c r="AQ61" s="746">
        <f t="shared" si="30"/>
        <v>8.9723541229624629E-2</v>
      </c>
      <c r="AR61" s="746">
        <f t="shared" si="30"/>
        <v>8.9723541229624629E-2</v>
      </c>
      <c r="AS61" s="746">
        <f t="shared" si="30"/>
        <v>8.9723541229624629E-2</v>
      </c>
      <c r="AT61" s="746">
        <f t="shared" si="30"/>
        <v>8.9723541229624629E-2</v>
      </c>
      <c r="AU61" s="746">
        <f t="shared" si="30"/>
        <v>8.9723541229624629E-2</v>
      </c>
      <c r="AV61" s="746">
        <f t="shared" si="30"/>
        <v>8.9723541229624629E-2</v>
      </c>
      <c r="AW61" s="746">
        <f t="shared" si="30"/>
        <v>8.9723541229624629E-2</v>
      </c>
      <c r="AX61" s="746">
        <f t="shared" si="30"/>
        <v>8.9723541229624629E-2</v>
      </c>
      <c r="AY61" s="746">
        <f t="shared" si="30"/>
        <v>8.9723541229624629E-2</v>
      </c>
      <c r="AZ61" s="733">
        <f t="shared" si="17"/>
        <v>0</v>
      </c>
      <c r="BA61" s="636">
        <f t="shared" si="18"/>
        <v>0.2691706236888739</v>
      </c>
      <c r="BB61" s="636">
        <f t="shared" si="19"/>
        <v>0.2691706236888739</v>
      </c>
      <c r="BC61" s="636">
        <f t="shared" si="20"/>
        <v>0.2691706236888739</v>
      </c>
      <c r="BD61" s="636">
        <f t="shared" si="21"/>
        <v>0.2691706236888739</v>
      </c>
      <c r="BE61" s="735">
        <f t="shared" si="22"/>
        <v>1.0766824947554956</v>
      </c>
      <c r="BF61" s="680"/>
      <c r="BG61" s="680"/>
      <c r="BH61" s="680"/>
      <c r="BI61" s="680"/>
      <c r="BJ61" s="680"/>
      <c r="BK61" s="680"/>
      <c r="BL61" s="680"/>
      <c r="BM61" s="680"/>
      <c r="BN61" s="680"/>
    </row>
    <row r="62" spans="1:66" ht="12.95" customHeight="1">
      <c r="A62" s="722" t="s">
        <v>284</v>
      </c>
      <c r="B62" s="723" t="s">
        <v>135</v>
      </c>
      <c r="C62" s="754" t="s">
        <v>52</v>
      </c>
      <c r="D62" s="749" t="s">
        <v>285</v>
      </c>
      <c r="E62" s="738" t="s">
        <v>277</v>
      </c>
      <c r="F62" s="739"/>
      <c r="G62" s="739">
        <v>0</v>
      </c>
      <c r="H62" s="739">
        <v>0.06</v>
      </c>
      <c r="I62" s="740">
        <f t="shared" si="32"/>
        <v>0</v>
      </c>
      <c r="J62" s="739">
        <v>7.5090000000000003</v>
      </c>
      <c r="K62" s="729">
        <f>J62/9*2.5</f>
        <v>2.0858333333333334</v>
      </c>
      <c r="L62" s="739">
        <f t="shared" si="33"/>
        <v>9.5948333333333338</v>
      </c>
      <c r="M62" s="740">
        <f t="shared" si="34"/>
        <v>158.91388888888889</v>
      </c>
      <c r="N62" s="739">
        <v>60</v>
      </c>
      <c r="O62" s="740"/>
      <c r="P62" s="739">
        <v>317189.65342413512</v>
      </c>
      <c r="Q62" s="741"/>
      <c r="R62" s="742">
        <f t="shared" si="10"/>
        <v>1.9031379205448107</v>
      </c>
      <c r="S62" s="742"/>
      <c r="T62" s="742"/>
      <c r="U62" s="743">
        <f>N62/12</f>
        <v>5</v>
      </c>
      <c r="V62" s="743">
        <f t="shared" si="36"/>
        <v>5</v>
      </c>
      <c r="W62" s="743">
        <f t="shared" si="36"/>
        <v>5</v>
      </c>
      <c r="X62" s="743">
        <f t="shared" si="36"/>
        <v>5</v>
      </c>
      <c r="Y62" s="743">
        <f t="shared" si="36"/>
        <v>5</v>
      </c>
      <c r="Z62" s="743">
        <f t="shared" si="36"/>
        <v>5</v>
      </c>
      <c r="AA62" s="743">
        <f t="shared" si="36"/>
        <v>5</v>
      </c>
      <c r="AB62" s="743">
        <f t="shared" si="36"/>
        <v>5</v>
      </c>
      <c r="AC62" s="743">
        <f t="shared" si="36"/>
        <v>5</v>
      </c>
      <c r="AD62" s="743">
        <f t="shared" si="36"/>
        <v>5</v>
      </c>
      <c r="AE62" s="743">
        <f t="shared" si="36"/>
        <v>5</v>
      </c>
      <c r="AF62" s="743">
        <f t="shared" si="36"/>
        <v>5</v>
      </c>
      <c r="AG62" s="733">
        <f t="shared" si="11"/>
        <v>0</v>
      </c>
      <c r="AH62" s="208">
        <f t="shared" si="12"/>
        <v>15</v>
      </c>
      <c r="AI62" s="208">
        <f t="shared" si="13"/>
        <v>15</v>
      </c>
      <c r="AJ62" s="208">
        <f t="shared" si="14"/>
        <v>15</v>
      </c>
      <c r="AK62" s="208">
        <f t="shared" si="15"/>
        <v>15</v>
      </c>
      <c r="AL62" s="208">
        <f t="shared" si="16"/>
        <v>60</v>
      </c>
      <c r="AM62" s="680"/>
      <c r="AN62" s="746">
        <f t="shared" si="31"/>
        <v>0.15859482671206757</v>
      </c>
      <c r="AO62" s="746">
        <f t="shared" si="31"/>
        <v>0.15859482671206757</v>
      </c>
      <c r="AP62" s="746">
        <f t="shared" si="31"/>
        <v>0.15859482671206757</v>
      </c>
      <c r="AQ62" s="746">
        <f t="shared" si="30"/>
        <v>0.15859482671206757</v>
      </c>
      <c r="AR62" s="746">
        <f t="shared" si="30"/>
        <v>0.15859482671206757</v>
      </c>
      <c r="AS62" s="746">
        <f t="shared" si="30"/>
        <v>0.15859482671206757</v>
      </c>
      <c r="AT62" s="746">
        <f t="shared" si="30"/>
        <v>0.15859482671206757</v>
      </c>
      <c r="AU62" s="746">
        <f t="shared" si="30"/>
        <v>0.15859482671206757</v>
      </c>
      <c r="AV62" s="746">
        <f t="shared" si="30"/>
        <v>0.15859482671206757</v>
      </c>
      <c r="AW62" s="746">
        <f t="shared" si="30"/>
        <v>0.15859482671206757</v>
      </c>
      <c r="AX62" s="746">
        <f t="shared" si="30"/>
        <v>0.15859482671206757</v>
      </c>
      <c r="AY62" s="746">
        <f t="shared" si="30"/>
        <v>0.15859482671206757</v>
      </c>
      <c r="AZ62" s="733">
        <f t="shared" si="17"/>
        <v>0</v>
      </c>
      <c r="BA62" s="636">
        <f t="shared" si="18"/>
        <v>0.47578448013620267</v>
      </c>
      <c r="BB62" s="636">
        <f t="shared" si="19"/>
        <v>0.47578448013620267</v>
      </c>
      <c r="BC62" s="636">
        <f t="shared" si="20"/>
        <v>0.47578448013620267</v>
      </c>
      <c r="BD62" s="636">
        <f t="shared" si="21"/>
        <v>0.47578448013620267</v>
      </c>
      <c r="BE62" s="735">
        <f t="shared" si="22"/>
        <v>1.9031379205448107</v>
      </c>
      <c r="BF62" s="680"/>
      <c r="BG62" s="680"/>
      <c r="BH62" s="680"/>
      <c r="BI62" s="680"/>
      <c r="BJ62" s="680"/>
      <c r="BK62" s="680"/>
      <c r="BL62" s="680"/>
      <c r="BM62" s="680"/>
      <c r="BN62" s="680"/>
    </row>
    <row r="63" spans="1:66" ht="12.95" customHeight="1">
      <c r="A63" s="722" t="s">
        <v>287</v>
      </c>
      <c r="B63" s="723" t="s">
        <v>135</v>
      </c>
      <c r="C63" s="754" t="s">
        <v>52</v>
      </c>
      <c r="D63" s="749" t="s">
        <v>405</v>
      </c>
      <c r="E63" s="738" t="s">
        <v>277</v>
      </c>
      <c r="F63" s="739"/>
      <c r="G63" s="739"/>
      <c r="H63" s="739"/>
      <c r="I63" s="740"/>
      <c r="J63" s="739"/>
      <c r="K63" s="686"/>
      <c r="L63" s="739"/>
      <c r="M63" s="740"/>
      <c r="N63" s="739">
        <v>0</v>
      </c>
      <c r="O63" s="740"/>
      <c r="P63" s="739"/>
      <c r="Q63" s="741"/>
      <c r="R63" s="742">
        <f t="shared" si="10"/>
        <v>0</v>
      </c>
      <c r="S63" s="742"/>
      <c r="T63" s="742"/>
      <c r="U63" s="743"/>
      <c r="V63" s="743"/>
      <c r="W63" s="743"/>
      <c r="X63" s="743"/>
      <c r="Y63" s="743"/>
      <c r="Z63" s="743"/>
      <c r="AA63" s="743"/>
      <c r="AB63" s="743"/>
      <c r="AC63" s="743"/>
      <c r="AD63" s="744"/>
      <c r="AE63" s="744"/>
      <c r="AF63" s="745"/>
      <c r="AG63" s="733">
        <f t="shared" si="11"/>
        <v>0</v>
      </c>
      <c r="AH63" s="208">
        <f t="shared" si="12"/>
        <v>0</v>
      </c>
      <c r="AI63" s="208">
        <f t="shared" si="13"/>
        <v>0</v>
      </c>
      <c r="AJ63" s="208">
        <f t="shared" si="14"/>
        <v>0</v>
      </c>
      <c r="AK63" s="208">
        <f t="shared" si="15"/>
        <v>0</v>
      </c>
      <c r="AL63" s="208">
        <f t="shared" si="16"/>
        <v>0</v>
      </c>
      <c r="AM63" s="680"/>
      <c r="AN63" s="746">
        <f t="shared" si="31"/>
        <v>0</v>
      </c>
      <c r="AO63" s="746">
        <f t="shared" si="31"/>
        <v>0</v>
      </c>
      <c r="AP63" s="746">
        <f t="shared" si="31"/>
        <v>0</v>
      </c>
      <c r="AQ63" s="746">
        <f t="shared" si="30"/>
        <v>0</v>
      </c>
      <c r="AR63" s="746">
        <f t="shared" si="30"/>
        <v>0</v>
      </c>
      <c r="AS63" s="746">
        <f t="shared" si="30"/>
        <v>0</v>
      </c>
      <c r="AT63" s="746">
        <f t="shared" si="30"/>
        <v>0</v>
      </c>
      <c r="AU63" s="746">
        <f t="shared" si="30"/>
        <v>0</v>
      </c>
      <c r="AV63" s="746">
        <f t="shared" si="30"/>
        <v>0</v>
      </c>
      <c r="AW63" s="746">
        <f t="shared" si="30"/>
        <v>0</v>
      </c>
      <c r="AX63" s="746">
        <f t="shared" si="30"/>
        <v>0</v>
      </c>
      <c r="AY63" s="746">
        <f t="shared" si="30"/>
        <v>0</v>
      </c>
      <c r="AZ63" s="733">
        <f t="shared" si="17"/>
        <v>0</v>
      </c>
      <c r="BA63" s="636">
        <f t="shared" si="18"/>
        <v>0</v>
      </c>
      <c r="BB63" s="636">
        <f t="shared" si="19"/>
        <v>0</v>
      </c>
      <c r="BC63" s="636">
        <f t="shared" si="20"/>
        <v>0</v>
      </c>
      <c r="BD63" s="636">
        <f t="shared" si="21"/>
        <v>0</v>
      </c>
      <c r="BE63" s="735">
        <f t="shared" si="22"/>
        <v>0</v>
      </c>
      <c r="BF63" s="680"/>
      <c r="BG63" s="680"/>
      <c r="BH63" s="680"/>
      <c r="BI63" s="680"/>
      <c r="BJ63" s="680"/>
      <c r="BK63" s="680"/>
      <c r="BL63" s="680"/>
      <c r="BM63" s="680"/>
      <c r="BN63" s="680"/>
    </row>
    <row r="64" spans="1:66" ht="12.95" customHeight="1">
      <c r="A64" s="762" t="s">
        <v>419</v>
      </c>
      <c r="B64" s="723" t="s">
        <v>135</v>
      </c>
      <c r="C64" s="762" t="s">
        <v>288</v>
      </c>
      <c r="D64" s="749" t="s">
        <v>419</v>
      </c>
      <c r="E64" s="738" t="s">
        <v>271</v>
      </c>
      <c r="F64" s="739"/>
      <c r="G64" s="739"/>
      <c r="H64" s="739">
        <v>0</v>
      </c>
      <c r="I64" s="740">
        <f>IF(ISERROR((H64-G64)/G64),0,((H64-G64)/G64))</f>
        <v>0</v>
      </c>
      <c r="J64" s="739">
        <v>0</v>
      </c>
      <c r="K64" s="686">
        <v>56</v>
      </c>
      <c r="L64" s="739">
        <f t="shared" ref="L64:L82" si="37">J64+K64</f>
        <v>56</v>
      </c>
      <c r="M64" s="740">
        <f>IF(ISERROR((L64-H64)/H64),0,((L64-H64)/H64))</f>
        <v>0</v>
      </c>
      <c r="N64" s="739">
        <v>54</v>
      </c>
      <c r="O64" s="740">
        <f>IF(ISERROR((N64-L64)/L64),0,((N64-L64)/L64))</f>
        <v>-3.5714285714285712E-2</v>
      </c>
      <c r="P64" s="739">
        <v>160632.61088176086</v>
      </c>
      <c r="Q64" s="741"/>
      <c r="R64" s="742">
        <f t="shared" si="10"/>
        <v>0.8674160987615086</v>
      </c>
      <c r="S64" s="742"/>
      <c r="T64" s="742"/>
      <c r="U64" s="743">
        <v>6</v>
      </c>
      <c r="V64" s="743">
        <v>0</v>
      </c>
      <c r="W64" s="743">
        <v>6</v>
      </c>
      <c r="X64" s="743">
        <v>0</v>
      </c>
      <c r="Y64" s="743">
        <v>6</v>
      </c>
      <c r="Z64" s="743">
        <v>0</v>
      </c>
      <c r="AA64" s="743">
        <v>6</v>
      </c>
      <c r="AB64" s="743">
        <v>6</v>
      </c>
      <c r="AC64" s="743">
        <v>6</v>
      </c>
      <c r="AD64" s="744">
        <v>6</v>
      </c>
      <c r="AE64" s="744">
        <v>6</v>
      </c>
      <c r="AF64" s="745">
        <v>6</v>
      </c>
      <c r="AG64" s="733">
        <f t="shared" si="11"/>
        <v>0</v>
      </c>
      <c r="AH64" s="208">
        <f t="shared" si="12"/>
        <v>12</v>
      </c>
      <c r="AI64" s="208">
        <f t="shared" si="13"/>
        <v>6</v>
      </c>
      <c r="AJ64" s="208">
        <f t="shared" si="14"/>
        <v>18</v>
      </c>
      <c r="AK64" s="208">
        <f t="shared" si="15"/>
        <v>18</v>
      </c>
      <c r="AL64" s="208">
        <f t="shared" si="16"/>
        <v>54</v>
      </c>
      <c r="AM64" s="680"/>
      <c r="AN64" s="746">
        <f t="shared" si="31"/>
        <v>9.6379566529056521E-2</v>
      </c>
      <c r="AO64" s="746">
        <f t="shared" si="31"/>
        <v>0</v>
      </c>
      <c r="AP64" s="746">
        <f t="shared" si="31"/>
        <v>9.6379566529056521E-2</v>
      </c>
      <c r="AQ64" s="746">
        <f t="shared" si="30"/>
        <v>0</v>
      </c>
      <c r="AR64" s="746">
        <f t="shared" si="30"/>
        <v>9.6379566529056521E-2</v>
      </c>
      <c r="AS64" s="746">
        <f t="shared" si="30"/>
        <v>0</v>
      </c>
      <c r="AT64" s="746">
        <f t="shared" si="30"/>
        <v>9.6379566529056521E-2</v>
      </c>
      <c r="AU64" s="746">
        <f t="shared" si="30"/>
        <v>9.6379566529056521E-2</v>
      </c>
      <c r="AV64" s="746">
        <f t="shared" si="30"/>
        <v>9.6379566529056521E-2</v>
      </c>
      <c r="AW64" s="746">
        <f t="shared" si="30"/>
        <v>9.6379566529056521E-2</v>
      </c>
      <c r="AX64" s="746">
        <f t="shared" si="30"/>
        <v>9.6379566529056521E-2</v>
      </c>
      <c r="AY64" s="746">
        <f t="shared" si="30"/>
        <v>9.6379566529056521E-2</v>
      </c>
      <c r="AZ64" s="733">
        <f t="shared" si="17"/>
        <v>0</v>
      </c>
      <c r="BA64" s="636">
        <f t="shared" si="18"/>
        <v>0.19275913305811304</v>
      </c>
      <c r="BB64" s="636">
        <f t="shared" si="19"/>
        <v>9.6379566529056521E-2</v>
      </c>
      <c r="BC64" s="636">
        <f t="shared" si="20"/>
        <v>0.28913869958716953</v>
      </c>
      <c r="BD64" s="636">
        <f t="shared" si="21"/>
        <v>0.28913869958716953</v>
      </c>
      <c r="BE64" s="735">
        <f t="shared" si="22"/>
        <v>0.8674160987615086</v>
      </c>
      <c r="BF64" s="680"/>
      <c r="BG64" s="680"/>
      <c r="BH64" s="680"/>
      <c r="BI64" s="680"/>
      <c r="BJ64" s="680"/>
      <c r="BK64" s="680"/>
      <c r="BL64" s="680"/>
      <c r="BM64" s="680"/>
      <c r="BN64" s="680"/>
    </row>
    <row r="65" spans="1:66" ht="12.95" customHeight="1">
      <c r="A65" s="763" t="s">
        <v>420</v>
      </c>
      <c r="B65" s="723" t="s">
        <v>135</v>
      </c>
      <c r="C65" s="762" t="s">
        <v>288</v>
      </c>
      <c r="D65" s="749" t="s">
        <v>420</v>
      </c>
      <c r="E65" s="738" t="s">
        <v>271</v>
      </c>
      <c r="F65" s="739"/>
      <c r="G65" s="739"/>
      <c r="H65" s="739"/>
      <c r="I65" s="740"/>
      <c r="J65" s="739"/>
      <c r="K65" s="686">
        <f>118-K64</f>
        <v>62</v>
      </c>
      <c r="L65" s="739">
        <f t="shared" si="37"/>
        <v>62</v>
      </c>
      <c r="M65" s="740"/>
      <c r="N65" s="739">
        <v>75</v>
      </c>
      <c r="O65" s="740"/>
      <c r="P65" s="739">
        <v>270498.94550589233</v>
      </c>
      <c r="Q65" s="741"/>
      <c r="R65" s="742">
        <f t="shared" si="10"/>
        <v>2.0287420912941925</v>
      </c>
      <c r="S65" s="742"/>
      <c r="T65" s="742"/>
      <c r="U65" s="743">
        <v>7.5</v>
      </c>
      <c r="V65" s="743">
        <v>0</v>
      </c>
      <c r="W65" s="743">
        <v>7.5</v>
      </c>
      <c r="X65" s="743">
        <v>0</v>
      </c>
      <c r="Y65" s="743">
        <v>7.5</v>
      </c>
      <c r="Z65" s="743">
        <v>7.5</v>
      </c>
      <c r="AA65" s="743">
        <v>7.5</v>
      </c>
      <c r="AB65" s="743">
        <v>7.5</v>
      </c>
      <c r="AC65" s="743">
        <v>7.5</v>
      </c>
      <c r="AD65" s="744">
        <v>7.5</v>
      </c>
      <c r="AE65" s="744">
        <v>7.5</v>
      </c>
      <c r="AF65" s="745">
        <v>7.5</v>
      </c>
      <c r="AG65" s="733">
        <f t="shared" si="11"/>
        <v>0</v>
      </c>
      <c r="AH65" s="208">
        <f t="shared" si="12"/>
        <v>15</v>
      </c>
      <c r="AI65" s="208">
        <f t="shared" si="13"/>
        <v>15</v>
      </c>
      <c r="AJ65" s="208">
        <f t="shared" si="14"/>
        <v>22.5</v>
      </c>
      <c r="AK65" s="208">
        <f t="shared" si="15"/>
        <v>22.5</v>
      </c>
      <c r="AL65" s="208">
        <f t="shared" si="16"/>
        <v>75</v>
      </c>
      <c r="AM65" s="680"/>
      <c r="AN65" s="746">
        <f t="shared" si="31"/>
        <v>0.20287420912941925</v>
      </c>
      <c r="AO65" s="746">
        <f t="shared" si="31"/>
        <v>0</v>
      </c>
      <c r="AP65" s="746">
        <f t="shared" si="31"/>
        <v>0.20287420912941925</v>
      </c>
      <c r="AQ65" s="746">
        <f t="shared" si="30"/>
        <v>0</v>
      </c>
      <c r="AR65" s="746">
        <f t="shared" si="30"/>
        <v>0.20287420912941925</v>
      </c>
      <c r="AS65" s="746">
        <f t="shared" si="30"/>
        <v>0.20287420912941925</v>
      </c>
      <c r="AT65" s="746">
        <f t="shared" si="30"/>
        <v>0.20287420912941925</v>
      </c>
      <c r="AU65" s="746">
        <f t="shared" si="30"/>
        <v>0.20287420912941925</v>
      </c>
      <c r="AV65" s="746">
        <f t="shared" si="30"/>
        <v>0.20287420912941925</v>
      </c>
      <c r="AW65" s="746">
        <f t="shared" si="30"/>
        <v>0.20287420912941925</v>
      </c>
      <c r="AX65" s="746">
        <f t="shared" si="30"/>
        <v>0.20287420912941925</v>
      </c>
      <c r="AY65" s="746">
        <f t="shared" si="30"/>
        <v>0.20287420912941925</v>
      </c>
      <c r="AZ65" s="733">
        <f t="shared" si="17"/>
        <v>0</v>
      </c>
      <c r="BA65" s="636">
        <f t="shared" si="18"/>
        <v>0.40574841825883851</v>
      </c>
      <c r="BB65" s="636">
        <f t="shared" si="19"/>
        <v>0.40574841825883851</v>
      </c>
      <c r="BC65" s="636">
        <f t="shared" si="20"/>
        <v>0.60862262738825779</v>
      </c>
      <c r="BD65" s="636">
        <f t="shared" si="21"/>
        <v>0.60862262738825779</v>
      </c>
      <c r="BE65" s="735">
        <f t="shared" si="22"/>
        <v>2.0287420912941925</v>
      </c>
      <c r="BF65" s="680"/>
      <c r="BG65" s="680"/>
      <c r="BH65" s="680"/>
      <c r="BI65" s="680"/>
      <c r="BJ65" s="680"/>
      <c r="BK65" s="680"/>
      <c r="BL65" s="680"/>
      <c r="BM65" s="680"/>
      <c r="BN65" s="680"/>
    </row>
    <row r="66" spans="1:66" ht="36">
      <c r="A66" s="758" t="s">
        <v>238</v>
      </c>
      <c r="B66" s="723" t="s">
        <v>135</v>
      </c>
      <c r="C66" s="754" t="s">
        <v>239</v>
      </c>
      <c r="D66" s="749" t="s">
        <v>240</v>
      </c>
      <c r="E66" s="738" t="s">
        <v>144</v>
      </c>
      <c r="F66" s="739">
        <v>110.57300000000001</v>
      </c>
      <c r="G66" s="739">
        <v>0</v>
      </c>
      <c r="H66" s="739">
        <v>0</v>
      </c>
      <c r="I66" s="740">
        <f t="shared" ref="I66:I75" si="38">IF(ISERROR((H66-G66)/G66),0,((H66-G66)/G66))</f>
        <v>0</v>
      </c>
      <c r="J66" s="739">
        <v>0</v>
      </c>
      <c r="K66" s="686"/>
      <c r="L66" s="739">
        <f t="shared" si="37"/>
        <v>0</v>
      </c>
      <c r="M66" s="740">
        <f t="shared" ref="M66:M75" si="39">IF(ISERROR((L66-H66)/H66),0,((L66-H66)/H66))</f>
        <v>0</v>
      </c>
      <c r="N66" s="739">
        <v>0</v>
      </c>
      <c r="O66" s="740">
        <f>IF(ISERROR((N66-L66)/L66),0,((N66-L66)/L66))</f>
        <v>0</v>
      </c>
      <c r="P66" s="739">
        <v>0</v>
      </c>
      <c r="Q66" s="741"/>
      <c r="R66" s="742">
        <f t="shared" si="10"/>
        <v>0</v>
      </c>
      <c r="S66" s="742"/>
      <c r="T66" s="742"/>
      <c r="U66" s="743"/>
      <c r="V66" s="743"/>
      <c r="W66" s="743"/>
      <c r="X66" s="743"/>
      <c r="Y66" s="743"/>
      <c r="Z66" s="743"/>
      <c r="AA66" s="743"/>
      <c r="AB66" s="743"/>
      <c r="AC66" s="743"/>
      <c r="AD66" s="744"/>
      <c r="AE66" s="744"/>
      <c r="AF66" s="745"/>
      <c r="AG66" s="733">
        <f t="shared" si="11"/>
        <v>0</v>
      </c>
      <c r="AH66" s="208">
        <f t="shared" si="12"/>
        <v>0</v>
      </c>
      <c r="AI66" s="208">
        <f t="shared" si="13"/>
        <v>0</v>
      </c>
      <c r="AJ66" s="208">
        <f t="shared" si="14"/>
        <v>0</v>
      </c>
      <c r="AK66" s="208">
        <f t="shared" si="15"/>
        <v>0</v>
      </c>
      <c r="AL66" s="208">
        <f t="shared" si="16"/>
        <v>0</v>
      </c>
      <c r="AM66" s="680"/>
      <c r="AN66" s="746">
        <f t="shared" si="31"/>
        <v>0</v>
      </c>
      <c r="AO66" s="746">
        <f t="shared" si="31"/>
        <v>0</v>
      </c>
      <c r="AP66" s="746">
        <f t="shared" si="31"/>
        <v>0</v>
      </c>
      <c r="AQ66" s="746">
        <f t="shared" si="30"/>
        <v>0</v>
      </c>
      <c r="AR66" s="746">
        <f t="shared" si="30"/>
        <v>0</v>
      </c>
      <c r="AS66" s="746">
        <f t="shared" si="30"/>
        <v>0</v>
      </c>
      <c r="AT66" s="746">
        <f t="shared" si="30"/>
        <v>0</v>
      </c>
      <c r="AU66" s="746">
        <f t="shared" si="30"/>
        <v>0</v>
      </c>
      <c r="AV66" s="746">
        <f t="shared" si="30"/>
        <v>0</v>
      </c>
      <c r="AW66" s="746">
        <f t="shared" si="30"/>
        <v>0</v>
      </c>
      <c r="AX66" s="746">
        <f t="shared" si="30"/>
        <v>0</v>
      </c>
      <c r="AY66" s="746">
        <f t="shared" si="30"/>
        <v>0</v>
      </c>
      <c r="AZ66" s="733">
        <f t="shared" si="17"/>
        <v>0</v>
      </c>
      <c r="BA66" s="636">
        <f t="shared" si="18"/>
        <v>0</v>
      </c>
      <c r="BB66" s="636">
        <f t="shared" si="19"/>
        <v>0</v>
      </c>
      <c r="BC66" s="636">
        <f t="shared" si="20"/>
        <v>0</v>
      </c>
      <c r="BD66" s="636">
        <f t="shared" si="21"/>
        <v>0</v>
      </c>
      <c r="BE66" s="735">
        <f t="shared" si="22"/>
        <v>0</v>
      </c>
      <c r="BF66" s="680"/>
      <c r="BG66" s="680"/>
      <c r="BH66" s="680"/>
      <c r="BI66" s="680"/>
      <c r="BJ66" s="680"/>
      <c r="BK66" s="680"/>
      <c r="BL66" s="680"/>
      <c r="BM66" s="680"/>
      <c r="BN66" s="680"/>
    </row>
    <row r="67" spans="1:66" ht="12.75">
      <c r="A67" s="722" t="s">
        <v>235</v>
      </c>
      <c r="B67" s="723" t="s">
        <v>135</v>
      </c>
      <c r="C67" s="750" t="s">
        <v>236</v>
      </c>
      <c r="D67" s="748" t="s">
        <v>421</v>
      </c>
      <c r="E67" s="738" t="s">
        <v>237</v>
      </c>
      <c r="F67" s="739">
        <v>0</v>
      </c>
      <c r="G67" s="739">
        <v>0</v>
      </c>
      <c r="H67" s="739">
        <v>0</v>
      </c>
      <c r="I67" s="740">
        <f t="shared" si="38"/>
        <v>0</v>
      </c>
      <c r="J67" s="739">
        <v>0</v>
      </c>
      <c r="K67" s="686"/>
      <c r="L67" s="739">
        <f t="shared" si="37"/>
        <v>0</v>
      </c>
      <c r="M67" s="740">
        <f t="shared" si="39"/>
        <v>0</v>
      </c>
      <c r="N67" s="739">
        <v>0</v>
      </c>
      <c r="O67" s="740">
        <f>IF(ISERROR((N67-L67)/L67),0,((N67-L67)/L67))</f>
        <v>0</v>
      </c>
      <c r="P67" s="739">
        <v>0</v>
      </c>
      <c r="Q67" s="741"/>
      <c r="R67" s="742">
        <f t="shared" si="10"/>
        <v>0</v>
      </c>
      <c r="S67" s="742"/>
      <c r="T67" s="742"/>
      <c r="U67" s="743"/>
      <c r="V67" s="743"/>
      <c r="W67" s="743"/>
      <c r="X67" s="743"/>
      <c r="Y67" s="743"/>
      <c r="Z67" s="743"/>
      <c r="AA67" s="743"/>
      <c r="AB67" s="743"/>
      <c r="AC67" s="743"/>
      <c r="AD67" s="744"/>
      <c r="AE67" s="744"/>
      <c r="AF67" s="745"/>
      <c r="AG67" s="733">
        <f t="shared" si="11"/>
        <v>0</v>
      </c>
      <c r="AH67" s="208">
        <f t="shared" si="12"/>
        <v>0</v>
      </c>
      <c r="AI67" s="208">
        <f t="shared" si="13"/>
        <v>0</v>
      </c>
      <c r="AJ67" s="208">
        <f t="shared" si="14"/>
        <v>0</v>
      </c>
      <c r="AK67" s="208">
        <f t="shared" si="15"/>
        <v>0</v>
      </c>
      <c r="AL67" s="208">
        <f t="shared" si="16"/>
        <v>0</v>
      </c>
      <c r="AM67" s="680"/>
      <c r="AN67" s="746">
        <f t="shared" si="31"/>
        <v>0</v>
      </c>
      <c r="AO67" s="746">
        <f t="shared" si="31"/>
        <v>0</v>
      </c>
      <c r="AP67" s="746">
        <f t="shared" si="31"/>
        <v>0</v>
      </c>
      <c r="AQ67" s="746">
        <f t="shared" si="30"/>
        <v>0</v>
      </c>
      <c r="AR67" s="746">
        <f t="shared" si="30"/>
        <v>0</v>
      </c>
      <c r="AS67" s="746">
        <f t="shared" si="30"/>
        <v>0</v>
      </c>
      <c r="AT67" s="746">
        <f t="shared" si="30"/>
        <v>0</v>
      </c>
      <c r="AU67" s="746">
        <f t="shared" si="30"/>
        <v>0</v>
      </c>
      <c r="AV67" s="746">
        <f t="shared" si="30"/>
        <v>0</v>
      </c>
      <c r="AW67" s="746">
        <f t="shared" si="30"/>
        <v>0</v>
      </c>
      <c r="AX67" s="746">
        <f t="shared" si="30"/>
        <v>0</v>
      </c>
      <c r="AY67" s="746">
        <f t="shared" si="30"/>
        <v>0</v>
      </c>
      <c r="AZ67" s="733">
        <f t="shared" si="17"/>
        <v>0</v>
      </c>
      <c r="BA67" s="636">
        <f t="shared" si="18"/>
        <v>0</v>
      </c>
      <c r="BB67" s="636">
        <f t="shared" si="19"/>
        <v>0</v>
      </c>
      <c r="BC67" s="636">
        <f t="shared" si="20"/>
        <v>0</v>
      </c>
      <c r="BD67" s="636">
        <f t="shared" si="21"/>
        <v>0</v>
      </c>
      <c r="BE67" s="735">
        <f t="shared" si="22"/>
        <v>0</v>
      </c>
      <c r="BF67" s="680"/>
      <c r="BG67" s="680"/>
      <c r="BH67" s="680"/>
      <c r="BI67" s="680"/>
      <c r="BJ67" s="680"/>
      <c r="BK67" s="680"/>
      <c r="BL67" s="680"/>
      <c r="BM67" s="680"/>
      <c r="BN67" s="680"/>
    </row>
    <row r="68" spans="1:66" ht="12.75" customHeight="1">
      <c r="A68" s="722" t="s">
        <v>245</v>
      </c>
      <c r="B68" s="723" t="s">
        <v>135</v>
      </c>
      <c r="C68" s="764" t="s">
        <v>246</v>
      </c>
      <c r="D68" s="748" t="s">
        <v>247</v>
      </c>
      <c r="E68" s="738">
        <v>100</v>
      </c>
      <c r="F68" s="739">
        <v>49.427999999999997</v>
      </c>
      <c r="G68" s="739">
        <v>47.867999999999995</v>
      </c>
      <c r="H68" s="739">
        <v>0</v>
      </c>
      <c r="I68" s="740">
        <f t="shared" si="38"/>
        <v>-1</v>
      </c>
      <c r="J68" s="739">
        <v>0</v>
      </c>
      <c r="K68" s="686"/>
      <c r="L68" s="739">
        <f t="shared" si="37"/>
        <v>0</v>
      </c>
      <c r="M68" s="740">
        <f t="shared" si="39"/>
        <v>0</v>
      </c>
      <c r="N68" s="739">
        <v>0</v>
      </c>
      <c r="O68" s="740">
        <f>IF(ISERROR((N68-L68)/L68),0,((N68-L68)/L68))</f>
        <v>0</v>
      </c>
      <c r="P68" s="739">
        <v>0</v>
      </c>
      <c r="Q68" s="741"/>
      <c r="R68" s="742">
        <f t="shared" si="10"/>
        <v>0</v>
      </c>
      <c r="S68" s="742"/>
      <c r="T68" s="742"/>
      <c r="U68" s="743"/>
      <c r="V68" s="743"/>
      <c r="W68" s="743"/>
      <c r="X68" s="743"/>
      <c r="Y68" s="743"/>
      <c r="Z68" s="743"/>
      <c r="AA68" s="743"/>
      <c r="AB68" s="743"/>
      <c r="AC68" s="743"/>
      <c r="AD68" s="744"/>
      <c r="AE68" s="744"/>
      <c r="AF68" s="745"/>
      <c r="AG68" s="733">
        <f t="shared" si="11"/>
        <v>0</v>
      </c>
      <c r="AH68" s="208">
        <f t="shared" si="12"/>
        <v>0</v>
      </c>
      <c r="AI68" s="208">
        <f t="shared" si="13"/>
        <v>0</v>
      </c>
      <c r="AJ68" s="208">
        <f t="shared" si="14"/>
        <v>0</v>
      </c>
      <c r="AK68" s="208">
        <f t="shared" si="15"/>
        <v>0</v>
      </c>
      <c r="AL68" s="208">
        <f t="shared" si="16"/>
        <v>0</v>
      </c>
      <c r="AM68" s="680"/>
      <c r="AN68" s="746">
        <f t="shared" si="31"/>
        <v>0</v>
      </c>
      <c r="AO68" s="746">
        <f t="shared" si="31"/>
        <v>0</v>
      </c>
      <c r="AP68" s="746">
        <f t="shared" si="31"/>
        <v>0</v>
      </c>
      <c r="AQ68" s="746">
        <f t="shared" si="30"/>
        <v>0</v>
      </c>
      <c r="AR68" s="746">
        <f t="shared" si="30"/>
        <v>0</v>
      </c>
      <c r="AS68" s="746">
        <f t="shared" si="30"/>
        <v>0</v>
      </c>
      <c r="AT68" s="746">
        <f t="shared" si="30"/>
        <v>0</v>
      </c>
      <c r="AU68" s="746">
        <f t="shared" si="30"/>
        <v>0</v>
      </c>
      <c r="AV68" s="746">
        <f t="shared" si="30"/>
        <v>0</v>
      </c>
      <c r="AW68" s="746">
        <f t="shared" si="30"/>
        <v>0</v>
      </c>
      <c r="AX68" s="746">
        <f t="shared" si="30"/>
        <v>0</v>
      </c>
      <c r="AY68" s="746">
        <f t="shared" si="30"/>
        <v>0</v>
      </c>
      <c r="AZ68" s="733">
        <f t="shared" si="17"/>
        <v>0</v>
      </c>
      <c r="BA68" s="636">
        <f t="shared" si="18"/>
        <v>0</v>
      </c>
      <c r="BB68" s="636">
        <f t="shared" si="19"/>
        <v>0</v>
      </c>
      <c r="BC68" s="636">
        <f t="shared" si="20"/>
        <v>0</v>
      </c>
      <c r="BD68" s="636">
        <f t="shared" si="21"/>
        <v>0</v>
      </c>
      <c r="BE68" s="735">
        <f t="shared" si="22"/>
        <v>0</v>
      </c>
      <c r="BF68" s="680"/>
      <c r="BG68" s="680"/>
      <c r="BH68" s="680"/>
      <c r="BI68" s="680"/>
      <c r="BJ68" s="680"/>
      <c r="BK68" s="680"/>
      <c r="BL68" s="680"/>
      <c r="BM68" s="680"/>
      <c r="BN68" s="680"/>
    </row>
    <row r="69" spans="1:66" ht="24">
      <c r="A69" s="722" t="s">
        <v>248</v>
      </c>
      <c r="B69" s="723" t="s">
        <v>135</v>
      </c>
      <c r="C69" s="765" t="s">
        <v>246</v>
      </c>
      <c r="D69" s="747" t="s">
        <v>249</v>
      </c>
      <c r="E69" s="738" t="s">
        <v>144</v>
      </c>
      <c r="F69" s="739">
        <v>49.932000000000002</v>
      </c>
      <c r="G69" s="739">
        <v>47.16</v>
      </c>
      <c r="H69" s="739">
        <v>0</v>
      </c>
      <c r="I69" s="740">
        <f t="shared" si="38"/>
        <v>-1</v>
      </c>
      <c r="J69" s="739">
        <v>0</v>
      </c>
      <c r="K69" s="686"/>
      <c r="L69" s="739">
        <f t="shared" si="37"/>
        <v>0</v>
      </c>
      <c r="M69" s="740">
        <f t="shared" si="39"/>
        <v>0</v>
      </c>
      <c r="N69" s="739">
        <v>0</v>
      </c>
      <c r="O69" s="740">
        <f>IF(ISERROR((N69-L69)/L69),0,((N69-L69)/L69))</f>
        <v>0</v>
      </c>
      <c r="P69" s="739">
        <v>0</v>
      </c>
      <c r="Q69" s="741"/>
      <c r="R69" s="742">
        <f t="shared" si="10"/>
        <v>0</v>
      </c>
      <c r="S69" s="742"/>
      <c r="T69" s="742"/>
      <c r="U69" s="743"/>
      <c r="V69" s="743"/>
      <c r="W69" s="743"/>
      <c r="X69" s="743"/>
      <c r="Y69" s="743"/>
      <c r="Z69" s="743"/>
      <c r="AA69" s="743"/>
      <c r="AB69" s="743"/>
      <c r="AC69" s="743"/>
      <c r="AD69" s="744"/>
      <c r="AE69" s="744"/>
      <c r="AF69" s="745"/>
      <c r="AG69" s="733">
        <f t="shared" si="11"/>
        <v>0</v>
      </c>
      <c r="AH69" s="208">
        <f t="shared" si="12"/>
        <v>0</v>
      </c>
      <c r="AI69" s="208">
        <f t="shared" si="13"/>
        <v>0</v>
      </c>
      <c r="AJ69" s="208">
        <f t="shared" si="14"/>
        <v>0</v>
      </c>
      <c r="AK69" s="208">
        <f t="shared" si="15"/>
        <v>0</v>
      </c>
      <c r="AL69" s="208">
        <f t="shared" si="16"/>
        <v>0</v>
      </c>
      <c r="AM69" s="680"/>
      <c r="AN69" s="746">
        <f t="shared" si="31"/>
        <v>0</v>
      </c>
      <c r="AO69" s="746">
        <f t="shared" si="31"/>
        <v>0</v>
      </c>
      <c r="AP69" s="746">
        <f t="shared" si="31"/>
        <v>0</v>
      </c>
      <c r="AQ69" s="746">
        <f t="shared" si="30"/>
        <v>0</v>
      </c>
      <c r="AR69" s="746">
        <f t="shared" si="30"/>
        <v>0</v>
      </c>
      <c r="AS69" s="746">
        <f t="shared" si="30"/>
        <v>0</v>
      </c>
      <c r="AT69" s="746">
        <f t="shared" si="30"/>
        <v>0</v>
      </c>
      <c r="AU69" s="746">
        <f t="shared" si="30"/>
        <v>0</v>
      </c>
      <c r="AV69" s="746">
        <f t="shared" si="30"/>
        <v>0</v>
      </c>
      <c r="AW69" s="746">
        <f t="shared" si="30"/>
        <v>0</v>
      </c>
      <c r="AX69" s="746">
        <f t="shared" si="30"/>
        <v>0</v>
      </c>
      <c r="AY69" s="746">
        <f t="shared" si="30"/>
        <v>0</v>
      </c>
      <c r="AZ69" s="733">
        <f t="shared" si="17"/>
        <v>0</v>
      </c>
      <c r="BA69" s="636">
        <f t="shared" si="18"/>
        <v>0</v>
      </c>
      <c r="BB69" s="636">
        <f t="shared" si="19"/>
        <v>0</v>
      </c>
      <c r="BC69" s="636">
        <f t="shared" si="20"/>
        <v>0</v>
      </c>
      <c r="BD69" s="636">
        <f t="shared" si="21"/>
        <v>0</v>
      </c>
      <c r="BE69" s="735">
        <f t="shared" si="22"/>
        <v>0</v>
      </c>
      <c r="BF69" s="680"/>
      <c r="BG69" s="680"/>
      <c r="BH69" s="680"/>
      <c r="BI69" s="680"/>
      <c r="BJ69" s="680"/>
      <c r="BK69" s="680"/>
      <c r="BL69" s="680"/>
      <c r="BM69" s="680"/>
      <c r="BN69" s="680"/>
    </row>
    <row r="70" spans="1:66" ht="24">
      <c r="A70" s="722" t="s">
        <v>250</v>
      </c>
      <c r="B70" s="723" t="s">
        <v>135</v>
      </c>
      <c r="C70" s="766" t="s">
        <v>246</v>
      </c>
      <c r="D70" s="747" t="s">
        <v>251</v>
      </c>
      <c r="E70" s="738" t="s">
        <v>142</v>
      </c>
      <c r="F70" s="739">
        <v>44.594000000000001</v>
      </c>
      <c r="G70" s="739">
        <v>42.087000000000003</v>
      </c>
      <c r="H70" s="739">
        <v>0</v>
      </c>
      <c r="I70" s="740">
        <f t="shared" si="38"/>
        <v>-1</v>
      </c>
      <c r="J70" s="739">
        <v>0</v>
      </c>
      <c r="K70" s="686"/>
      <c r="L70" s="739">
        <f t="shared" si="37"/>
        <v>0</v>
      </c>
      <c r="M70" s="740">
        <f t="shared" si="39"/>
        <v>0</v>
      </c>
      <c r="N70" s="739">
        <v>0</v>
      </c>
      <c r="O70" s="740">
        <f>IF(ISERROR((N70-L70)/L70),0,((N70-L70)/L70))</f>
        <v>0</v>
      </c>
      <c r="P70" s="739">
        <v>0</v>
      </c>
      <c r="Q70" s="741"/>
      <c r="R70" s="742">
        <f t="shared" si="10"/>
        <v>0</v>
      </c>
      <c r="S70" s="742"/>
      <c r="T70" s="742"/>
      <c r="U70" s="743"/>
      <c r="V70" s="743"/>
      <c r="W70" s="743"/>
      <c r="X70" s="743"/>
      <c r="Y70" s="743"/>
      <c r="Z70" s="743"/>
      <c r="AA70" s="743"/>
      <c r="AB70" s="743"/>
      <c r="AC70" s="743"/>
      <c r="AD70" s="744"/>
      <c r="AE70" s="744"/>
      <c r="AF70" s="745"/>
      <c r="AG70" s="733">
        <f t="shared" si="11"/>
        <v>0</v>
      </c>
      <c r="AH70" s="208">
        <f t="shared" si="12"/>
        <v>0</v>
      </c>
      <c r="AI70" s="208">
        <f t="shared" si="13"/>
        <v>0</v>
      </c>
      <c r="AJ70" s="208">
        <f t="shared" si="14"/>
        <v>0</v>
      </c>
      <c r="AK70" s="208">
        <f t="shared" si="15"/>
        <v>0</v>
      </c>
      <c r="AL70" s="208">
        <f t="shared" si="16"/>
        <v>0</v>
      </c>
      <c r="AM70" s="680"/>
      <c r="AN70" s="746">
        <f t="shared" si="31"/>
        <v>0</v>
      </c>
      <c r="AO70" s="746">
        <f t="shared" si="31"/>
        <v>0</v>
      </c>
      <c r="AP70" s="746">
        <f t="shared" si="31"/>
        <v>0</v>
      </c>
      <c r="AQ70" s="746">
        <f t="shared" si="30"/>
        <v>0</v>
      </c>
      <c r="AR70" s="746">
        <f t="shared" si="30"/>
        <v>0</v>
      </c>
      <c r="AS70" s="746">
        <f t="shared" si="30"/>
        <v>0</v>
      </c>
      <c r="AT70" s="746">
        <f t="shared" si="30"/>
        <v>0</v>
      </c>
      <c r="AU70" s="746">
        <f t="shared" si="30"/>
        <v>0</v>
      </c>
      <c r="AV70" s="746">
        <f t="shared" si="30"/>
        <v>0</v>
      </c>
      <c r="AW70" s="746">
        <f t="shared" si="30"/>
        <v>0</v>
      </c>
      <c r="AX70" s="746">
        <f t="shared" si="30"/>
        <v>0</v>
      </c>
      <c r="AY70" s="746">
        <f t="shared" si="30"/>
        <v>0</v>
      </c>
      <c r="AZ70" s="733">
        <f t="shared" si="17"/>
        <v>0</v>
      </c>
      <c r="BA70" s="636">
        <f t="shared" si="18"/>
        <v>0</v>
      </c>
      <c r="BB70" s="636">
        <f t="shared" si="19"/>
        <v>0</v>
      </c>
      <c r="BC70" s="636">
        <f t="shared" si="20"/>
        <v>0</v>
      </c>
      <c r="BD70" s="636">
        <f t="shared" si="21"/>
        <v>0</v>
      </c>
      <c r="BE70" s="735">
        <f t="shared" si="22"/>
        <v>0</v>
      </c>
      <c r="BF70" s="680"/>
      <c r="BG70" s="680"/>
      <c r="BH70" s="680"/>
      <c r="BI70" s="680"/>
      <c r="BJ70" s="680"/>
      <c r="BK70" s="680"/>
      <c r="BL70" s="680"/>
      <c r="BM70" s="680"/>
      <c r="BN70" s="680"/>
    </row>
    <row r="71" spans="1:66" ht="24">
      <c r="A71" s="722" t="s">
        <v>252</v>
      </c>
      <c r="B71" s="723" t="s">
        <v>135</v>
      </c>
      <c r="C71" s="753" t="s">
        <v>246</v>
      </c>
      <c r="D71" s="747" t="s">
        <v>253</v>
      </c>
      <c r="E71" s="767" t="s">
        <v>142</v>
      </c>
      <c r="F71" s="739">
        <v>30.79</v>
      </c>
      <c r="G71" s="739">
        <v>50.134000000000007</v>
      </c>
      <c r="H71" s="739">
        <v>0</v>
      </c>
      <c r="I71" s="740">
        <f t="shared" si="38"/>
        <v>-1</v>
      </c>
      <c r="J71" s="739">
        <v>0</v>
      </c>
      <c r="K71" s="686"/>
      <c r="L71" s="739">
        <f t="shared" si="37"/>
        <v>0</v>
      </c>
      <c r="M71" s="740">
        <f t="shared" si="39"/>
        <v>0</v>
      </c>
      <c r="N71" s="739">
        <v>0</v>
      </c>
      <c r="O71" s="740">
        <f t="shared" ref="O71:O82" si="40">IF(ISERROR((N71-L71)/L71),0,((N71-L71)/L71))</f>
        <v>0</v>
      </c>
      <c r="P71" s="739">
        <v>0</v>
      </c>
      <c r="Q71" s="741"/>
      <c r="R71" s="742">
        <f t="shared" si="10"/>
        <v>0</v>
      </c>
      <c r="S71" s="742"/>
      <c r="T71" s="742"/>
      <c r="U71" s="743"/>
      <c r="V71" s="743"/>
      <c r="W71" s="743"/>
      <c r="X71" s="743"/>
      <c r="Y71" s="743"/>
      <c r="Z71" s="743"/>
      <c r="AA71" s="743"/>
      <c r="AB71" s="743"/>
      <c r="AC71" s="743"/>
      <c r="AD71" s="744"/>
      <c r="AE71" s="744"/>
      <c r="AF71" s="745"/>
      <c r="AG71" s="733">
        <f t="shared" si="11"/>
        <v>0</v>
      </c>
      <c r="AH71" s="208">
        <f t="shared" si="12"/>
        <v>0</v>
      </c>
      <c r="AI71" s="208">
        <f t="shared" si="13"/>
        <v>0</v>
      </c>
      <c r="AJ71" s="208">
        <f t="shared" si="14"/>
        <v>0</v>
      </c>
      <c r="AK71" s="208">
        <f t="shared" si="15"/>
        <v>0</v>
      </c>
      <c r="AL71" s="208">
        <f t="shared" si="16"/>
        <v>0</v>
      </c>
      <c r="AM71" s="680"/>
      <c r="AN71" s="746">
        <f t="shared" si="31"/>
        <v>0</v>
      </c>
      <c r="AO71" s="746">
        <f t="shared" si="31"/>
        <v>0</v>
      </c>
      <c r="AP71" s="746">
        <f t="shared" si="31"/>
        <v>0</v>
      </c>
      <c r="AQ71" s="746">
        <f t="shared" si="30"/>
        <v>0</v>
      </c>
      <c r="AR71" s="746">
        <f t="shared" si="30"/>
        <v>0</v>
      </c>
      <c r="AS71" s="746">
        <f t="shared" si="30"/>
        <v>0</v>
      </c>
      <c r="AT71" s="746">
        <f t="shared" si="30"/>
        <v>0</v>
      </c>
      <c r="AU71" s="746">
        <f t="shared" si="30"/>
        <v>0</v>
      </c>
      <c r="AV71" s="746">
        <f t="shared" si="30"/>
        <v>0</v>
      </c>
      <c r="AW71" s="746">
        <f t="shared" si="30"/>
        <v>0</v>
      </c>
      <c r="AX71" s="746">
        <f t="shared" si="30"/>
        <v>0</v>
      </c>
      <c r="AY71" s="746">
        <f t="shared" si="30"/>
        <v>0</v>
      </c>
      <c r="AZ71" s="733">
        <f t="shared" si="17"/>
        <v>0</v>
      </c>
      <c r="BA71" s="636">
        <f t="shared" si="18"/>
        <v>0</v>
      </c>
      <c r="BB71" s="636">
        <f t="shared" si="19"/>
        <v>0</v>
      </c>
      <c r="BC71" s="636">
        <f t="shared" si="20"/>
        <v>0</v>
      </c>
      <c r="BD71" s="636">
        <f t="shared" si="21"/>
        <v>0</v>
      </c>
      <c r="BE71" s="735">
        <f t="shared" si="22"/>
        <v>0</v>
      </c>
      <c r="BF71" s="680"/>
      <c r="BG71" s="680"/>
      <c r="BH71" s="680"/>
      <c r="BI71" s="680"/>
      <c r="BJ71" s="680"/>
      <c r="BK71" s="680"/>
      <c r="BL71" s="680"/>
      <c r="BM71" s="680"/>
      <c r="BN71" s="680"/>
    </row>
    <row r="72" spans="1:66" ht="12.75">
      <c r="A72" s="722" t="s">
        <v>258</v>
      </c>
      <c r="B72" s="723" t="s">
        <v>135</v>
      </c>
      <c r="C72" s="753" t="s">
        <v>259</v>
      </c>
      <c r="D72" s="747" t="s">
        <v>422</v>
      </c>
      <c r="E72" s="767" t="s">
        <v>142</v>
      </c>
      <c r="F72" s="739">
        <v>27.951000000000001</v>
      </c>
      <c r="G72" s="739">
        <v>0</v>
      </c>
      <c r="H72" s="739">
        <v>0</v>
      </c>
      <c r="I72" s="740">
        <f t="shared" si="38"/>
        <v>0</v>
      </c>
      <c r="J72" s="739">
        <v>0</v>
      </c>
      <c r="K72" s="686"/>
      <c r="L72" s="739">
        <f t="shared" si="37"/>
        <v>0</v>
      </c>
      <c r="M72" s="740">
        <f t="shared" si="39"/>
        <v>0</v>
      </c>
      <c r="N72" s="739">
        <v>0</v>
      </c>
      <c r="O72" s="740">
        <f t="shared" si="40"/>
        <v>0</v>
      </c>
      <c r="P72" s="739">
        <v>0</v>
      </c>
      <c r="Q72" s="741"/>
      <c r="R72" s="742">
        <f t="shared" ref="R72:R135" si="41">+(N72*P72)/10000000</f>
        <v>0</v>
      </c>
      <c r="S72" s="742"/>
      <c r="T72" s="742"/>
      <c r="U72" s="743"/>
      <c r="V72" s="743"/>
      <c r="W72" s="743"/>
      <c r="X72" s="743"/>
      <c r="Y72" s="743"/>
      <c r="Z72" s="743"/>
      <c r="AA72" s="743"/>
      <c r="AB72" s="743"/>
      <c r="AC72" s="743"/>
      <c r="AD72" s="744"/>
      <c r="AE72" s="744"/>
      <c r="AF72" s="745"/>
      <c r="AG72" s="733">
        <f t="shared" ref="AG72:AG135" si="42">SUM(U72:AF72)-N72</f>
        <v>0</v>
      </c>
      <c r="AH72" s="208">
        <f t="shared" ref="AH72:AH135" si="43">SUM(U72:W72)</f>
        <v>0</v>
      </c>
      <c r="AI72" s="208">
        <f t="shared" ref="AI72:AI135" si="44">SUM(X72:Z72)</f>
        <v>0</v>
      </c>
      <c r="AJ72" s="208">
        <f t="shared" ref="AJ72:AJ135" si="45">SUM(AA72:AC72)</f>
        <v>0</v>
      </c>
      <c r="AK72" s="208">
        <f t="shared" ref="AK72:AK135" si="46">SUM(AD72:AF72)</f>
        <v>0</v>
      </c>
      <c r="AL72" s="208">
        <f t="shared" ref="AL72:AL135" si="47">SUM(AH72:AK72)</f>
        <v>0</v>
      </c>
      <c r="AM72" s="680"/>
      <c r="AN72" s="746">
        <f t="shared" si="31"/>
        <v>0</v>
      </c>
      <c r="AO72" s="746">
        <f t="shared" si="31"/>
        <v>0</v>
      </c>
      <c r="AP72" s="746">
        <f t="shared" si="31"/>
        <v>0</v>
      </c>
      <c r="AQ72" s="746">
        <f t="shared" si="30"/>
        <v>0</v>
      </c>
      <c r="AR72" s="746">
        <f t="shared" si="30"/>
        <v>0</v>
      </c>
      <c r="AS72" s="746">
        <f t="shared" si="30"/>
        <v>0</v>
      </c>
      <c r="AT72" s="746">
        <f t="shared" ref="AT72:AY102" si="48">AA72*$P72/10^7</f>
        <v>0</v>
      </c>
      <c r="AU72" s="746">
        <f t="shared" si="48"/>
        <v>0</v>
      </c>
      <c r="AV72" s="746">
        <f t="shared" si="48"/>
        <v>0</v>
      </c>
      <c r="AW72" s="746">
        <f t="shared" si="48"/>
        <v>0</v>
      </c>
      <c r="AX72" s="746">
        <f t="shared" si="48"/>
        <v>0</v>
      </c>
      <c r="AY72" s="746">
        <f t="shared" si="48"/>
        <v>0</v>
      </c>
      <c r="AZ72" s="733">
        <f t="shared" ref="AZ72:AZ135" si="49">SUM(AN72:AY72)-R72</f>
        <v>0</v>
      </c>
      <c r="BA72" s="636">
        <f t="shared" ref="BA72:BA135" si="50">SUM(AN72:AP72)</f>
        <v>0</v>
      </c>
      <c r="BB72" s="636">
        <f t="shared" ref="BB72:BB135" si="51">SUM(AQ72:AS72)</f>
        <v>0</v>
      </c>
      <c r="BC72" s="636">
        <f t="shared" ref="BC72:BC135" si="52">SUM(AT72:AV72)</f>
        <v>0</v>
      </c>
      <c r="BD72" s="636">
        <f t="shared" ref="BD72:BD135" si="53">SUM(AW72:AY72)</f>
        <v>0</v>
      </c>
      <c r="BE72" s="735">
        <f t="shared" ref="BE72:BE135" si="54">SUM(BA72:BD72)</f>
        <v>0</v>
      </c>
      <c r="BF72" s="680"/>
      <c r="BG72" s="680"/>
      <c r="BH72" s="680"/>
      <c r="BI72" s="680"/>
      <c r="BJ72" s="680"/>
      <c r="BK72" s="680"/>
      <c r="BL72" s="680"/>
      <c r="BM72" s="680"/>
      <c r="BN72" s="680"/>
    </row>
    <row r="73" spans="1:66" ht="36">
      <c r="A73" s="722" t="s">
        <v>423</v>
      </c>
      <c r="B73" s="723" t="s">
        <v>135</v>
      </c>
      <c r="C73" s="747" t="s">
        <v>263</v>
      </c>
      <c r="D73" s="747" t="s">
        <v>262</v>
      </c>
      <c r="E73" s="767" t="s">
        <v>265</v>
      </c>
      <c r="F73" s="739"/>
      <c r="G73" s="739"/>
      <c r="H73" s="739">
        <v>0</v>
      </c>
      <c r="I73" s="740">
        <f t="shared" si="38"/>
        <v>0</v>
      </c>
      <c r="J73" s="739">
        <v>0</v>
      </c>
      <c r="K73" s="686"/>
      <c r="L73" s="739">
        <f t="shared" si="37"/>
        <v>0</v>
      </c>
      <c r="M73" s="740">
        <f t="shared" si="39"/>
        <v>0</v>
      </c>
      <c r="N73" s="739">
        <v>30</v>
      </c>
      <c r="O73" s="740">
        <f t="shared" si="40"/>
        <v>0</v>
      </c>
      <c r="P73" s="739">
        <v>146639.60138469998</v>
      </c>
      <c r="Q73" s="741"/>
      <c r="R73" s="742">
        <f t="shared" si="41"/>
        <v>0.43991880415410001</v>
      </c>
      <c r="S73" s="742"/>
      <c r="T73" s="742"/>
      <c r="U73" s="743"/>
      <c r="V73" s="743"/>
      <c r="W73" s="743"/>
      <c r="X73" s="743"/>
      <c r="Y73" s="743"/>
      <c r="Z73" s="743"/>
      <c r="AA73" s="743">
        <v>15</v>
      </c>
      <c r="AB73" s="743"/>
      <c r="AC73" s="743">
        <v>15</v>
      </c>
      <c r="AD73" s="744"/>
      <c r="AE73" s="744"/>
      <c r="AF73" s="745"/>
      <c r="AG73" s="733">
        <f t="shared" si="42"/>
        <v>0</v>
      </c>
      <c r="AH73" s="208">
        <f t="shared" si="43"/>
        <v>0</v>
      </c>
      <c r="AI73" s="208">
        <f t="shared" si="44"/>
        <v>0</v>
      </c>
      <c r="AJ73" s="208">
        <f t="shared" si="45"/>
        <v>30</v>
      </c>
      <c r="AK73" s="208">
        <f t="shared" si="46"/>
        <v>0</v>
      </c>
      <c r="AL73" s="208">
        <f t="shared" si="47"/>
        <v>30</v>
      </c>
      <c r="AM73" s="680"/>
      <c r="AN73" s="746">
        <f t="shared" si="31"/>
        <v>0</v>
      </c>
      <c r="AO73" s="746">
        <f t="shared" si="31"/>
        <v>0</v>
      </c>
      <c r="AP73" s="746">
        <f t="shared" si="31"/>
        <v>0</v>
      </c>
      <c r="AQ73" s="746">
        <f t="shared" si="31"/>
        <v>0</v>
      </c>
      <c r="AR73" s="746">
        <f t="shared" si="31"/>
        <v>0</v>
      </c>
      <c r="AS73" s="746">
        <f t="shared" si="31"/>
        <v>0</v>
      </c>
      <c r="AT73" s="746">
        <f t="shared" si="48"/>
        <v>0.21995940207705</v>
      </c>
      <c r="AU73" s="746">
        <f t="shared" si="48"/>
        <v>0</v>
      </c>
      <c r="AV73" s="746">
        <f t="shared" si="48"/>
        <v>0.21995940207705</v>
      </c>
      <c r="AW73" s="746">
        <f t="shared" si="48"/>
        <v>0</v>
      </c>
      <c r="AX73" s="746">
        <f t="shared" si="48"/>
        <v>0</v>
      </c>
      <c r="AY73" s="746">
        <f t="shared" si="48"/>
        <v>0</v>
      </c>
      <c r="AZ73" s="733">
        <f t="shared" si="49"/>
        <v>0</v>
      </c>
      <c r="BA73" s="636">
        <f t="shared" si="50"/>
        <v>0</v>
      </c>
      <c r="BB73" s="636">
        <f t="shared" si="51"/>
        <v>0</v>
      </c>
      <c r="BC73" s="636">
        <f t="shared" si="52"/>
        <v>0.43991880415410001</v>
      </c>
      <c r="BD73" s="636">
        <f t="shared" si="53"/>
        <v>0</v>
      </c>
      <c r="BE73" s="735">
        <f t="shared" si="54"/>
        <v>0.43991880415410001</v>
      </c>
      <c r="BF73" s="680"/>
      <c r="BG73" s="680"/>
      <c r="BH73" s="680"/>
      <c r="BI73" s="680"/>
      <c r="BJ73" s="680"/>
      <c r="BK73" s="680"/>
      <c r="BL73" s="680"/>
      <c r="BM73" s="680"/>
      <c r="BN73" s="680"/>
    </row>
    <row r="74" spans="1:66" ht="24">
      <c r="A74" s="722" t="s">
        <v>424</v>
      </c>
      <c r="B74" s="723" t="s">
        <v>135</v>
      </c>
      <c r="C74" s="747" t="s">
        <v>263</v>
      </c>
      <c r="D74" s="747" t="s">
        <v>266</v>
      </c>
      <c r="E74" s="767" t="s">
        <v>268</v>
      </c>
      <c r="F74" s="739"/>
      <c r="G74" s="739"/>
      <c r="H74" s="739">
        <v>0</v>
      </c>
      <c r="I74" s="740">
        <f t="shared" si="38"/>
        <v>0</v>
      </c>
      <c r="J74" s="739">
        <v>0</v>
      </c>
      <c r="K74" s="686">
        <v>260</v>
      </c>
      <c r="L74" s="739">
        <f t="shared" si="37"/>
        <v>260</v>
      </c>
      <c r="M74" s="740">
        <f t="shared" si="39"/>
        <v>0</v>
      </c>
      <c r="N74" s="739">
        <v>260</v>
      </c>
      <c r="O74" s="740">
        <f t="shared" si="40"/>
        <v>0</v>
      </c>
      <c r="P74" s="739">
        <v>100624.27701651545</v>
      </c>
      <c r="Q74" s="741"/>
      <c r="R74" s="742">
        <f t="shared" si="41"/>
        <v>2.6162312024294017</v>
      </c>
      <c r="S74" s="742"/>
      <c r="T74" s="742"/>
      <c r="U74" s="743"/>
      <c r="V74" s="743">
        <v>30</v>
      </c>
      <c r="W74" s="743"/>
      <c r="X74" s="743">
        <v>30</v>
      </c>
      <c r="Y74" s="743"/>
      <c r="Z74" s="743">
        <v>30</v>
      </c>
      <c r="AA74" s="743"/>
      <c r="AB74" s="743">
        <v>30</v>
      </c>
      <c r="AC74" s="743">
        <v>60</v>
      </c>
      <c r="AD74" s="743">
        <v>50</v>
      </c>
      <c r="AE74" s="743">
        <v>30</v>
      </c>
      <c r="AF74" s="745"/>
      <c r="AG74" s="733">
        <f t="shared" si="42"/>
        <v>0</v>
      </c>
      <c r="AH74" s="208">
        <f t="shared" si="43"/>
        <v>30</v>
      </c>
      <c r="AI74" s="208">
        <f t="shared" si="44"/>
        <v>60</v>
      </c>
      <c r="AJ74" s="208">
        <f t="shared" si="45"/>
        <v>90</v>
      </c>
      <c r="AK74" s="208">
        <f t="shared" si="46"/>
        <v>80</v>
      </c>
      <c r="AL74" s="208">
        <f t="shared" si="47"/>
        <v>260</v>
      </c>
      <c r="AM74" s="680"/>
      <c r="AN74" s="746">
        <f t="shared" si="31"/>
        <v>0</v>
      </c>
      <c r="AO74" s="746">
        <f t="shared" si="31"/>
        <v>0.30187283104954638</v>
      </c>
      <c r="AP74" s="746">
        <f t="shared" si="31"/>
        <v>0</v>
      </c>
      <c r="AQ74" s="746">
        <f t="shared" si="31"/>
        <v>0.30187283104954638</v>
      </c>
      <c r="AR74" s="746">
        <f t="shared" si="31"/>
        <v>0</v>
      </c>
      <c r="AS74" s="746">
        <f t="shared" si="31"/>
        <v>0.30187283104954638</v>
      </c>
      <c r="AT74" s="746">
        <f t="shared" si="48"/>
        <v>0</v>
      </c>
      <c r="AU74" s="746">
        <f t="shared" si="48"/>
        <v>0.30187283104954638</v>
      </c>
      <c r="AV74" s="746">
        <f t="shared" si="48"/>
        <v>0.60374566209909275</v>
      </c>
      <c r="AW74" s="746">
        <f t="shared" si="48"/>
        <v>0.50312138508257731</v>
      </c>
      <c r="AX74" s="746">
        <f t="shared" si="48"/>
        <v>0.30187283104954638</v>
      </c>
      <c r="AY74" s="746">
        <f t="shared" si="48"/>
        <v>0</v>
      </c>
      <c r="AZ74" s="733">
        <f t="shared" si="49"/>
        <v>0</v>
      </c>
      <c r="BA74" s="636">
        <f t="shared" si="50"/>
        <v>0.30187283104954638</v>
      </c>
      <c r="BB74" s="636">
        <f t="shared" si="51"/>
        <v>0.60374566209909275</v>
      </c>
      <c r="BC74" s="636">
        <f t="shared" si="52"/>
        <v>0.90561849314863907</v>
      </c>
      <c r="BD74" s="636">
        <f t="shared" si="53"/>
        <v>0.80499421613212374</v>
      </c>
      <c r="BE74" s="735">
        <f t="shared" si="54"/>
        <v>2.6162312024294021</v>
      </c>
      <c r="BF74" s="680"/>
      <c r="BG74" s="680"/>
      <c r="BH74" s="680"/>
      <c r="BI74" s="680"/>
      <c r="BJ74" s="680"/>
      <c r="BK74" s="680"/>
      <c r="BL74" s="680"/>
      <c r="BM74" s="680"/>
      <c r="BN74" s="680"/>
    </row>
    <row r="75" spans="1:66" ht="36">
      <c r="A75" s="722" t="s">
        <v>425</v>
      </c>
      <c r="B75" s="723" t="s">
        <v>135</v>
      </c>
      <c r="C75" s="747" t="s">
        <v>263</v>
      </c>
      <c r="D75" s="747" t="s">
        <v>269</v>
      </c>
      <c r="E75" s="767" t="s">
        <v>271</v>
      </c>
      <c r="F75" s="739"/>
      <c r="G75" s="739"/>
      <c r="H75" s="739">
        <v>0</v>
      </c>
      <c r="I75" s="740">
        <f t="shared" si="38"/>
        <v>0</v>
      </c>
      <c r="J75" s="739">
        <v>0</v>
      </c>
      <c r="K75" s="686">
        <v>31</v>
      </c>
      <c r="L75" s="739">
        <f t="shared" si="37"/>
        <v>31</v>
      </c>
      <c r="M75" s="740">
        <f t="shared" si="39"/>
        <v>0</v>
      </c>
      <c r="N75" s="739">
        <v>160</v>
      </c>
      <c r="O75" s="740">
        <f t="shared" si="40"/>
        <v>4.161290322580645</v>
      </c>
      <c r="P75" s="739">
        <v>119586.72043200377</v>
      </c>
      <c r="Q75" s="741"/>
      <c r="R75" s="742">
        <f t="shared" si="41"/>
        <v>1.9133875269120604</v>
      </c>
      <c r="S75" s="742"/>
      <c r="T75" s="742"/>
      <c r="U75" s="743">
        <v>36</v>
      </c>
      <c r="V75" s="743"/>
      <c r="W75" s="743"/>
      <c r="X75" s="743"/>
      <c r="Y75" s="743">
        <v>36</v>
      </c>
      <c r="Z75" s="743"/>
      <c r="AA75" s="743">
        <v>27</v>
      </c>
      <c r="AB75" s="743"/>
      <c r="AC75" s="743"/>
      <c r="AD75" s="744">
        <v>36</v>
      </c>
      <c r="AE75" s="744"/>
      <c r="AF75" s="745">
        <v>25</v>
      </c>
      <c r="AG75" s="733">
        <f t="shared" si="42"/>
        <v>0</v>
      </c>
      <c r="AH75" s="208">
        <f t="shared" si="43"/>
        <v>36</v>
      </c>
      <c r="AI75" s="208">
        <f t="shared" si="44"/>
        <v>36</v>
      </c>
      <c r="AJ75" s="208">
        <f t="shared" si="45"/>
        <v>27</v>
      </c>
      <c r="AK75" s="208">
        <f t="shared" si="46"/>
        <v>61</v>
      </c>
      <c r="AL75" s="208">
        <f t="shared" si="47"/>
        <v>160</v>
      </c>
      <c r="AM75" s="680"/>
      <c r="AN75" s="746">
        <f t="shared" si="31"/>
        <v>0.43051219355521358</v>
      </c>
      <c r="AO75" s="746">
        <f t="shared" si="31"/>
        <v>0</v>
      </c>
      <c r="AP75" s="746">
        <f t="shared" si="31"/>
        <v>0</v>
      </c>
      <c r="AQ75" s="746">
        <f t="shared" si="31"/>
        <v>0</v>
      </c>
      <c r="AR75" s="746">
        <f t="shared" si="31"/>
        <v>0.43051219355521358</v>
      </c>
      <c r="AS75" s="746">
        <f t="shared" si="31"/>
        <v>0</v>
      </c>
      <c r="AT75" s="746">
        <f t="shared" si="48"/>
        <v>0.32288414516641017</v>
      </c>
      <c r="AU75" s="746">
        <f t="shared" si="48"/>
        <v>0</v>
      </c>
      <c r="AV75" s="746">
        <f t="shared" si="48"/>
        <v>0</v>
      </c>
      <c r="AW75" s="746">
        <f t="shared" si="48"/>
        <v>0.43051219355521358</v>
      </c>
      <c r="AX75" s="746">
        <f t="shared" si="48"/>
        <v>0</v>
      </c>
      <c r="AY75" s="746">
        <f t="shared" si="48"/>
        <v>0.29896680108000945</v>
      </c>
      <c r="AZ75" s="733">
        <f t="shared" si="49"/>
        <v>0</v>
      </c>
      <c r="BA75" s="636">
        <f t="shared" si="50"/>
        <v>0.43051219355521358</v>
      </c>
      <c r="BB75" s="636">
        <f t="shared" si="51"/>
        <v>0.43051219355521358</v>
      </c>
      <c r="BC75" s="636">
        <f t="shared" si="52"/>
        <v>0.32288414516641017</v>
      </c>
      <c r="BD75" s="636">
        <f t="shared" si="53"/>
        <v>0.72947899463522303</v>
      </c>
      <c r="BE75" s="735">
        <f t="shared" si="54"/>
        <v>1.9133875269120604</v>
      </c>
      <c r="BF75" s="680"/>
      <c r="BG75" s="680"/>
      <c r="BH75" s="680"/>
      <c r="BI75" s="680"/>
      <c r="BJ75" s="680"/>
      <c r="BK75" s="680"/>
      <c r="BL75" s="680"/>
      <c r="BM75" s="680"/>
      <c r="BN75" s="680"/>
    </row>
    <row r="76" spans="1:66" ht="24">
      <c r="A76" s="722" t="s">
        <v>426</v>
      </c>
      <c r="B76" s="723" t="s">
        <v>135</v>
      </c>
      <c r="C76" s="747" t="s">
        <v>263</v>
      </c>
      <c r="D76" s="747" t="s">
        <v>426</v>
      </c>
      <c r="E76" s="767"/>
      <c r="F76" s="739"/>
      <c r="G76" s="739"/>
      <c r="H76" s="739"/>
      <c r="I76" s="740"/>
      <c r="J76" s="739"/>
      <c r="K76" s="686"/>
      <c r="L76" s="739"/>
      <c r="M76" s="740"/>
      <c r="N76" s="739"/>
      <c r="O76" s="740"/>
      <c r="P76" s="739"/>
      <c r="Q76" s="741"/>
      <c r="R76" s="742">
        <f t="shared" si="41"/>
        <v>0</v>
      </c>
      <c r="S76" s="742"/>
      <c r="T76" s="742"/>
      <c r="U76" s="743"/>
      <c r="V76" s="743"/>
      <c r="W76" s="743"/>
      <c r="X76" s="743"/>
      <c r="Y76" s="743"/>
      <c r="Z76" s="743"/>
      <c r="AA76" s="743"/>
      <c r="AB76" s="743"/>
      <c r="AC76" s="743"/>
      <c r="AD76" s="744"/>
      <c r="AE76" s="744"/>
      <c r="AF76" s="745"/>
      <c r="AG76" s="733">
        <f t="shared" si="42"/>
        <v>0</v>
      </c>
      <c r="AH76" s="208">
        <f t="shared" si="43"/>
        <v>0</v>
      </c>
      <c r="AI76" s="208">
        <f t="shared" si="44"/>
        <v>0</v>
      </c>
      <c r="AJ76" s="208">
        <f t="shared" si="45"/>
        <v>0</v>
      </c>
      <c r="AK76" s="208">
        <f t="shared" si="46"/>
        <v>0</v>
      </c>
      <c r="AL76" s="208">
        <f t="shared" si="47"/>
        <v>0</v>
      </c>
      <c r="AM76" s="680"/>
      <c r="AN76" s="746">
        <f t="shared" si="31"/>
        <v>0</v>
      </c>
      <c r="AO76" s="746">
        <f t="shared" si="31"/>
        <v>0</v>
      </c>
      <c r="AP76" s="746">
        <f t="shared" si="31"/>
        <v>0</v>
      </c>
      <c r="AQ76" s="746">
        <f t="shared" si="31"/>
        <v>0</v>
      </c>
      <c r="AR76" s="746">
        <f t="shared" si="31"/>
        <v>0</v>
      </c>
      <c r="AS76" s="746">
        <f t="shared" si="31"/>
        <v>0</v>
      </c>
      <c r="AT76" s="746">
        <f t="shared" si="48"/>
        <v>0</v>
      </c>
      <c r="AU76" s="746">
        <f t="shared" si="48"/>
        <v>0</v>
      </c>
      <c r="AV76" s="746">
        <f t="shared" si="48"/>
        <v>0</v>
      </c>
      <c r="AW76" s="746">
        <f t="shared" si="48"/>
        <v>0</v>
      </c>
      <c r="AX76" s="746">
        <f t="shared" si="48"/>
        <v>0</v>
      </c>
      <c r="AY76" s="746">
        <f t="shared" si="48"/>
        <v>0</v>
      </c>
      <c r="AZ76" s="733">
        <f t="shared" si="49"/>
        <v>0</v>
      </c>
      <c r="BA76" s="636">
        <f t="shared" si="50"/>
        <v>0</v>
      </c>
      <c r="BB76" s="636">
        <f t="shared" si="51"/>
        <v>0</v>
      </c>
      <c r="BC76" s="636">
        <f t="shared" si="52"/>
        <v>0</v>
      </c>
      <c r="BD76" s="636">
        <f t="shared" si="53"/>
        <v>0</v>
      </c>
      <c r="BE76" s="735">
        <f t="shared" si="54"/>
        <v>0</v>
      </c>
      <c r="BF76" s="680"/>
      <c r="BG76" s="680"/>
      <c r="BH76" s="680"/>
      <c r="BI76" s="680"/>
      <c r="BJ76" s="680"/>
      <c r="BK76" s="680"/>
      <c r="BL76" s="680"/>
      <c r="BM76" s="680"/>
      <c r="BN76" s="680"/>
    </row>
    <row r="77" spans="1:66" ht="12.75">
      <c r="A77" s="722"/>
      <c r="B77" s="723"/>
      <c r="C77" s="747"/>
      <c r="D77" s="747"/>
      <c r="E77" s="767"/>
      <c r="F77" s="739"/>
      <c r="G77" s="739"/>
      <c r="H77" s="739"/>
      <c r="I77" s="740"/>
      <c r="J77" s="739"/>
      <c r="K77" s="686"/>
      <c r="L77" s="739"/>
      <c r="M77" s="740"/>
      <c r="N77" s="739"/>
      <c r="O77" s="740"/>
      <c r="P77" s="739"/>
      <c r="Q77" s="741"/>
      <c r="R77" s="742">
        <f t="shared" si="41"/>
        <v>0</v>
      </c>
      <c r="S77" s="742"/>
      <c r="T77" s="742"/>
      <c r="U77" s="743"/>
      <c r="V77" s="743"/>
      <c r="W77" s="743"/>
      <c r="X77" s="743"/>
      <c r="Y77" s="743"/>
      <c r="Z77" s="743"/>
      <c r="AA77" s="743"/>
      <c r="AB77" s="743"/>
      <c r="AC77" s="743"/>
      <c r="AD77" s="744"/>
      <c r="AE77" s="744"/>
      <c r="AF77" s="745"/>
      <c r="AG77" s="733">
        <f t="shared" si="42"/>
        <v>0</v>
      </c>
      <c r="AH77" s="208">
        <f t="shared" si="43"/>
        <v>0</v>
      </c>
      <c r="AI77" s="208">
        <f t="shared" si="44"/>
        <v>0</v>
      </c>
      <c r="AJ77" s="208">
        <f t="shared" si="45"/>
        <v>0</v>
      </c>
      <c r="AK77" s="208">
        <f t="shared" si="46"/>
        <v>0</v>
      </c>
      <c r="AL77" s="208">
        <f t="shared" si="47"/>
        <v>0</v>
      </c>
      <c r="AM77" s="680"/>
      <c r="AN77" s="746">
        <f t="shared" si="31"/>
        <v>0</v>
      </c>
      <c r="AO77" s="746">
        <f t="shared" si="31"/>
        <v>0</v>
      </c>
      <c r="AP77" s="746">
        <f t="shared" si="31"/>
        <v>0</v>
      </c>
      <c r="AQ77" s="746">
        <f t="shared" si="31"/>
        <v>0</v>
      </c>
      <c r="AR77" s="746">
        <f t="shared" si="31"/>
        <v>0</v>
      </c>
      <c r="AS77" s="746">
        <f t="shared" si="31"/>
        <v>0</v>
      </c>
      <c r="AT77" s="746">
        <f t="shared" si="48"/>
        <v>0</v>
      </c>
      <c r="AU77" s="746">
        <f t="shared" si="48"/>
        <v>0</v>
      </c>
      <c r="AV77" s="746">
        <f t="shared" si="48"/>
        <v>0</v>
      </c>
      <c r="AW77" s="746">
        <f t="shared" si="48"/>
        <v>0</v>
      </c>
      <c r="AX77" s="746">
        <f t="shared" si="48"/>
        <v>0</v>
      </c>
      <c r="AY77" s="746">
        <f t="shared" si="48"/>
        <v>0</v>
      </c>
      <c r="AZ77" s="733">
        <f t="shared" si="49"/>
        <v>0</v>
      </c>
      <c r="BA77" s="636">
        <f t="shared" si="50"/>
        <v>0</v>
      </c>
      <c r="BB77" s="636">
        <f t="shared" si="51"/>
        <v>0</v>
      </c>
      <c r="BC77" s="636">
        <f t="shared" si="52"/>
        <v>0</v>
      </c>
      <c r="BD77" s="636">
        <f t="shared" si="53"/>
        <v>0</v>
      </c>
      <c r="BE77" s="735">
        <f t="shared" si="54"/>
        <v>0</v>
      </c>
      <c r="BF77" s="680"/>
      <c r="BG77" s="680"/>
      <c r="BH77" s="680"/>
      <c r="BI77" s="680"/>
      <c r="BJ77" s="680"/>
      <c r="BK77" s="680"/>
      <c r="BL77" s="680"/>
      <c r="BM77" s="680"/>
      <c r="BN77" s="680"/>
    </row>
    <row r="78" spans="1:66" ht="12.75">
      <c r="A78" s="722" t="s">
        <v>427</v>
      </c>
      <c r="B78" s="723" t="s">
        <v>135</v>
      </c>
      <c r="C78" s="747" t="s">
        <v>263</v>
      </c>
      <c r="D78" s="747" t="s">
        <v>428</v>
      </c>
      <c r="E78" s="767" t="s">
        <v>271</v>
      </c>
      <c r="F78" s="739"/>
      <c r="G78" s="739"/>
      <c r="H78" s="739"/>
      <c r="I78" s="740"/>
      <c r="J78" s="739"/>
      <c r="K78" s="686"/>
      <c r="L78" s="739"/>
      <c r="M78" s="740"/>
      <c r="N78" s="739">
        <v>120</v>
      </c>
      <c r="O78" s="740"/>
      <c r="P78" s="739">
        <v>102451.93425573764</v>
      </c>
      <c r="Q78" s="741"/>
      <c r="R78" s="742">
        <f t="shared" si="41"/>
        <v>1.2294232110688517</v>
      </c>
      <c r="S78" s="742"/>
      <c r="T78" s="742"/>
      <c r="U78" s="743"/>
      <c r="V78" s="743">
        <v>30</v>
      </c>
      <c r="W78" s="743"/>
      <c r="X78" s="743"/>
      <c r="Y78" s="743">
        <v>30</v>
      </c>
      <c r="Z78" s="743"/>
      <c r="AA78" s="743"/>
      <c r="AB78" s="743">
        <v>30</v>
      </c>
      <c r="AC78" s="743"/>
      <c r="AD78" s="744"/>
      <c r="AE78" s="743">
        <v>30</v>
      </c>
      <c r="AF78" s="745"/>
      <c r="AG78" s="733">
        <f t="shared" si="42"/>
        <v>0</v>
      </c>
      <c r="AH78" s="208">
        <f t="shared" si="43"/>
        <v>30</v>
      </c>
      <c r="AI78" s="208">
        <f t="shared" si="44"/>
        <v>30</v>
      </c>
      <c r="AJ78" s="208">
        <f t="shared" si="45"/>
        <v>30</v>
      </c>
      <c r="AK78" s="208">
        <f t="shared" si="46"/>
        <v>30</v>
      </c>
      <c r="AL78" s="208">
        <f t="shared" si="47"/>
        <v>120</v>
      </c>
      <c r="AM78" s="680"/>
      <c r="AN78" s="746">
        <f t="shared" si="31"/>
        <v>0</v>
      </c>
      <c r="AO78" s="746">
        <f t="shared" si="31"/>
        <v>0.30735580276721292</v>
      </c>
      <c r="AP78" s="746">
        <f t="shared" si="31"/>
        <v>0</v>
      </c>
      <c r="AQ78" s="746">
        <f t="shared" si="31"/>
        <v>0</v>
      </c>
      <c r="AR78" s="746">
        <f t="shared" si="31"/>
        <v>0.30735580276721292</v>
      </c>
      <c r="AS78" s="746">
        <f t="shared" si="31"/>
        <v>0</v>
      </c>
      <c r="AT78" s="746">
        <f t="shared" si="48"/>
        <v>0</v>
      </c>
      <c r="AU78" s="746">
        <f t="shared" si="48"/>
        <v>0.30735580276721292</v>
      </c>
      <c r="AV78" s="746">
        <f t="shared" si="48"/>
        <v>0</v>
      </c>
      <c r="AW78" s="746">
        <f t="shared" si="48"/>
        <v>0</v>
      </c>
      <c r="AX78" s="746">
        <f t="shared" si="48"/>
        <v>0.30735580276721292</v>
      </c>
      <c r="AY78" s="746">
        <f t="shared" si="48"/>
        <v>0</v>
      </c>
      <c r="AZ78" s="733">
        <f t="shared" si="49"/>
        <v>0</v>
      </c>
      <c r="BA78" s="636">
        <f t="shared" si="50"/>
        <v>0.30735580276721292</v>
      </c>
      <c r="BB78" s="636">
        <f t="shared" si="51"/>
        <v>0.30735580276721292</v>
      </c>
      <c r="BC78" s="636">
        <f t="shared" si="52"/>
        <v>0.30735580276721292</v>
      </c>
      <c r="BD78" s="636">
        <f t="shared" si="53"/>
        <v>0.30735580276721292</v>
      </c>
      <c r="BE78" s="735">
        <f t="shared" si="54"/>
        <v>1.2294232110688517</v>
      </c>
      <c r="BF78" s="680"/>
      <c r="BG78" s="680"/>
      <c r="BH78" s="680"/>
      <c r="BI78" s="680"/>
      <c r="BJ78" s="680"/>
      <c r="BK78" s="680"/>
      <c r="BL78" s="680"/>
      <c r="BM78" s="680"/>
      <c r="BN78" s="680"/>
    </row>
    <row r="79" spans="1:66" ht="24">
      <c r="A79" s="722" t="s">
        <v>429</v>
      </c>
      <c r="B79" s="723" t="s">
        <v>135</v>
      </c>
      <c r="C79" s="747" t="s">
        <v>263</v>
      </c>
      <c r="D79" s="747" t="s">
        <v>430</v>
      </c>
      <c r="E79" s="767" t="s">
        <v>271</v>
      </c>
      <c r="F79" s="739"/>
      <c r="G79" s="739"/>
      <c r="H79" s="739"/>
      <c r="I79" s="740"/>
      <c r="J79" s="739"/>
      <c r="K79" s="686"/>
      <c r="L79" s="739"/>
      <c r="M79" s="740"/>
      <c r="N79" s="739">
        <v>120</v>
      </c>
      <c r="O79" s="740"/>
      <c r="P79" s="739">
        <v>99751.110312198303</v>
      </c>
      <c r="Q79" s="741"/>
      <c r="R79" s="742">
        <f t="shared" si="41"/>
        <v>1.1970133237463796</v>
      </c>
      <c r="S79" s="742"/>
      <c r="T79" s="742"/>
      <c r="U79" s="743"/>
      <c r="V79" s="743"/>
      <c r="W79" s="743">
        <v>30</v>
      </c>
      <c r="X79" s="743"/>
      <c r="Y79" s="743"/>
      <c r="Z79" s="743">
        <v>30</v>
      </c>
      <c r="AA79" s="743"/>
      <c r="AB79" s="743"/>
      <c r="AC79" s="743">
        <v>30</v>
      </c>
      <c r="AD79" s="744"/>
      <c r="AE79" s="744"/>
      <c r="AF79" s="743">
        <v>30</v>
      </c>
      <c r="AG79" s="733">
        <f t="shared" si="42"/>
        <v>0</v>
      </c>
      <c r="AH79" s="208">
        <f t="shared" si="43"/>
        <v>30</v>
      </c>
      <c r="AI79" s="208">
        <f t="shared" si="44"/>
        <v>30</v>
      </c>
      <c r="AJ79" s="208">
        <f t="shared" si="45"/>
        <v>30</v>
      </c>
      <c r="AK79" s="208">
        <f t="shared" si="46"/>
        <v>30</v>
      </c>
      <c r="AL79" s="208">
        <f t="shared" si="47"/>
        <v>120</v>
      </c>
      <c r="AM79" s="680"/>
      <c r="AN79" s="746">
        <f t="shared" si="31"/>
        <v>0</v>
      </c>
      <c r="AO79" s="746">
        <f t="shared" si="31"/>
        <v>0</v>
      </c>
      <c r="AP79" s="746">
        <f t="shared" si="31"/>
        <v>0.2992533309365949</v>
      </c>
      <c r="AQ79" s="746">
        <f t="shared" si="31"/>
        <v>0</v>
      </c>
      <c r="AR79" s="746">
        <f t="shared" si="31"/>
        <v>0</v>
      </c>
      <c r="AS79" s="746">
        <f t="shared" si="31"/>
        <v>0.2992533309365949</v>
      </c>
      <c r="AT79" s="746">
        <f t="shared" si="48"/>
        <v>0</v>
      </c>
      <c r="AU79" s="746">
        <f t="shared" si="48"/>
        <v>0</v>
      </c>
      <c r="AV79" s="746">
        <f t="shared" si="48"/>
        <v>0.2992533309365949</v>
      </c>
      <c r="AW79" s="746">
        <f t="shared" si="48"/>
        <v>0</v>
      </c>
      <c r="AX79" s="746">
        <f t="shared" si="48"/>
        <v>0</v>
      </c>
      <c r="AY79" s="746">
        <f t="shared" si="48"/>
        <v>0.2992533309365949</v>
      </c>
      <c r="AZ79" s="733">
        <f t="shared" si="49"/>
        <v>0</v>
      </c>
      <c r="BA79" s="636">
        <f t="shared" si="50"/>
        <v>0.2992533309365949</v>
      </c>
      <c r="BB79" s="636">
        <f t="shared" si="51"/>
        <v>0.2992533309365949</v>
      </c>
      <c r="BC79" s="636">
        <f t="shared" si="52"/>
        <v>0.2992533309365949</v>
      </c>
      <c r="BD79" s="636">
        <f t="shared" si="53"/>
        <v>0.2992533309365949</v>
      </c>
      <c r="BE79" s="735">
        <f t="shared" si="54"/>
        <v>1.1970133237463796</v>
      </c>
      <c r="BF79" s="680"/>
      <c r="BG79" s="680"/>
      <c r="BH79" s="680"/>
      <c r="BI79" s="680"/>
      <c r="BJ79" s="680"/>
      <c r="BK79" s="680"/>
      <c r="BL79" s="680"/>
      <c r="BM79" s="680"/>
      <c r="BN79" s="680"/>
    </row>
    <row r="80" spans="1:66" ht="24">
      <c r="A80" s="722" t="s">
        <v>431</v>
      </c>
      <c r="B80" s="723" t="s">
        <v>135</v>
      </c>
      <c r="C80" s="753" t="s">
        <v>432</v>
      </c>
      <c r="D80" s="747" t="s">
        <v>433</v>
      </c>
      <c r="E80" s="767" t="s">
        <v>277</v>
      </c>
      <c r="F80" s="739">
        <v>3.597</v>
      </c>
      <c r="G80" s="739">
        <v>0</v>
      </c>
      <c r="H80" s="739">
        <v>0</v>
      </c>
      <c r="I80" s="740">
        <f>IF(ISERROR((H80-G80)/G80),0,((H80-G80)/G80))</f>
        <v>0</v>
      </c>
      <c r="J80" s="739">
        <v>0</v>
      </c>
      <c r="K80" s="686"/>
      <c r="L80" s="739">
        <f t="shared" si="37"/>
        <v>0</v>
      </c>
      <c r="M80" s="740">
        <f>IF(ISERROR((L80-H80)/H80),0,((L80-H80)/H80))</f>
        <v>0</v>
      </c>
      <c r="N80" s="739">
        <v>0</v>
      </c>
      <c r="O80" s="740">
        <f t="shared" si="40"/>
        <v>0</v>
      </c>
      <c r="P80" s="739">
        <v>0</v>
      </c>
      <c r="Q80" s="741"/>
      <c r="R80" s="742">
        <f t="shared" si="41"/>
        <v>0</v>
      </c>
      <c r="S80" s="742"/>
      <c r="T80" s="742"/>
      <c r="U80" s="743"/>
      <c r="V80" s="743"/>
      <c r="W80" s="743"/>
      <c r="X80" s="743"/>
      <c r="Y80" s="743"/>
      <c r="Z80" s="743"/>
      <c r="AA80" s="743"/>
      <c r="AB80" s="743"/>
      <c r="AC80" s="743"/>
      <c r="AD80" s="744"/>
      <c r="AE80" s="744"/>
      <c r="AF80" s="745"/>
      <c r="AG80" s="733">
        <f t="shared" si="42"/>
        <v>0</v>
      </c>
      <c r="AH80" s="208">
        <f t="shared" si="43"/>
        <v>0</v>
      </c>
      <c r="AI80" s="208">
        <f t="shared" si="44"/>
        <v>0</v>
      </c>
      <c r="AJ80" s="208">
        <f t="shared" si="45"/>
        <v>0</v>
      </c>
      <c r="AK80" s="208">
        <f t="shared" si="46"/>
        <v>0</v>
      </c>
      <c r="AL80" s="208">
        <f t="shared" si="47"/>
        <v>0</v>
      </c>
      <c r="AM80" s="680"/>
      <c r="AN80" s="746">
        <f t="shared" si="31"/>
        <v>0</v>
      </c>
      <c r="AO80" s="746">
        <f t="shared" si="31"/>
        <v>0</v>
      </c>
      <c r="AP80" s="746">
        <f t="shared" si="31"/>
        <v>0</v>
      </c>
      <c r="AQ80" s="746">
        <f t="shared" si="31"/>
        <v>0</v>
      </c>
      <c r="AR80" s="746">
        <f t="shared" si="31"/>
        <v>0</v>
      </c>
      <c r="AS80" s="746">
        <f t="shared" si="31"/>
        <v>0</v>
      </c>
      <c r="AT80" s="746">
        <f t="shared" si="48"/>
        <v>0</v>
      </c>
      <c r="AU80" s="746">
        <f t="shared" si="48"/>
        <v>0</v>
      </c>
      <c r="AV80" s="746">
        <f t="shared" si="48"/>
        <v>0</v>
      </c>
      <c r="AW80" s="746">
        <f t="shared" si="48"/>
        <v>0</v>
      </c>
      <c r="AX80" s="746">
        <f t="shared" si="48"/>
        <v>0</v>
      </c>
      <c r="AY80" s="746">
        <f t="shared" si="48"/>
        <v>0</v>
      </c>
      <c r="AZ80" s="733">
        <f t="shared" si="49"/>
        <v>0</v>
      </c>
      <c r="BA80" s="636">
        <f t="shared" si="50"/>
        <v>0</v>
      </c>
      <c r="BB80" s="636">
        <f t="shared" si="51"/>
        <v>0</v>
      </c>
      <c r="BC80" s="636">
        <f t="shared" si="52"/>
        <v>0</v>
      </c>
      <c r="BD80" s="636">
        <f t="shared" si="53"/>
        <v>0</v>
      </c>
      <c r="BE80" s="735">
        <f t="shared" si="54"/>
        <v>0</v>
      </c>
      <c r="BF80" s="680"/>
      <c r="BG80" s="680"/>
      <c r="BH80" s="680"/>
      <c r="BI80" s="680"/>
      <c r="BJ80" s="680"/>
      <c r="BK80" s="680"/>
      <c r="BL80" s="680"/>
      <c r="BM80" s="680"/>
      <c r="BN80" s="680"/>
    </row>
    <row r="81" spans="1:66" ht="24">
      <c r="A81" s="722" t="s">
        <v>434</v>
      </c>
      <c r="B81" s="723" t="s">
        <v>135</v>
      </c>
      <c r="C81" s="753" t="s">
        <v>432</v>
      </c>
      <c r="D81" s="747" t="s">
        <v>435</v>
      </c>
      <c r="E81" s="767" t="s">
        <v>277</v>
      </c>
      <c r="F81" s="739">
        <v>3.8130000000000002</v>
      </c>
      <c r="G81" s="739">
        <v>0</v>
      </c>
      <c r="H81" s="739">
        <v>0</v>
      </c>
      <c r="I81" s="740">
        <f>IF(ISERROR((H81-G81)/G81),0,((H81-G81)/G81))</f>
        <v>0</v>
      </c>
      <c r="J81" s="739">
        <v>0</v>
      </c>
      <c r="K81" s="686"/>
      <c r="L81" s="739">
        <f t="shared" si="37"/>
        <v>0</v>
      </c>
      <c r="M81" s="740">
        <f>IF(ISERROR((L81-H81)/H81),0,((L81-H81)/H81))</f>
        <v>0</v>
      </c>
      <c r="N81" s="739">
        <v>0</v>
      </c>
      <c r="O81" s="740">
        <f t="shared" si="40"/>
        <v>0</v>
      </c>
      <c r="P81" s="739">
        <v>0</v>
      </c>
      <c r="Q81" s="741"/>
      <c r="R81" s="742">
        <f t="shared" si="41"/>
        <v>0</v>
      </c>
      <c r="S81" s="742"/>
      <c r="T81" s="742"/>
      <c r="U81" s="743"/>
      <c r="V81" s="743"/>
      <c r="W81" s="743"/>
      <c r="X81" s="743"/>
      <c r="Y81" s="743"/>
      <c r="Z81" s="743"/>
      <c r="AA81" s="743"/>
      <c r="AB81" s="743"/>
      <c r="AC81" s="743"/>
      <c r="AD81" s="744"/>
      <c r="AE81" s="744"/>
      <c r="AF81" s="745"/>
      <c r="AG81" s="733">
        <f t="shared" si="42"/>
        <v>0</v>
      </c>
      <c r="AH81" s="208">
        <f t="shared" si="43"/>
        <v>0</v>
      </c>
      <c r="AI81" s="208">
        <f t="shared" si="44"/>
        <v>0</v>
      </c>
      <c r="AJ81" s="208">
        <f t="shared" si="45"/>
        <v>0</v>
      </c>
      <c r="AK81" s="208">
        <f t="shared" si="46"/>
        <v>0</v>
      </c>
      <c r="AL81" s="208">
        <f t="shared" si="47"/>
        <v>0</v>
      </c>
      <c r="AM81" s="680"/>
      <c r="AN81" s="746">
        <f t="shared" si="31"/>
        <v>0</v>
      </c>
      <c r="AO81" s="746">
        <f t="shared" si="31"/>
        <v>0</v>
      </c>
      <c r="AP81" s="746">
        <f t="shared" si="31"/>
        <v>0</v>
      </c>
      <c r="AQ81" s="746">
        <f t="shared" si="31"/>
        <v>0</v>
      </c>
      <c r="AR81" s="746">
        <f t="shared" si="31"/>
        <v>0</v>
      </c>
      <c r="AS81" s="746">
        <f t="shared" si="31"/>
        <v>0</v>
      </c>
      <c r="AT81" s="746">
        <f t="shared" si="48"/>
        <v>0</v>
      </c>
      <c r="AU81" s="746">
        <f t="shared" si="48"/>
        <v>0</v>
      </c>
      <c r="AV81" s="746">
        <f t="shared" si="48"/>
        <v>0</v>
      </c>
      <c r="AW81" s="746">
        <f t="shared" si="48"/>
        <v>0</v>
      </c>
      <c r="AX81" s="746">
        <f t="shared" si="48"/>
        <v>0</v>
      </c>
      <c r="AY81" s="746">
        <f t="shared" si="48"/>
        <v>0</v>
      </c>
      <c r="AZ81" s="733">
        <f t="shared" si="49"/>
        <v>0</v>
      </c>
      <c r="BA81" s="636">
        <f t="shared" si="50"/>
        <v>0</v>
      </c>
      <c r="BB81" s="636">
        <f t="shared" si="51"/>
        <v>0</v>
      </c>
      <c r="BC81" s="636">
        <f t="shared" si="52"/>
        <v>0</v>
      </c>
      <c r="BD81" s="636">
        <f t="shared" si="53"/>
        <v>0</v>
      </c>
      <c r="BE81" s="735">
        <f t="shared" si="54"/>
        <v>0</v>
      </c>
      <c r="BF81" s="680"/>
      <c r="BG81" s="680"/>
      <c r="BH81" s="680"/>
      <c r="BI81" s="680"/>
      <c r="BJ81" s="680"/>
      <c r="BK81" s="680"/>
      <c r="BL81" s="680"/>
      <c r="BM81" s="680"/>
      <c r="BN81" s="680"/>
    </row>
    <row r="82" spans="1:66" ht="24">
      <c r="A82" s="758" t="s">
        <v>156</v>
      </c>
      <c r="B82" s="723" t="s">
        <v>135</v>
      </c>
      <c r="C82" s="753" t="s">
        <v>136</v>
      </c>
      <c r="D82" s="747" t="s">
        <v>157</v>
      </c>
      <c r="E82" s="767" t="s">
        <v>142</v>
      </c>
      <c r="F82" s="739">
        <v>4.7279999999999998</v>
      </c>
      <c r="G82" s="739">
        <v>14.344000000000001</v>
      </c>
      <c r="H82" s="739">
        <v>17.972999999999999</v>
      </c>
      <c r="I82" s="740">
        <f>IF(ISERROR((H82-G82)/G82),0,((H82-G82)/G82))</f>
        <v>0.2529977691020634</v>
      </c>
      <c r="J82" s="739">
        <v>0</v>
      </c>
      <c r="K82" s="686"/>
      <c r="L82" s="739">
        <f t="shared" si="37"/>
        <v>0</v>
      </c>
      <c r="M82" s="740">
        <f>IF(ISERROR((L82-H82)/H82),0,((L82-H82)/H82))</f>
        <v>-1</v>
      </c>
      <c r="N82" s="739">
        <v>0</v>
      </c>
      <c r="O82" s="740">
        <f t="shared" si="40"/>
        <v>0</v>
      </c>
      <c r="P82" s="739">
        <v>0</v>
      </c>
      <c r="Q82" s="741"/>
      <c r="R82" s="742">
        <f t="shared" si="41"/>
        <v>0</v>
      </c>
      <c r="S82" s="742"/>
      <c r="T82" s="742"/>
      <c r="U82" s="743"/>
      <c r="V82" s="743"/>
      <c r="W82" s="743"/>
      <c r="X82" s="743"/>
      <c r="Y82" s="743"/>
      <c r="Z82" s="743"/>
      <c r="AA82" s="743"/>
      <c r="AB82" s="743"/>
      <c r="AC82" s="743"/>
      <c r="AD82" s="744"/>
      <c r="AE82" s="744"/>
      <c r="AF82" s="745"/>
      <c r="AG82" s="733">
        <f t="shared" si="42"/>
        <v>0</v>
      </c>
      <c r="AH82" s="208">
        <f t="shared" si="43"/>
        <v>0</v>
      </c>
      <c r="AI82" s="208">
        <f t="shared" si="44"/>
        <v>0</v>
      </c>
      <c r="AJ82" s="208">
        <f t="shared" si="45"/>
        <v>0</v>
      </c>
      <c r="AK82" s="208">
        <f t="shared" si="46"/>
        <v>0</v>
      </c>
      <c r="AL82" s="208">
        <f t="shared" si="47"/>
        <v>0</v>
      </c>
      <c r="AM82" s="680"/>
      <c r="AN82" s="746">
        <f t="shared" si="31"/>
        <v>0</v>
      </c>
      <c r="AO82" s="746">
        <f t="shared" si="31"/>
        <v>0</v>
      </c>
      <c r="AP82" s="746">
        <f t="shared" si="31"/>
        <v>0</v>
      </c>
      <c r="AQ82" s="746">
        <f t="shared" si="31"/>
        <v>0</v>
      </c>
      <c r="AR82" s="746">
        <f t="shared" si="31"/>
        <v>0</v>
      </c>
      <c r="AS82" s="746">
        <f t="shared" si="31"/>
        <v>0</v>
      </c>
      <c r="AT82" s="746">
        <f t="shared" si="48"/>
        <v>0</v>
      </c>
      <c r="AU82" s="746">
        <f t="shared" si="48"/>
        <v>0</v>
      </c>
      <c r="AV82" s="746">
        <f t="shared" si="48"/>
        <v>0</v>
      </c>
      <c r="AW82" s="746">
        <f t="shared" si="48"/>
        <v>0</v>
      </c>
      <c r="AX82" s="746">
        <f t="shared" si="48"/>
        <v>0</v>
      </c>
      <c r="AY82" s="746">
        <f t="shared" si="48"/>
        <v>0</v>
      </c>
      <c r="AZ82" s="733">
        <f t="shared" si="49"/>
        <v>0</v>
      </c>
      <c r="BA82" s="636">
        <f t="shared" si="50"/>
        <v>0</v>
      </c>
      <c r="BB82" s="636">
        <f t="shared" si="51"/>
        <v>0</v>
      </c>
      <c r="BC82" s="636">
        <f t="shared" si="52"/>
        <v>0</v>
      </c>
      <c r="BD82" s="636">
        <f t="shared" si="53"/>
        <v>0</v>
      </c>
      <c r="BE82" s="735">
        <f t="shared" si="54"/>
        <v>0</v>
      </c>
      <c r="BF82" s="680"/>
      <c r="BG82" s="680"/>
      <c r="BH82" s="680"/>
      <c r="BI82" s="680"/>
      <c r="BJ82" s="680"/>
      <c r="BK82" s="680"/>
      <c r="BL82" s="680"/>
      <c r="BM82" s="680"/>
      <c r="BN82" s="680"/>
    </row>
    <row r="83" spans="1:66" ht="36">
      <c r="A83" s="758" t="s">
        <v>436</v>
      </c>
      <c r="B83" s="723" t="s">
        <v>135</v>
      </c>
      <c r="C83" s="753" t="s">
        <v>437</v>
      </c>
      <c r="D83" s="747" t="s">
        <v>438</v>
      </c>
      <c r="E83" s="767" t="s">
        <v>439</v>
      </c>
      <c r="F83" s="739"/>
      <c r="G83" s="739"/>
      <c r="H83" s="739"/>
      <c r="I83" s="740"/>
      <c r="J83" s="739"/>
      <c r="K83" s="686"/>
      <c r="L83" s="739"/>
      <c r="M83" s="740"/>
      <c r="N83" s="739">
        <v>21</v>
      </c>
      <c r="O83" s="740"/>
      <c r="P83" s="739">
        <v>151307.5394305923</v>
      </c>
      <c r="Q83" s="741"/>
      <c r="R83" s="742">
        <f t="shared" si="41"/>
        <v>0.31774583280424384</v>
      </c>
      <c r="S83" s="742"/>
      <c r="T83" s="742"/>
      <c r="U83" s="743"/>
      <c r="V83" s="743"/>
      <c r="W83" s="743">
        <v>9</v>
      </c>
      <c r="X83" s="743"/>
      <c r="Y83" s="743"/>
      <c r="Z83" s="743">
        <v>9</v>
      </c>
      <c r="AA83" s="743"/>
      <c r="AB83" s="743">
        <v>3</v>
      </c>
      <c r="AC83" s="743"/>
      <c r="AD83" s="744"/>
      <c r="AE83" s="744"/>
      <c r="AF83" s="745"/>
      <c r="AG83" s="733">
        <f t="shared" si="42"/>
        <v>0</v>
      </c>
      <c r="AH83" s="208">
        <f t="shared" si="43"/>
        <v>9</v>
      </c>
      <c r="AI83" s="208">
        <f t="shared" si="44"/>
        <v>9</v>
      </c>
      <c r="AJ83" s="208">
        <f t="shared" si="45"/>
        <v>3</v>
      </c>
      <c r="AK83" s="208">
        <f t="shared" si="46"/>
        <v>0</v>
      </c>
      <c r="AL83" s="208">
        <f t="shared" si="47"/>
        <v>21</v>
      </c>
      <c r="AM83" s="680"/>
      <c r="AN83" s="746">
        <f t="shared" si="31"/>
        <v>0</v>
      </c>
      <c r="AO83" s="746">
        <f t="shared" si="31"/>
        <v>0</v>
      </c>
      <c r="AP83" s="746">
        <f t="shared" si="31"/>
        <v>0.13617678548753306</v>
      </c>
      <c r="AQ83" s="746">
        <f t="shared" si="31"/>
        <v>0</v>
      </c>
      <c r="AR83" s="746">
        <f t="shared" si="31"/>
        <v>0</v>
      </c>
      <c r="AS83" s="746">
        <f t="shared" si="31"/>
        <v>0.13617678548753306</v>
      </c>
      <c r="AT83" s="746">
        <f t="shared" si="48"/>
        <v>0</v>
      </c>
      <c r="AU83" s="746">
        <f t="shared" si="48"/>
        <v>4.5392261829177688E-2</v>
      </c>
      <c r="AV83" s="746">
        <f t="shared" si="48"/>
        <v>0</v>
      </c>
      <c r="AW83" s="746">
        <f t="shared" si="48"/>
        <v>0</v>
      </c>
      <c r="AX83" s="746">
        <f t="shared" si="48"/>
        <v>0</v>
      </c>
      <c r="AY83" s="746">
        <f t="shared" si="48"/>
        <v>0</v>
      </c>
      <c r="AZ83" s="733">
        <f t="shared" si="49"/>
        <v>0</v>
      </c>
      <c r="BA83" s="636">
        <f t="shared" si="50"/>
        <v>0.13617678548753306</v>
      </c>
      <c r="BB83" s="636">
        <f t="shared" si="51"/>
        <v>0.13617678548753306</v>
      </c>
      <c r="BC83" s="636">
        <f t="shared" si="52"/>
        <v>4.5392261829177688E-2</v>
      </c>
      <c r="BD83" s="636">
        <f t="shared" si="53"/>
        <v>0</v>
      </c>
      <c r="BE83" s="735">
        <f t="shared" si="54"/>
        <v>0.31774583280424384</v>
      </c>
      <c r="BF83" s="680"/>
      <c r="BG83" s="680"/>
      <c r="BH83" s="680"/>
      <c r="BI83" s="680"/>
      <c r="BJ83" s="680"/>
      <c r="BK83" s="680"/>
      <c r="BL83" s="680"/>
      <c r="BM83" s="680"/>
      <c r="BN83" s="680"/>
    </row>
    <row r="84" spans="1:66" ht="36">
      <c r="A84" s="758" t="s">
        <v>440</v>
      </c>
      <c r="B84" s="723" t="s">
        <v>135</v>
      </c>
      <c r="C84" s="753" t="s">
        <v>437</v>
      </c>
      <c r="D84" s="747" t="s">
        <v>438</v>
      </c>
      <c r="E84" s="767" t="s">
        <v>441</v>
      </c>
      <c r="F84" s="739"/>
      <c r="G84" s="739"/>
      <c r="H84" s="739"/>
      <c r="I84" s="740"/>
      <c r="J84" s="739"/>
      <c r="K84" s="686"/>
      <c r="L84" s="739"/>
      <c r="M84" s="740"/>
      <c r="N84" s="739">
        <v>21</v>
      </c>
      <c r="O84" s="740"/>
      <c r="P84" s="739">
        <v>146139.60138469998</v>
      </c>
      <c r="Q84" s="741"/>
      <c r="R84" s="742">
        <f t="shared" si="41"/>
        <v>0.30689316290787</v>
      </c>
      <c r="S84" s="742"/>
      <c r="T84" s="742"/>
      <c r="U84" s="743"/>
      <c r="V84" s="743">
        <v>9</v>
      </c>
      <c r="W84" s="743"/>
      <c r="X84" s="743"/>
      <c r="Y84" s="743">
        <v>9</v>
      </c>
      <c r="Z84" s="743"/>
      <c r="AA84" s="743">
        <v>3</v>
      </c>
      <c r="AB84" s="743"/>
      <c r="AC84" s="743"/>
      <c r="AD84" s="744"/>
      <c r="AE84" s="744"/>
      <c r="AF84" s="745"/>
      <c r="AG84" s="733">
        <f t="shared" si="42"/>
        <v>0</v>
      </c>
      <c r="AH84" s="208">
        <f t="shared" si="43"/>
        <v>9</v>
      </c>
      <c r="AI84" s="208">
        <f t="shared" si="44"/>
        <v>9</v>
      </c>
      <c r="AJ84" s="208">
        <f t="shared" si="45"/>
        <v>3</v>
      </c>
      <c r="AK84" s="208">
        <f t="shared" si="46"/>
        <v>0</v>
      </c>
      <c r="AL84" s="208">
        <f t="shared" si="47"/>
        <v>21</v>
      </c>
      <c r="AM84" s="680"/>
      <c r="AN84" s="746">
        <f t="shared" si="31"/>
        <v>0</v>
      </c>
      <c r="AO84" s="746">
        <f t="shared" si="31"/>
        <v>0.13152564124622998</v>
      </c>
      <c r="AP84" s="746">
        <f t="shared" si="31"/>
        <v>0</v>
      </c>
      <c r="AQ84" s="746">
        <f t="shared" si="31"/>
        <v>0</v>
      </c>
      <c r="AR84" s="746">
        <f t="shared" si="31"/>
        <v>0.13152564124622998</v>
      </c>
      <c r="AS84" s="746">
        <f t="shared" si="31"/>
        <v>0</v>
      </c>
      <c r="AT84" s="746">
        <f t="shared" si="48"/>
        <v>4.3841880415409998E-2</v>
      </c>
      <c r="AU84" s="746">
        <f t="shared" si="48"/>
        <v>0</v>
      </c>
      <c r="AV84" s="746">
        <f t="shared" si="48"/>
        <v>0</v>
      </c>
      <c r="AW84" s="746">
        <f t="shared" si="48"/>
        <v>0</v>
      </c>
      <c r="AX84" s="746">
        <f t="shared" si="48"/>
        <v>0</v>
      </c>
      <c r="AY84" s="746">
        <f t="shared" si="48"/>
        <v>0</v>
      </c>
      <c r="AZ84" s="733">
        <f t="shared" si="49"/>
        <v>0</v>
      </c>
      <c r="BA84" s="636">
        <f t="shared" si="50"/>
        <v>0.13152564124622998</v>
      </c>
      <c r="BB84" s="636">
        <f t="shared" si="51"/>
        <v>0.13152564124622998</v>
      </c>
      <c r="BC84" s="636">
        <f t="shared" si="52"/>
        <v>4.3841880415409998E-2</v>
      </c>
      <c r="BD84" s="636">
        <f t="shared" si="53"/>
        <v>0</v>
      </c>
      <c r="BE84" s="735">
        <f t="shared" si="54"/>
        <v>0.30689316290786994</v>
      </c>
      <c r="BF84" s="680"/>
      <c r="BG84" s="680"/>
      <c r="BH84" s="680"/>
      <c r="BI84" s="680"/>
      <c r="BJ84" s="680"/>
      <c r="BK84" s="680"/>
      <c r="BL84" s="680"/>
      <c r="BM84" s="680"/>
      <c r="BN84" s="680"/>
    </row>
    <row r="85" spans="1:66" ht="48">
      <c r="A85" s="758" t="s">
        <v>442</v>
      </c>
      <c r="B85" s="723" t="s">
        <v>135</v>
      </c>
      <c r="C85" s="753" t="s">
        <v>437</v>
      </c>
      <c r="D85" s="747" t="s">
        <v>443</v>
      </c>
      <c r="E85" s="767" t="s">
        <v>439</v>
      </c>
      <c r="F85" s="739"/>
      <c r="G85" s="739"/>
      <c r="H85" s="739"/>
      <c r="I85" s="740"/>
      <c r="J85" s="739"/>
      <c r="K85" s="686"/>
      <c r="L85" s="739"/>
      <c r="M85" s="740"/>
      <c r="N85" s="739">
        <v>27</v>
      </c>
      <c r="O85" s="740"/>
      <c r="P85" s="739">
        <v>88451.934255737637</v>
      </c>
      <c r="Q85" s="741"/>
      <c r="R85" s="742">
        <f t="shared" si="41"/>
        <v>0.23882022249049162</v>
      </c>
      <c r="S85" s="742"/>
      <c r="T85" s="742"/>
      <c r="U85" s="743"/>
      <c r="V85" s="743"/>
      <c r="W85" s="743">
        <v>9</v>
      </c>
      <c r="X85" s="743"/>
      <c r="Y85" s="743"/>
      <c r="Z85" s="743">
        <v>9</v>
      </c>
      <c r="AA85" s="743"/>
      <c r="AB85" s="743">
        <v>9</v>
      </c>
      <c r="AC85" s="743"/>
      <c r="AD85" s="744"/>
      <c r="AE85" s="744"/>
      <c r="AF85" s="745"/>
      <c r="AG85" s="733">
        <f t="shared" si="42"/>
        <v>0</v>
      </c>
      <c r="AH85" s="208">
        <f t="shared" si="43"/>
        <v>9</v>
      </c>
      <c r="AI85" s="208">
        <f t="shared" si="44"/>
        <v>9</v>
      </c>
      <c r="AJ85" s="208">
        <f t="shared" si="45"/>
        <v>9</v>
      </c>
      <c r="AK85" s="208">
        <f t="shared" si="46"/>
        <v>0</v>
      </c>
      <c r="AL85" s="208">
        <f t="shared" si="47"/>
        <v>27</v>
      </c>
      <c r="AM85" s="680"/>
      <c r="AN85" s="746">
        <f t="shared" si="31"/>
        <v>0</v>
      </c>
      <c r="AO85" s="746">
        <f t="shared" si="31"/>
        <v>0</v>
      </c>
      <c r="AP85" s="746">
        <f t="shared" si="31"/>
        <v>7.9606740830163863E-2</v>
      </c>
      <c r="AQ85" s="746">
        <f t="shared" si="31"/>
        <v>0</v>
      </c>
      <c r="AR85" s="746">
        <f t="shared" si="31"/>
        <v>0</v>
      </c>
      <c r="AS85" s="746">
        <f t="shared" si="31"/>
        <v>7.9606740830163863E-2</v>
      </c>
      <c r="AT85" s="746">
        <f t="shared" si="48"/>
        <v>0</v>
      </c>
      <c r="AU85" s="746">
        <f t="shared" si="48"/>
        <v>7.9606740830163863E-2</v>
      </c>
      <c r="AV85" s="746">
        <f t="shared" si="48"/>
        <v>0</v>
      </c>
      <c r="AW85" s="746">
        <f t="shared" si="48"/>
        <v>0</v>
      </c>
      <c r="AX85" s="746">
        <f t="shared" si="48"/>
        <v>0</v>
      </c>
      <c r="AY85" s="746">
        <f t="shared" si="48"/>
        <v>0</v>
      </c>
      <c r="AZ85" s="733">
        <f t="shared" si="49"/>
        <v>0</v>
      </c>
      <c r="BA85" s="636">
        <f t="shared" si="50"/>
        <v>7.9606740830163863E-2</v>
      </c>
      <c r="BB85" s="636">
        <f t="shared" si="51"/>
        <v>7.9606740830163863E-2</v>
      </c>
      <c r="BC85" s="636">
        <f t="shared" si="52"/>
        <v>7.9606740830163863E-2</v>
      </c>
      <c r="BD85" s="636">
        <f t="shared" si="53"/>
        <v>0</v>
      </c>
      <c r="BE85" s="735">
        <f t="shared" si="54"/>
        <v>0.23882022249049159</v>
      </c>
      <c r="BF85" s="680"/>
      <c r="BG85" s="680"/>
      <c r="BH85" s="680"/>
      <c r="BI85" s="680"/>
      <c r="BJ85" s="680"/>
      <c r="BK85" s="680"/>
      <c r="BL85" s="680"/>
      <c r="BM85" s="680"/>
      <c r="BN85" s="680"/>
    </row>
    <row r="86" spans="1:66" ht="48">
      <c r="A86" s="758" t="s">
        <v>444</v>
      </c>
      <c r="B86" s="723" t="s">
        <v>135</v>
      </c>
      <c r="C86" s="753" t="s">
        <v>437</v>
      </c>
      <c r="D86" s="747" t="s">
        <v>443</v>
      </c>
      <c r="E86" s="767" t="s">
        <v>441</v>
      </c>
      <c r="F86" s="739"/>
      <c r="G86" s="739"/>
      <c r="H86" s="739"/>
      <c r="I86" s="740"/>
      <c r="J86" s="739"/>
      <c r="K86" s="686"/>
      <c r="L86" s="739"/>
      <c r="M86" s="740"/>
      <c r="N86" s="739">
        <v>27</v>
      </c>
      <c r="O86" s="740"/>
      <c r="P86" s="739">
        <v>88424.751734968246</v>
      </c>
      <c r="Q86" s="741"/>
      <c r="R86" s="742">
        <f t="shared" si="41"/>
        <v>0.23874682968441424</v>
      </c>
      <c r="S86" s="742"/>
      <c r="T86" s="742"/>
      <c r="U86" s="743"/>
      <c r="V86" s="743"/>
      <c r="W86" s="743"/>
      <c r="X86" s="743">
        <v>9</v>
      </c>
      <c r="Y86" s="743"/>
      <c r="Z86" s="743"/>
      <c r="AA86" s="743">
        <v>9</v>
      </c>
      <c r="AB86" s="743"/>
      <c r="AC86" s="743">
        <v>9</v>
      </c>
      <c r="AD86" s="744"/>
      <c r="AE86" s="744"/>
      <c r="AF86" s="745"/>
      <c r="AG86" s="733">
        <f t="shared" si="42"/>
        <v>0</v>
      </c>
      <c r="AH86" s="208">
        <f t="shared" si="43"/>
        <v>0</v>
      </c>
      <c r="AI86" s="208">
        <f t="shared" si="44"/>
        <v>9</v>
      </c>
      <c r="AJ86" s="208">
        <f t="shared" si="45"/>
        <v>18</v>
      </c>
      <c r="AK86" s="208">
        <f t="shared" si="46"/>
        <v>0</v>
      </c>
      <c r="AL86" s="208">
        <f t="shared" si="47"/>
        <v>27</v>
      </c>
      <c r="AM86" s="680"/>
      <c r="AN86" s="746">
        <f t="shared" si="31"/>
        <v>0</v>
      </c>
      <c r="AO86" s="746">
        <f t="shared" si="31"/>
        <v>0</v>
      </c>
      <c r="AP86" s="746">
        <f t="shared" si="31"/>
        <v>0</v>
      </c>
      <c r="AQ86" s="746">
        <f t="shared" si="31"/>
        <v>7.9582276561471418E-2</v>
      </c>
      <c r="AR86" s="746">
        <f t="shared" si="31"/>
        <v>0</v>
      </c>
      <c r="AS86" s="746">
        <f t="shared" si="31"/>
        <v>0</v>
      </c>
      <c r="AT86" s="746">
        <f t="shared" si="48"/>
        <v>7.9582276561471418E-2</v>
      </c>
      <c r="AU86" s="746">
        <f t="shared" si="48"/>
        <v>0</v>
      </c>
      <c r="AV86" s="746">
        <f t="shared" si="48"/>
        <v>7.9582276561471418E-2</v>
      </c>
      <c r="AW86" s="746">
        <f t="shared" si="48"/>
        <v>0</v>
      </c>
      <c r="AX86" s="746">
        <f t="shared" si="48"/>
        <v>0</v>
      </c>
      <c r="AY86" s="746">
        <f t="shared" si="48"/>
        <v>0</v>
      </c>
      <c r="AZ86" s="733">
        <f t="shared" si="49"/>
        <v>0</v>
      </c>
      <c r="BA86" s="636">
        <f t="shared" si="50"/>
        <v>0</v>
      </c>
      <c r="BB86" s="636">
        <f t="shared" si="51"/>
        <v>7.9582276561471418E-2</v>
      </c>
      <c r="BC86" s="636">
        <f t="shared" si="52"/>
        <v>0.15916455312294284</v>
      </c>
      <c r="BD86" s="636">
        <f t="shared" si="53"/>
        <v>0</v>
      </c>
      <c r="BE86" s="735">
        <f t="shared" si="54"/>
        <v>0.23874682968441424</v>
      </c>
      <c r="BF86" s="680"/>
      <c r="BG86" s="680"/>
      <c r="BH86" s="680"/>
      <c r="BI86" s="680"/>
      <c r="BJ86" s="680"/>
      <c r="BK86" s="680"/>
      <c r="BL86" s="680"/>
      <c r="BM86" s="680"/>
      <c r="BN86" s="680"/>
    </row>
    <row r="87" spans="1:66" ht="36">
      <c r="A87" s="758" t="s">
        <v>445</v>
      </c>
      <c r="B87" s="723" t="s">
        <v>135</v>
      </c>
      <c r="C87" s="753" t="s">
        <v>437</v>
      </c>
      <c r="D87" s="747" t="s">
        <v>446</v>
      </c>
      <c r="E87" s="767" t="s">
        <v>447</v>
      </c>
      <c r="F87" s="739"/>
      <c r="G87" s="739"/>
      <c r="H87" s="739"/>
      <c r="I87" s="740"/>
      <c r="J87" s="739"/>
      <c r="K87" s="686"/>
      <c r="L87" s="739"/>
      <c r="M87" s="740"/>
      <c r="N87" s="739">
        <v>27</v>
      </c>
      <c r="O87" s="740"/>
      <c r="P87" s="739">
        <v>115664.93670787055</v>
      </c>
      <c r="Q87" s="741"/>
      <c r="R87" s="742">
        <f t="shared" si="41"/>
        <v>0.31229532911125046</v>
      </c>
      <c r="S87" s="742"/>
      <c r="T87" s="742"/>
      <c r="U87" s="743"/>
      <c r="V87" s="743"/>
      <c r="W87" s="743">
        <v>9</v>
      </c>
      <c r="X87" s="743"/>
      <c r="Y87" s="743"/>
      <c r="Z87" s="743">
        <v>9</v>
      </c>
      <c r="AA87" s="743"/>
      <c r="AB87" s="743">
        <v>9</v>
      </c>
      <c r="AC87" s="743"/>
      <c r="AD87" s="744"/>
      <c r="AE87" s="744"/>
      <c r="AF87" s="745"/>
      <c r="AG87" s="733">
        <f t="shared" si="42"/>
        <v>0</v>
      </c>
      <c r="AH87" s="208">
        <f t="shared" si="43"/>
        <v>9</v>
      </c>
      <c r="AI87" s="208">
        <f t="shared" si="44"/>
        <v>9</v>
      </c>
      <c r="AJ87" s="208">
        <f t="shared" si="45"/>
        <v>9</v>
      </c>
      <c r="AK87" s="208">
        <f t="shared" si="46"/>
        <v>0</v>
      </c>
      <c r="AL87" s="208">
        <f t="shared" si="47"/>
        <v>27</v>
      </c>
      <c r="AM87" s="680"/>
      <c r="AN87" s="746">
        <f t="shared" si="31"/>
        <v>0</v>
      </c>
      <c r="AO87" s="746">
        <f t="shared" si="31"/>
        <v>0</v>
      </c>
      <c r="AP87" s="746">
        <f t="shared" si="31"/>
        <v>0.1040984430370835</v>
      </c>
      <c r="AQ87" s="746">
        <f t="shared" si="31"/>
        <v>0</v>
      </c>
      <c r="AR87" s="746">
        <f t="shared" si="31"/>
        <v>0</v>
      </c>
      <c r="AS87" s="746">
        <f t="shared" si="31"/>
        <v>0.1040984430370835</v>
      </c>
      <c r="AT87" s="746">
        <f t="shared" si="48"/>
        <v>0</v>
      </c>
      <c r="AU87" s="746">
        <f t="shared" si="48"/>
        <v>0.1040984430370835</v>
      </c>
      <c r="AV87" s="746">
        <f t="shared" si="48"/>
        <v>0</v>
      </c>
      <c r="AW87" s="746">
        <f t="shared" si="48"/>
        <v>0</v>
      </c>
      <c r="AX87" s="746">
        <f t="shared" si="48"/>
        <v>0</v>
      </c>
      <c r="AY87" s="746">
        <f t="shared" si="48"/>
        <v>0</v>
      </c>
      <c r="AZ87" s="733">
        <f t="shared" si="49"/>
        <v>0</v>
      </c>
      <c r="BA87" s="636">
        <f t="shared" si="50"/>
        <v>0.1040984430370835</v>
      </c>
      <c r="BB87" s="636">
        <f t="shared" si="51"/>
        <v>0.1040984430370835</v>
      </c>
      <c r="BC87" s="636">
        <f t="shared" si="52"/>
        <v>0.1040984430370835</v>
      </c>
      <c r="BD87" s="636">
        <f t="shared" si="53"/>
        <v>0</v>
      </c>
      <c r="BE87" s="735">
        <f t="shared" si="54"/>
        <v>0.31229532911125052</v>
      </c>
      <c r="BF87" s="680"/>
      <c r="BG87" s="680"/>
      <c r="BH87" s="680"/>
      <c r="BI87" s="680"/>
      <c r="BJ87" s="680"/>
      <c r="BK87" s="680"/>
      <c r="BL87" s="680"/>
      <c r="BM87" s="680"/>
      <c r="BN87" s="680"/>
    </row>
    <row r="88" spans="1:66" ht="36">
      <c r="A88" s="758" t="s">
        <v>448</v>
      </c>
      <c r="B88" s="723" t="s">
        <v>135</v>
      </c>
      <c r="C88" s="753" t="s">
        <v>449</v>
      </c>
      <c r="D88" s="747" t="s">
        <v>450</v>
      </c>
      <c r="E88" s="767" t="s">
        <v>439</v>
      </c>
      <c r="F88" s="739"/>
      <c r="G88" s="739"/>
      <c r="H88" s="739"/>
      <c r="I88" s="740"/>
      <c r="J88" s="739"/>
      <c r="K88" s="686"/>
      <c r="L88" s="739"/>
      <c r="M88" s="740"/>
      <c r="N88" s="739">
        <v>30</v>
      </c>
      <c r="O88" s="740"/>
      <c r="P88" s="739">
        <v>151307.5394305923</v>
      </c>
      <c r="Q88" s="741"/>
      <c r="R88" s="742">
        <f t="shared" si="41"/>
        <v>0.45392261829177688</v>
      </c>
      <c r="S88" s="742"/>
      <c r="T88" s="742"/>
      <c r="U88" s="743"/>
      <c r="V88" s="743">
        <v>10</v>
      </c>
      <c r="W88" s="743"/>
      <c r="X88" s="743"/>
      <c r="Y88" s="743"/>
      <c r="Z88" s="743"/>
      <c r="AA88" s="743">
        <v>10</v>
      </c>
      <c r="AB88" s="743"/>
      <c r="AC88" s="743">
        <v>10</v>
      </c>
      <c r="AD88" s="744"/>
      <c r="AE88" s="744"/>
      <c r="AF88" s="745"/>
      <c r="AG88" s="733">
        <f t="shared" si="42"/>
        <v>0</v>
      </c>
      <c r="AH88" s="208">
        <f t="shared" si="43"/>
        <v>10</v>
      </c>
      <c r="AI88" s="208">
        <f t="shared" si="44"/>
        <v>0</v>
      </c>
      <c r="AJ88" s="208">
        <f t="shared" si="45"/>
        <v>20</v>
      </c>
      <c r="AK88" s="208">
        <f t="shared" si="46"/>
        <v>0</v>
      </c>
      <c r="AL88" s="208">
        <f t="shared" si="47"/>
        <v>30</v>
      </c>
      <c r="AM88" s="680"/>
      <c r="AN88" s="746">
        <f t="shared" si="31"/>
        <v>0</v>
      </c>
      <c r="AO88" s="746">
        <f t="shared" si="31"/>
        <v>0.1513075394305923</v>
      </c>
      <c r="AP88" s="746">
        <f t="shared" si="31"/>
        <v>0</v>
      </c>
      <c r="AQ88" s="746">
        <f t="shared" si="31"/>
        <v>0</v>
      </c>
      <c r="AR88" s="746">
        <f t="shared" si="31"/>
        <v>0</v>
      </c>
      <c r="AS88" s="746">
        <f t="shared" si="31"/>
        <v>0</v>
      </c>
      <c r="AT88" s="746">
        <f t="shared" si="48"/>
        <v>0.1513075394305923</v>
      </c>
      <c r="AU88" s="746">
        <f t="shared" si="48"/>
        <v>0</v>
      </c>
      <c r="AV88" s="746">
        <f t="shared" si="48"/>
        <v>0.1513075394305923</v>
      </c>
      <c r="AW88" s="746">
        <f t="shared" si="48"/>
        <v>0</v>
      </c>
      <c r="AX88" s="746">
        <f t="shared" si="48"/>
        <v>0</v>
      </c>
      <c r="AY88" s="746">
        <f t="shared" si="48"/>
        <v>0</v>
      </c>
      <c r="AZ88" s="733">
        <f t="shared" si="49"/>
        <v>0</v>
      </c>
      <c r="BA88" s="636">
        <f t="shared" si="50"/>
        <v>0.1513075394305923</v>
      </c>
      <c r="BB88" s="636">
        <f t="shared" si="51"/>
        <v>0</v>
      </c>
      <c r="BC88" s="636">
        <f t="shared" si="52"/>
        <v>0.30261507886118461</v>
      </c>
      <c r="BD88" s="636">
        <f t="shared" si="53"/>
        <v>0</v>
      </c>
      <c r="BE88" s="735">
        <f t="shared" si="54"/>
        <v>0.45392261829177694</v>
      </c>
      <c r="BF88" s="680"/>
      <c r="BG88" s="680"/>
      <c r="BH88" s="680"/>
      <c r="BI88" s="680"/>
      <c r="BJ88" s="680"/>
      <c r="BK88" s="680"/>
      <c r="BL88" s="680"/>
      <c r="BM88" s="680"/>
      <c r="BN88" s="680"/>
    </row>
    <row r="89" spans="1:66" ht="24">
      <c r="A89" s="758" t="s">
        <v>451</v>
      </c>
      <c r="B89" s="723" t="s">
        <v>135</v>
      </c>
      <c r="C89" s="753" t="s">
        <v>449</v>
      </c>
      <c r="D89" s="747" t="str">
        <f>LEFT(A89,17)</f>
        <v>Cream with shea b</v>
      </c>
      <c r="E89" s="767" t="s">
        <v>439</v>
      </c>
      <c r="F89" s="739"/>
      <c r="G89" s="739"/>
      <c r="H89" s="739"/>
      <c r="I89" s="740"/>
      <c r="J89" s="739"/>
      <c r="K89" s="686"/>
      <c r="L89" s="739"/>
      <c r="M89" s="740"/>
      <c r="N89" s="739">
        <v>30</v>
      </c>
      <c r="O89" s="740"/>
      <c r="P89" s="739">
        <v>88451.934255737637</v>
      </c>
      <c r="Q89" s="741"/>
      <c r="R89" s="742">
        <f t="shared" si="41"/>
        <v>0.26535580276721293</v>
      </c>
      <c r="S89" s="742"/>
      <c r="T89" s="742"/>
      <c r="U89" s="743"/>
      <c r="V89" s="743">
        <v>10</v>
      </c>
      <c r="W89" s="743"/>
      <c r="X89" s="743"/>
      <c r="Y89" s="743"/>
      <c r="Z89" s="743"/>
      <c r="AA89" s="743">
        <v>10</v>
      </c>
      <c r="AB89" s="743"/>
      <c r="AC89" s="743"/>
      <c r="AD89" s="743">
        <v>10</v>
      </c>
      <c r="AE89" s="744"/>
      <c r="AF89" s="745"/>
      <c r="AG89" s="733">
        <f t="shared" si="42"/>
        <v>0</v>
      </c>
      <c r="AH89" s="208">
        <f t="shared" si="43"/>
        <v>10</v>
      </c>
      <c r="AI89" s="208">
        <f t="shared" si="44"/>
        <v>0</v>
      </c>
      <c r="AJ89" s="208">
        <f t="shared" si="45"/>
        <v>10</v>
      </c>
      <c r="AK89" s="208">
        <f t="shared" si="46"/>
        <v>10</v>
      </c>
      <c r="AL89" s="208">
        <f t="shared" si="47"/>
        <v>30</v>
      </c>
      <c r="AM89" s="680"/>
      <c r="AN89" s="746">
        <f t="shared" si="31"/>
        <v>0</v>
      </c>
      <c r="AO89" s="746">
        <f t="shared" si="31"/>
        <v>8.8451934255737635E-2</v>
      </c>
      <c r="AP89" s="746">
        <f t="shared" si="31"/>
        <v>0</v>
      </c>
      <c r="AQ89" s="746">
        <f t="shared" si="31"/>
        <v>0</v>
      </c>
      <c r="AR89" s="746">
        <f t="shared" si="31"/>
        <v>0</v>
      </c>
      <c r="AS89" s="746">
        <f t="shared" si="31"/>
        <v>0</v>
      </c>
      <c r="AT89" s="746">
        <f t="shared" si="48"/>
        <v>8.8451934255737635E-2</v>
      </c>
      <c r="AU89" s="746">
        <f t="shared" si="48"/>
        <v>0</v>
      </c>
      <c r="AV89" s="746">
        <f t="shared" si="48"/>
        <v>0</v>
      </c>
      <c r="AW89" s="746">
        <f t="shared" si="48"/>
        <v>8.8451934255737635E-2</v>
      </c>
      <c r="AX89" s="746">
        <f t="shared" si="48"/>
        <v>0</v>
      </c>
      <c r="AY89" s="746">
        <f t="shared" si="48"/>
        <v>0</v>
      </c>
      <c r="AZ89" s="733">
        <f t="shared" si="49"/>
        <v>0</v>
      </c>
      <c r="BA89" s="636">
        <f t="shared" si="50"/>
        <v>8.8451934255737635E-2</v>
      </c>
      <c r="BB89" s="636">
        <f t="shared" si="51"/>
        <v>0</v>
      </c>
      <c r="BC89" s="636">
        <f t="shared" si="52"/>
        <v>8.8451934255737635E-2</v>
      </c>
      <c r="BD89" s="636">
        <f t="shared" si="53"/>
        <v>8.8451934255737635E-2</v>
      </c>
      <c r="BE89" s="735">
        <f t="shared" si="54"/>
        <v>0.26535580276721293</v>
      </c>
      <c r="BF89" s="680"/>
      <c r="BG89" s="680"/>
      <c r="BH89" s="680"/>
      <c r="BI89" s="680"/>
      <c r="BJ89" s="680"/>
      <c r="BK89" s="680"/>
      <c r="BL89" s="680"/>
      <c r="BM89" s="680"/>
      <c r="BN89" s="680"/>
    </row>
    <row r="90" spans="1:66" ht="24">
      <c r="A90" s="758" t="s">
        <v>452</v>
      </c>
      <c r="B90" s="723" t="s">
        <v>135</v>
      </c>
      <c r="C90" s="753" t="s">
        <v>449</v>
      </c>
      <c r="D90" s="747" t="s">
        <v>453</v>
      </c>
      <c r="E90" s="767" t="s">
        <v>182</v>
      </c>
      <c r="F90" s="739"/>
      <c r="G90" s="739"/>
      <c r="H90" s="739"/>
      <c r="I90" s="740"/>
      <c r="J90" s="739"/>
      <c r="K90" s="686"/>
      <c r="L90" s="739"/>
      <c r="M90" s="740"/>
      <c r="N90" s="739">
        <v>50</v>
      </c>
      <c r="O90" s="740"/>
      <c r="P90" s="739">
        <v>131139.60138469998</v>
      </c>
      <c r="Q90" s="741"/>
      <c r="R90" s="742">
        <f t="shared" si="41"/>
        <v>0.65569800692349989</v>
      </c>
      <c r="S90" s="742"/>
      <c r="T90" s="742"/>
      <c r="U90" s="743"/>
      <c r="V90" s="743"/>
      <c r="W90" s="743"/>
      <c r="X90" s="743">
        <v>10</v>
      </c>
      <c r="Y90" s="743"/>
      <c r="Z90" s="744">
        <v>10</v>
      </c>
      <c r="AA90" s="743"/>
      <c r="AB90" s="744">
        <v>10</v>
      </c>
      <c r="AC90" s="743"/>
      <c r="AD90" s="744">
        <v>10</v>
      </c>
      <c r="AE90" s="744">
        <v>10</v>
      </c>
      <c r="AF90" s="745"/>
      <c r="AG90" s="733">
        <f t="shared" si="42"/>
        <v>0</v>
      </c>
      <c r="AH90" s="208">
        <f t="shared" si="43"/>
        <v>0</v>
      </c>
      <c r="AI90" s="208">
        <f t="shared" si="44"/>
        <v>20</v>
      </c>
      <c r="AJ90" s="208">
        <f t="shared" si="45"/>
        <v>10</v>
      </c>
      <c r="AK90" s="208">
        <f t="shared" si="46"/>
        <v>20</v>
      </c>
      <c r="AL90" s="208">
        <f t="shared" si="47"/>
        <v>50</v>
      </c>
      <c r="AM90" s="680"/>
      <c r="AN90" s="746">
        <f t="shared" si="31"/>
        <v>0</v>
      </c>
      <c r="AO90" s="746">
        <f t="shared" si="31"/>
        <v>0</v>
      </c>
      <c r="AP90" s="746">
        <f t="shared" si="31"/>
        <v>0</v>
      </c>
      <c r="AQ90" s="746">
        <f t="shared" si="31"/>
        <v>0.13113960138469999</v>
      </c>
      <c r="AR90" s="746">
        <f t="shared" si="31"/>
        <v>0</v>
      </c>
      <c r="AS90" s="746">
        <f t="shared" si="31"/>
        <v>0.13113960138469999</v>
      </c>
      <c r="AT90" s="746">
        <f t="shared" si="48"/>
        <v>0</v>
      </c>
      <c r="AU90" s="746">
        <f t="shared" si="48"/>
        <v>0.13113960138469999</v>
      </c>
      <c r="AV90" s="746">
        <f t="shared" si="48"/>
        <v>0</v>
      </c>
      <c r="AW90" s="746">
        <f t="shared" si="48"/>
        <v>0.13113960138469999</v>
      </c>
      <c r="AX90" s="746">
        <f t="shared" si="48"/>
        <v>0.13113960138469999</v>
      </c>
      <c r="AY90" s="746">
        <f t="shared" si="48"/>
        <v>0</v>
      </c>
      <c r="AZ90" s="733">
        <f t="shared" si="49"/>
        <v>0</v>
      </c>
      <c r="BA90" s="636">
        <f t="shared" si="50"/>
        <v>0</v>
      </c>
      <c r="BB90" s="636">
        <f t="shared" si="51"/>
        <v>0.26227920276939998</v>
      </c>
      <c r="BC90" s="636">
        <f t="shared" si="52"/>
        <v>0.13113960138469999</v>
      </c>
      <c r="BD90" s="636">
        <f t="shared" si="53"/>
        <v>0.26227920276939998</v>
      </c>
      <c r="BE90" s="735">
        <f t="shared" si="54"/>
        <v>0.65569800692349989</v>
      </c>
      <c r="BF90" s="680"/>
      <c r="BG90" s="680"/>
      <c r="BH90" s="680"/>
      <c r="BI90" s="680"/>
      <c r="BJ90" s="680"/>
      <c r="BK90" s="680"/>
      <c r="BL90" s="680"/>
      <c r="BM90" s="680"/>
      <c r="BN90" s="680"/>
    </row>
    <row r="91" spans="1:66" ht="36">
      <c r="A91" s="758" t="s">
        <v>454</v>
      </c>
      <c r="B91" s="723" t="s">
        <v>135</v>
      </c>
      <c r="C91" s="753" t="s">
        <v>49</v>
      </c>
      <c r="D91" s="747" t="s">
        <v>455</v>
      </c>
      <c r="E91" s="767" t="s">
        <v>456</v>
      </c>
      <c r="F91" s="739"/>
      <c r="G91" s="739"/>
      <c r="H91" s="739"/>
      <c r="I91" s="740"/>
      <c r="J91" s="739"/>
      <c r="K91" s="686"/>
      <c r="L91" s="739"/>
      <c r="M91" s="740"/>
      <c r="N91" s="739"/>
      <c r="O91" s="740"/>
      <c r="P91" s="739">
        <v>6000</v>
      </c>
      <c r="Q91" s="741"/>
      <c r="R91" s="742">
        <f t="shared" si="41"/>
        <v>0</v>
      </c>
      <c r="S91" s="742"/>
      <c r="T91" s="742"/>
      <c r="U91" s="743"/>
      <c r="V91" s="743"/>
      <c r="W91" s="743"/>
      <c r="X91" s="743"/>
      <c r="Y91" s="743"/>
      <c r="Z91" s="743"/>
      <c r="AA91" s="743"/>
      <c r="AB91" s="743"/>
      <c r="AC91" s="743"/>
      <c r="AD91" s="744"/>
      <c r="AE91" s="744"/>
      <c r="AF91" s="745"/>
      <c r="AG91" s="733">
        <f t="shared" si="42"/>
        <v>0</v>
      </c>
      <c r="AH91" s="208">
        <f t="shared" si="43"/>
        <v>0</v>
      </c>
      <c r="AI91" s="208">
        <f t="shared" si="44"/>
        <v>0</v>
      </c>
      <c r="AJ91" s="208">
        <f t="shared" si="45"/>
        <v>0</v>
      </c>
      <c r="AK91" s="208">
        <f t="shared" si="46"/>
        <v>0</v>
      </c>
      <c r="AL91" s="208">
        <f t="shared" si="47"/>
        <v>0</v>
      </c>
      <c r="AM91" s="680"/>
      <c r="AN91" s="746">
        <f t="shared" si="31"/>
        <v>0</v>
      </c>
      <c r="AO91" s="746">
        <f t="shared" si="31"/>
        <v>0</v>
      </c>
      <c r="AP91" s="746">
        <f t="shared" si="31"/>
        <v>0</v>
      </c>
      <c r="AQ91" s="746">
        <f t="shared" si="31"/>
        <v>0</v>
      </c>
      <c r="AR91" s="746">
        <f t="shared" si="31"/>
        <v>0</v>
      </c>
      <c r="AS91" s="746">
        <f t="shared" si="31"/>
        <v>0</v>
      </c>
      <c r="AT91" s="746">
        <f t="shared" si="48"/>
        <v>0</v>
      </c>
      <c r="AU91" s="746">
        <f t="shared" si="48"/>
        <v>0</v>
      </c>
      <c r="AV91" s="746">
        <f t="shared" si="48"/>
        <v>0</v>
      </c>
      <c r="AW91" s="746">
        <f t="shared" si="48"/>
        <v>0</v>
      </c>
      <c r="AX91" s="746">
        <f t="shared" si="48"/>
        <v>0</v>
      </c>
      <c r="AY91" s="746">
        <f t="shared" si="48"/>
        <v>0</v>
      </c>
      <c r="AZ91" s="733">
        <f t="shared" si="49"/>
        <v>0</v>
      </c>
      <c r="BA91" s="636">
        <f t="shared" si="50"/>
        <v>0</v>
      </c>
      <c r="BB91" s="636">
        <f t="shared" si="51"/>
        <v>0</v>
      </c>
      <c r="BC91" s="636">
        <f t="shared" si="52"/>
        <v>0</v>
      </c>
      <c r="BD91" s="636">
        <f t="shared" si="53"/>
        <v>0</v>
      </c>
      <c r="BE91" s="735">
        <f t="shared" si="54"/>
        <v>0</v>
      </c>
      <c r="BF91" s="680"/>
      <c r="BG91" s="680"/>
      <c r="BH91" s="680"/>
      <c r="BI91" s="680"/>
      <c r="BJ91" s="680"/>
      <c r="BK91" s="680"/>
      <c r="BL91" s="680"/>
      <c r="BM91" s="680"/>
      <c r="BN91" s="680"/>
    </row>
    <row r="92" spans="1:66" ht="36">
      <c r="A92" s="758" t="s">
        <v>457</v>
      </c>
      <c r="B92" s="723" t="s">
        <v>135</v>
      </c>
      <c r="C92" s="753" t="s">
        <v>458</v>
      </c>
      <c r="D92" s="747" t="s">
        <v>459</v>
      </c>
      <c r="E92" s="767" t="s">
        <v>439</v>
      </c>
      <c r="F92" s="739"/>
      <c r="G92" s="739"/>
      <c r="H92" s="739"/>
      <c r="I92" s="740"/>
      <c r="J92" s="739"/>
      <c r="K92" s="686"/>
      <c r="L92" s="739"/>
      <c r="M92" s="740"/>
      <c r="N92" s="768"/>
      <c r="O92" s="740"/>
      <c r="P92" s="739">
        <v>6000</v>
      </c>
      <c r="Q92" s="741"/>
      <c r="R92" s="769">
        <f t="shared" si="41"/>
        <v>0</v>
      </c>
      <c r="S92" s="742"/>
      <c r="T92" s="742"/>
      <c r="U92" s="743"/>
      <c r="V92" s="743"/>
      <c r="W92" s="743"/>
      <c r="X92" s="743"/>
      <c r="Y92" s="743"/>
      <c r="Z92" s="743"/>
      <c r="AA92" s="743"/>
      <c r="AB92" s="743"/>
      <c r="AC92" s="743"/>
      <c r="AD92" s="744"/>
      <c r="AE92" s="744"/>
      <c r="AF92" s="745"/>
      <c r="AG92" s="733">
        <f t="shared" si="42"/>
        <v>0</v>
      </c>
      <c r="AH92" s="208">
        <f t="shared" si="43"/>
        <v>0</v>
      </c>
      <c r="AI92" s="208">
        <f t="shared" si="44"/>
        <v>0</v>
      </c>
      <c r="AJ92" s="208">
        <f t="shared" si="45"/>
        <v>0</v>
      </c>
      <c r="AK92" s="208">
        <f t="shared" si="46"/>
        <v>0</v>
      </c>
      <c r="AL92" s="208">
        <f t="shared" si="47"/>
        <v>0</v>
      </c>
      <c r="AM92" s="680"/>
      <c r="AN92" s="746">
        <f t="shared" si="31"/>
        <v>0</v>
      </c>
      <c r="AO92" s="746">
        <f t="shared" si="31"/>
        <v>0</v>
      </c>
      <c r="AP92" s="746">
        <f t="shared" si="31"/>
        <v>0</v>
      </c>
      <c r="AQ92" s="746">
        <f t="shared" si="31"/>
        <v>0</v>
      </c>
      <c r="AR92" s="746">
        <f t="shared" si="31"/>
        <v>0</v>
      </c>
      <c r="AS92" s="746">
        <f t="shared" si="31"/>
        <v>0</v>
      </c>
      <c r="AT92" s="746">
        <f t="shared" si="48"/>
        <v>0</v>
      </c>
      <c r="AU92" s="746">
        <f t="shared" si="48"/>
        <v>0</v>
      </c>
      <c r="AV92" s="746">
        <f t="shared" si="48"/>
        <v>0</v>
      </c>
      <c r="AW92" s="746">
        <f t="shared" si="48"/>
        <v>0</v>
      </c>
      <c r="AX92" s="746">
        <f t="shared" si="48"/>
        <v>0</v>
      </c>
      <c r="AY92" s="746">
        <f t="shared" si="48"/>
        <v>0</v>
      </c>
      <c r="AZ92" s="733">
        <f t="shared" si="49"/>
        <v>0</v>
      </c>
      <c r="BA92" s="636">
        <f t="shared" si="50"/>
        <v>0</v>
      </c>
      <c r="BB92" s="636">
        <f t="shared" si="51"/>
        <v>0</v>
      </c>
      <c r="BC92" s="636">
        <f t="shared" si="52"/>
        <v>0</v>
      </c>
      <c r="BD92" s="636">
        <f t="shared" si="53"/>
        <v>0</v>
      </c>
      <c r="BE92" s="735">
        <f t="shared" si="54"/>
        <v>0</v>
      </c>
      <c r="BF92" s="680"/>
      <c r="BG92" s="680"/>
      <c r="BH92" s="680"/>
      <c r="BI92" s="680"/>
      <c r="BJ92" s="680"/>
      <c r="BK92" s="680"/>
      <c r="BL92" s="680"/>
      <c r="BM92" s="680"/>
      <c r="BN92" s="680"/>
    </row>
    <row r="93" spans="1:66" ht="24">
      <c r="A93" s="758" t="s">
        <v>460</v>
      </c>
      <c r="B93" s="723" t="s">
        <v>135</v>
      </c>
      <c r="C93" s="753" t="s">
        <v>461</v>
      </c>
      <c r="D93" s="747" t="s">
        <v>462</v>
      </c>
      <c r="E93" s="767" t="s">
        <v>463</v>
      </c>
      <c r="F93" s="739"/>
      <c r="G93" s="739"/>
      <c r="H93" s="739"/>
      <c r="I93" s="740"/>
      <c r="J93" s="739"/>
      <c r="K93" s="686"/>
      <c r="L93" s="739"/>
      <c r="M93" s="740"/>
      <c r="N93" s="739">
        <v>300</v>
      </c>
      <c r="O93" s="740"/>
      <c r="P93" s="739">
        <f>P18</f>
        <v>279695.75986425002</v>
      </c>
      <c r="Q93" s="741"/>
      <c r="R93" s="742">
        <f t="shared" si="41"/>
        <v>8.3908727959275016</v>
      </c>
      <c r="S93" s="742"/>
      <c r="T93" s="742"/>
      <c r="U93" s="743"/>
      <c r="V93" s="743">
        <v>30</v>
      </c>
      <c r="W93" s="743">
        <v>30</v>
      </c>
      <c r="X93" s="743">
        <v>30</v>
      </c>
      <c r="Y93" s="743">
        <v>30</v>
      </c>
      <c r="Z93" s="743">
        <v>30</v>
      </c>
      <c r="AA93" s="743">
        <v>30</v>
      </c>
      <c r="AB93" s="743">
        <v>30</v>
      </c>
      <c r="AC93" s="743">
        <v>30</v>
      </c>
      <c r="AD93" s="743">
        <v>30</v>
      </c>
      <c r="AE93" s="743">
        <v>30</v>
      </c>
      <c r="AF93" s="745"/>
      <c r="AG93" s="733">
        <f t="shared" si="42"/>
        <v>0</v>
      </c>
      <c r="AH93" s="208">
        <f t="shared" si="43"/>
        <v>60</v>
      </c>
      <c r="AI93" s="208">
        <f t="shared" si="44"/>
        <v>90</v>
      </c>
      <c r="AJ93" s="208">
        <f t="shared" si="45"/>
        <v>90</v>
      </c>
      <c r="AK93" s="208">
        <f t="shared" si="46"/>
        <v>60</v>
      </c>
      <c r="AL93" s="208">
        <f t="shared" si="47"/>
        <v>300</v>
      </c>
      <c r="AM93" s="680"/>
      <c r="AN93" s="746">
        <f t="shared" si="31"/>
        <v>0</v>
      </c>
      <c r="AO93" s="746">
        <f t="shared" si="31"/>
        <v>0.83908727959275009</v>
      </c>
      <c r="AP93" s="746">
        <f t="shared" si="31"/>
        <v>0.83908727959275009</v>
      </c>
      <c r="AQ93" s="746">
        <f t="shared" si="31"/>
        <v>0.83908727959275009</v>
      </c>
      <c r="AR93" s="746">
        <f t="shared" si="31"/>
        <v>0.83908727959275009</v>
      </c>
      <c r="AS93" s="746">
        <f t="shared" si="31"/>
        <v>0.83908727959275009</v>
      </c>
      <c r="AT93" s="746">
        <f t="shared" si="48"/>
        <v>0.83908727959275009</v>
      </c>
      <c r="AU93" s="746">
        <f t="shared" si="48"/>
        <v>0.83908727959275009</v>
      </c>
      <c r="AV93" s="746">
        <f t="shared" si="48"/>
        <v>0.83908727959275009</v>
      </c>
      <c r="AW93" s="746">
        <f t="shared" si="48"/>
        <v>0.83908727959275009</v>
      </c>
      <c r="AX93" s="746">
        <f t="shared" si="48"/>
        <v>0.83908727959275009</v>
      </c>
      <c r="AY93" s="746">
        <f t="shared" si="48"/>
        <v>0</v>
      </c>
      <c r="AZ93" s="733">
        <f t="shared" si="49"/>
        <v>0</v>
      </c>
      <c r="BA93" s="636">
        <f t="shared" si="50"/>
        <v>1.6781745591855002</v>
      </c>
      <c r="BB93" s="636">
        <f t="shared" si="51"/>
        <v>2.5172618387782504</v>
      </c>
      <c r="BC93" s="636">
        <f t="shared" si="52"/>
        <v>2.5172618387782504</v>
      </c>
      <c r="BD93" s="636">
        <f t="shared" si="53"/>
        <v>1.6781745591855002</v>
      </c>
      <c r="BE93" s="735">
        <f t="shared" si="54"/>
        <v>8.3908727959275016</v>
      </c>
      <c r="BF93" s="680"/>
      <c r="BG93" s="680"/>
      <c r="BH93" s="680"/>
      <c r="BI93" s="680"/>
      <c r="BJ93" s="680"/>
      <c r="BK93" s="680"/>
      <c r="BL93" s="680"/>
      <c r="BM93" s="680"/>
      <c r="BN93" s="680"/>
    </row>
    <row r="94" spans="1:66" ht="12.75">
      <c r="A94" s="758"/>
      <c r="B94" s="723"/>
      <c r="C94" s="753"/>
      <c r="D94" s="747"/>
      <c r="E94" s="767"/>
      <c r="F94" s="739"/>
      <c r="G94" s="739"/>
      <c r="H94" s="739"/>
      <c r="I94" s="740"/>
      <c r="J94" s="739"/>
      <c r="K94" s="686"/>
      <c r="L94" s="739"/>
      <c r="M94" s="740"/>
      <c r="N94" s="739"/>
      <c r="O94" s="740"/>
      <c r="P94" s="739"/>
      <c r="Q94" s="741"/>
      <c r="R94" s="742">
        <f t="shared" si="41"/>
        <v>0</v>
      </c>
      <c r="S94" s="742"/>
      <c r="T94" s="742"/>
      <c r="U94" s="743"/>
      <c r="V94" s="743"/>
      <c r="W94" s="743"/>
      <c r="X94" s="743"/>
      <c r="Y94" s="743"/>
      <c r="Z94" s="743"/>
      <c r="AA94" s="743"/>
      <c r="AB94" s="743"/>
      <c r="AC94" s="743"/>
      <c r="AD94" s="744"/>
      <c r="AE94" s="744"/>
      <c r="AF94" s="745"/>
      <c r="AG94" s="733">
        <f t="shared" si="42"/>
        <v>0</v>
      </c>
      <c r="AH94" s="208">
        <f t="shared" si="43"/>
        <v>0</v>
      </c>
      <c r="AI94" s="208">
        <f t="shared" si="44"/>
        <v>0</v>
      </c>
      <c r="AJ94" s="208">
        <f t="shared" si="45"/>
        <v>0</v>
      </c>
      <c r="AK94" s="208">
        <f t="shared" si="46"/>
        <v>0</v>
      </c>
      <c r="AL94" s="208">
        <f t="shared" si="47"/>
        <v>0</v>
      </c>
      <c r="AM94" s="680"/>
      <c r="AN94" s="746">
        <f t="shared" si="31"/>
        <v>0</v>
      </c>
      <c r="AO94" s="746">
        <f t="shared" si="31"/>
        <v>0</v>
      </c>
      <c r="AP94" s="746">
        <f t="shared" si="31"/>
        <v>0</v>
      </c>
      <c r="AQ94" s="746">
        <f t="shared" si="31"/>
        <v>0</v>
      </c>
      <c r="AR94" s="746">
        <f t="shared" si="31"/>
        <v>0</v>
      </c>
      <c r="AS94" s="746">
        <f t="shared" si="31"/>
        <v>0</v>
      </c>
      <c r="AT94" s="746">
        <f t="shared" si="48"/>
        <v>0</v>
      </c>
      <c r="AU94" s="746">
        <f t="shared" si="48"/>
        <v>0</v>
      </c>
      <c r="AV94" s="746">
        <f t="shared" si="48"/>
        <v>0</v>
      </c>
      <c r="AW94" s="746">
        <f t="shared" si="48"/>
        <v>0</v>
      </c>
      <c r="AX94" s="746">
        <f t="shared" si="48"/>
        <v>0</v>
      </c>
      <c r="AY94" s="746">
        <f t="shared" si="48"/>
        <v>0</v>
      </c>
      <c r="AZ94" s="733">
        <f t="shared" si="49"/>
        <v>0</v>
      </c>
      <c r="BA94" s="636">
        <f t="shared" si="50"/>
        <v>0</v>
      </c>
      <c r="BB94" s="636">
        <f t="shared" si="51"/>
        <v>0</v>
      </c>
      <c r="BC94" s="636">
        <f t="shared" si="52"/>
        <v>0</v>
      </c>
      <c r="BD94" s="636">
        <f t="shared" si="53"/>
        <v>0</v>
      </c>
      <c r="BE94" s="735">
        <f t="shared" si="54"/>
        <v>0</v>
      </c>
      <c r="BF94" s="680"/>
      <c r="BG94" s="680"/>
      <c r="BH94" s="680"/>
      <c r="BI94" s="680"/>
      <c r="BJ94" s="680"/>
      <c r="BK94" s="680"/>
      <c r="BL94" s="680"/>
      <c r="BM94" s="680"/>
      <c r="BN94" s="680"/>
    </row>
    <row r="95" spans="1:66" ht="12.75">
      <c r="A95" s="758"/>
      <c r="B95" s="723"/>
      <c r="C95" s="753"/>
      <c r="D95" s="747"/>
      <c r="E95" s="767"/>
      <c r="F95" s="739"/>
      <c r="G95" s="739"/>
      <c r="H95" s="739"/>
      <c r="I95" s="740"/>
      <c r="J95" s="739"/>
      <c r="K95" s="686"/>
      <c r="L95" s="739"/>
      <c r="M95" s="740"/>
      <c r="N95" s="739"/>
      <c r="O95" s="740"/>
      <c r="P95" s="739"/>
      <c r="Q95" s="741"/>
      <c r="R95" s="742">
        <f t="shared" si="41"/>
        <v>0</v>
      </c>
      <c r="S95" s="742"/>
      <c r="T95" s="742"/>
      <c r="U95" s="743"/>
      <c r="V95" s="743"/>
      <c r="W95" s="743"/>
      <c r="X95" s="743"/>
      <c r="Y95" s="743"/>
      <c r="Z95" s="743"/>
      <c r="AA95" s="743"/>
      <c r="AB95" s="743"/>
      <c r="AC95" s="743"/>
      <c r="AD95" s="744"/>
      <c r="AE95" s="744"/>
      <c r="AF95" s="745"/>
      <c r="AG95" s="733">
        <f t="shared" si="42"/>
        <v>0</v>
      </c>
      <c r="AH95" s="208">
        <f t="shared" si="43"/>
        <v>0</v>
      </c>
      <c r="AI95" s="208">
        <f t="shared" si="44"/>
        <v>0</v>
      </c>
      <c r="AJ95" s="208">
        <f t="shared" si="45"/>
        <v>0</v>
      </c>
      <c r="AK95" s="208">
        <f t="shared" si="46"/>
        <v>0</v>
      </c>
      <c r="AL95" s="208">
        <f t="shared" si="47"/>
        <v>0</v>
      </c>
      <c r="AM95" s="680"/>
      <c r="AN95" s="746">
        <f t="shared" si="31"/>
        <v>0</v>
      </c>
      <c r="AO95" s="746">
        <f t="shared" si="31"/>
        <v>0</v>
      </c>
      <c r="AP95" s="746">
        <f t="shared" si="31"/>
        <v>0</v>
      </c>
      <c r="AQ95" s="746">
        <f t="shared" si="31"/>
        <v>0</v>
      </c>
      <c r="AR95" s="746">
        <f t="shared" si="31"/>
        <v>0</v>
      </c>
      <c r="AS95" s="746">
        <f t="shared" si="31"/>
        <v>0</v>
      </c>
      <c r="AT95" s="746">
        <f t="shared" si="48"/>
        <v>0</v>
      </c>
      <c r="AU95" s="746">
        <f t="shared" si="48"/>
        <v>0</v>
      </c>
      <c r="AV95" s="746">
        <f t="shared" si="48"/>
        <v>0</v>
      </c>
      <c r="AW95" s="746">
        <f t="shared" si="48"/>
        <v>0</v>
      </c>
      <c r="AX95" s="746">
        <f t="shared" si="48"/>
        <v>0</v>
      </c>
      <c r="AY95" s="746">
        <f t="shared" si="48"/>
        <v>0</v>
      </c>
      <c r="AZ95" s="733">
        <f t="shared" si="49"/>
        <v>0</v>
      </c>
      <c r="BA95" s="636">
        <f t="shared" si="50"/>
        <v>0</v>
      </c>
      <c r="BB95" s="636">
        <f t="shared" si="51"/>
        <v>0</v>
      </c>
      <c r="BC95" s="636">
        <f t="shared" si="52"/>
        <v>0</v>
      </c>
      <c r="BD95" s="636">
        <f t="shared" si="53"/>
        <v>0</v>
      </c>
      <c r="BE95" s="735">
        <f t="shared" si="54"/>
        <v>0</v>
      </c>
      <c r="BF95" s="680"/>
      <c r="BG95" s="680"/>
      <c r="BH95" s="680"/>
      <c r="BI95" s="680"/>
      <c r="BJ95" s="680"/>
      <c r="BK95" s="680"/>
      <c r="BL95" s="680"/>
      <c r="BM95" s="680"/>
      <c r="BN95" s="680"/>
    </row>
    <row r="96" spans="1:66" ht="12.75">
      <c r="A96" s="758"/>
      <c r="B96" s="723"/>
      <c r="C96" s="753"/>
      <c r="D96" s="747"/>
      <c r="E96" s="767"/>
      <c r="F96" s="739"/>
      <c r="G96" s="739"/>
      <c r="H96" s="739"/>
      <c r="I96" s="740"/>
      <c r="J96" s="739"/>
      <c r="K96" s="686"/>
      <c r="L96" s="739"/>
      <c r="M96" s="740"/>
      <c r="N96" s="739"/>
      <c r="O96" s="740"/>
      <c r="P96" s="739"/>
      <c r="Q96" s="741"/>
      <c r="R96" s="742">
        <f t="shared" si="41"/>
        <v>0</v>
      </c>
      <c r="S96" s="742"/>
      <c r="T96" s="742"/>
      <c r="U96" s="743"/>
      <c r="V96" s="743"/>
      <c r="W96" s="743"/>
      <c r="X96" s="743"/>
      <c r="Y96" s="743"/>
      <c r="Z96" s="743"/>
      <c r="AA96" s="743"/>
      <c r="AB96" s="743"/>
      <c r="AC96" s="743"/>
      <c r="AD96" s="744"/>
      <c r="AE96" s="744"/>
      <c r="AF96" s="745"/>
      <c r="AG96" s="733">
        <f t="shared" si="42"/>
        <v>0</v>
      </c>
      <c r="AH96" s="208">
        <f t="shared" si="43"/>
        <v>0</v>
      </c>
      <c r="AI96" s="208">
        <f t="shared" si="44"/>
        <v>0</v>
      </c>
      <c r="AJ96" s="208">
        <f t="shared" si="45"/>
        <v>0</v>
      </c>
      <c r="AK96" s="208">
        <f t="shared" si="46"/>
        <v>0</v>
      </c>
      <c r="AL96" s="208">
        <f t="shared" si="47"/>
        <v>0</v>
      </c>
      <c r="AM96" s="680"/>
      <c r="AN96" s="746">
        <f t="shared" si="31"/>
        <v>0</v>
      </c>
      <c r="AO96" s="746">
        <f t="shared" si="31"/>
        <v>0</v>
      </c>
      <c r="AP96" s="746">
        <f t="shared" si="31"/>
        <v>0</v>
      </c>
      <c r="AQ96" s="746">
        <f t="shared" si="31"/>
        <v>0</v>
      </c>
      <c r="AR96" s="746">
        <f t="shared" si="31"/>
        <v>0</v>
      </c>
      <c r="AS96" s="746">
        <f t="shared" si="31"/>
        <v>0</v>
      </c>
      <c r="AT96" s="746">
        <f t="shared" si="48"/>
        <v>0</v>
      </c>
      <c r="AU96" s="746">
        <f t="shared" si="48"/>
        <v>0</v>
      </c>
      <c r="AV96" s="746">
        <f t="shared" si="48"/>
        <v>0</v>
      </c>
      <c r="AW96" s="746">
        <f t="shared" si="48"/>
        <v>0</v>
      </c>
      <c r="AX96" s="746">
        <f t="shared" si="48"/>
        <v>0</v>
      </c>
      <c r="AY96" s="746">
        <f t="shared" si="48"/>
        <v>0</v>
      </c>
      <c r="AZ96" s="733">
        <f t="shared" si="49"/>
        <v>0</v>
      </c>
      <c r="BA96" s="636">
        <f t="shared" si="50"/>
        <v>0</v>
      </c>
      <c r="BB96" s="636">
        <f t="shared" si="51"/>
        <v>0</v>
      </c>
      <c r="BC96" s="636">
        <f t="shared" si="52"/>
        <v>0</v>
      </c>
      <c r="BD96" s="636">
        <f t="shared" si="53"/>
        <v>0</v>
      </c>
      <c r="BE96" s="735">
        <f t="shared" si="54"/>
        <v>0</v>
      </c>
      <c r="BF96" s="680"/>
      <c r="BG96" s="680"/>
      <c r="BH96" s="680"/>
      <c r="BI96" s="680"/>
      <c r="BJ96" s="680"/>
      <c r="BK96" s="680"/>
      <c r="BL96" s="680"/>
      <c r="BM96" s="680"/>
      <c r="BN96" s="680"/>
    </row>
    <row r="97" spans="1:66" ht="12.75">
      <c r="A97" s="758"/>
      <c r="B97" s="723"/>
      <c r="C97" s="753"/>
      <c r="D97" s="747"/>
      <c r="E97" s="767"/>
      <c r="F97" s="739"/>
      <c r="G97" s="739"/>
      <c r="H97" s="739"/>
      <c r="I97" s="740"/>
      <c r="J97" s="739"/>
      <c r="K97" s="686"/>
      <c r="L97" s="739"/>
      <c r="M97" s="740"/>
      <c r="N97" s="739"/>
      <c r="O97" s="740"/>
      <c r="P97" s="739"/>
      <c r="Q97" s="741"/>
      <c r="R97" s="742">
        <f t="shared" si="41"/>
        <v>0</v>
      </c>
      <c r="S97" s="742"/>
      <c r="T97" s="742"/>
      <c r="U97" s="743"/>
      <c r="V97" s="743"/>
      <c r="W97" s="743"/>
      <c r="X97" s="743"/>
      <c r="Y97" s="743"/>
      <c r="Z97" s="743"/>
      <c r="AA97" s="743"/>
      <c r="AB97" s="743"/>
      <c r="AC97" s="743"/>
      <c r="AD97" s="744"/>
      <c r="AE97" s="744"/>
      <c r="AF97" s="745"/>
      <c r="AG97" s="733">
        <f t="shared" si="42"/>
        <v>0</v>
      </c>
      <c r="AH97" s="208">
        <f t="shared" si="43"/>
        <v>0</v>
      </c>
      <c r="AI97" s="208">
        <f t="shared" si="44"/>
        <v>0</v>
      </c>
      <c r="AJ97" s="208">
        <f t="shared" si="45"/>
        <v>0</v>
      </c>
      <c r="AK97" s="208">
        <f t="shared" si="46"/>
        <v>0</v>
      </c>
      <c r="AL97" s="208">
        <f t="shared" si="47"/>
        <v>0</v>
      </c>
      <c r="AM97" s="680"/>
      <c r="AN97" s="746">
        <f t="shared" si="31"/>
        <v>0</v>
      </c>
      <c r="AO97" s="746">
        <f t="shared" si="31"/>
        <v>0</v>
      </c>
      <c r="AP97" s="746">
        <f t="shared" si="31"/>
        <v>0</v>
      </c>
      <c r="AQ97" s="746">
        <f t="shared" si="31"/>
        <v>0</v>
      </c>
      <c r="AR97" s="746">
        <f t="shared" si="31"/>
        <v>0</v>
      </c>
      <c r="AS97" s="746">
        <f t="shared" si="31"/>
        <v>0</v>
      </c>
      <c r="AT97" s="746">
        <f t="shared" si="48"/>
        <v>0</v>
      </c>
      <c r="AU97" s="746">
        <f t="shared" si="48"/>
        <v>0</v>
      </c>
      <c r="AV97" s="746">
        <f t="shared" si="48"/>
        <v>0</v>
      </c>
      <c r="AW97" s="746">
        <f t="shared" si="48"/>
        <v>0</v>
      </c>
      <c r="AX97" s="746">
        <f t="shared" si="48"/>
        <v>0</v>
      </c>
      <c r="AY97" s="746">
        <f t="shared" si="48"/>
        <v>0</v>
      </c>
      <c r="AZ97" s="733">
        <f t="shared" si="49"/>
        <v>0</v>
      </c>
      <c r="BA97" s="636">
        <f t="shared" si="50"/>
        <v>0</v>
      </c>
      <c r="BB97" s="636">
        <f t="shared" si="51"/>
        <v>0</v>
      </c>
      <c r="BC97" s="636">
        <f t="shared" si="52"/>
        <v>0</v>
      </c>
      <c r="BD97" s="636">
        <f t="shared" si="53"/>
        <v>0</v>
      </c>
      <c r="BE97" s="735">
        <f t="shared" si="54"/>
        <v>0</v>
      </c>
      <c r="BF97" s="680"/>
      <c r="BG97" s="680"/>
      <c r="BH97" s="680"/>
      <c r="BI97" s="680"/>
      <c r="BJ97" s="680"/>
      <c r="BK97" s="680"/>
      <c r="BL97" s="680"/>
      <c r="BM97" s="680"/>
      <c r="BN97" s="680"/>
    </row>
    <row r="98" spans="1:66" ht="12.75">
      <c r="A98" s="758"/>
      <c r="B98" s="723"/>
      <c r="C98" s="753"/>
      <c r="D98" s="747"/>
      <c r="E98" s="767"/>
      <c r="F98" s="739"/>
      <c r="G98" s="739"/>
      <c r="H98" s="739"/>
      <c r="I98" s="740"/>
      <c r="J98" s="739"/>
      <c r="K98" s="686"/>
      <c r="L98" s="739"/>
      <c r="M98" s="740"/>
      <c r="N98" s="739"/>
      <c r="O98" s="740"/>
      <c r="P98" s="739"/>
      <c r="Q98" s="741"/>
      <c r="R98" s="742">
        <f t="shared" si="41"/>
        <v>0</v>
      </c>
      <c r="S98" s="742"/>
      <c r="T98" s="742"/>
      <c r="U98" s="743"/>
      <c r="V98" s="743"/>
      <c r="W98" s="743"/>
      <c r="X98" s="743"/>
      <c r="Y98" s="743"/>
      <c r="Z98" s="743"/>
      <c r="AA98" s="743"/>
      <c r="AB98" s="743"/>
      <c r="AC98" s="743"/>
      <c r="AD98" s="744"/>
      <c r="AE98" s="744"/>
      <c r="AF98" s="745"/>
      <c r="AG98" s="733">
        <f t="shared" si="42"/>
        <v>0</v>
      </c>
      <c r="AH98" s="208">
        <f t="shared" si="43"/>
        <v>0</v>
      </c>
      <c r="AI98" s="208">
        <f t="shared" si="44"/>
        <v>0</v>
      </c>
      <c r="AJ98" s="208">
        <f t="shared" si="45"/>
        <v>0</v>
      </c>
      <c r="AK98" s="208">
        <f t="shared" si="46"/>
        <v>0</v>
      </c>
      <c r="AL98" s="208">
        <f t="shared" si="47"/>
        <v>0</v>
      </c>
      <c r="AM98" s="680"/>
      <c r="AN98" s="746">
        <f t="shared" si="31"/>
        <v>0</v>
      </c>
      <c r="AO98" s="746">
        <f t="shared" si="31"/>
        <v>0</v>
      </c>
      <c r="AP98" s="746">
        <f t="shared" si="31"/>
        <v>0</v>
      </c>
      <c r="AQ98" s="746">
        <f t="shared" si="31"/>
        <v>0</v>
      </c>
      <c r="AR98" s="746">
        <f t="shared" si="31"/>
        <v>0</v>
      </c>
      <c r="AS98" s="746">
        <f t="shared" si="31"/>
        <v>0</v>
      </c>
      <c r="AT98" s="746">
        <f t="shared" si="48"/>
        <v>0</v>
      </c>
      <c r="AU98" s="746">
        <f t="shared" si="48"/>
        <v>0</v>
      </c>
      <c r="AV98" s="746">
        <f t="shared" si="48"/>
        <v>0</v>
      </c>
      <c r="AW98" s="746">
        <f t="shared" si="48"/>
        <v>0</v>
      </c>
      <c r="AX98" s="746">
        <f t="shared" si="48"/>
        <v>0</v>
      </c>
      <c r="AY98" s="746">
        <f t="shared" si="48"/>
        <v>0</v>
      </c>
      <c r="AZ98" s="733">
        <f t="shared" si="49"/>
        <v>0</v>
      </c>
      <c r="BA98" s="636">
        <f t="shared" si="50"/>
        <v>0</v>
      </c>
      <c r="BB98" s="636">
        <f t="shared" si="51"/>
        <v>0</v>
      </c>
      <c r="BC98" s="636">
        <f t="shared" si="52"/>
        <v>0</v>
      </c>
      <c r="BD98" s="636">
        <f t="shared" si="53"/>
        <v>0</v>
      </c>
      <c r="BE98" s="735">
        <f t="shared" si="54"/>
        <v>0</v>
      </c>
      <c r="BF98" s="680"/>
      <c r="BG98" s="680"/>
      <c r="BH98" s="680"/>
      <c r="BI98" s="680"/>
      <c r="BJ98" s="680"/>
      <c r="BK98" s="680"/>
      <c r="BL98" s="680"/>
      <c r="BM98" s="680"/>
      <c r="BN98" s="680"/>
    </row>
    <row r="99" spans="1:66" ht="12.75">
      <c r="A99" s="758"/>
      <c r="B99" s="723"/>
      <c r="C99" s="753"/>
      <c r="D99" s="747"/>
      <c r="E99" s="767"/>
      <c r="F99" s="739"/>
      <c r="G99" s="739"/>
      <c r="H99" s="739"/>
      <c r="I99" s="740"/>
      <c r="J99" s="739"/>
      <c r="K99" s="686"/>
      <c r="L99" s="739"/>
      <c r="M99" s="740"/>
      <c r="N99" s="739"/>
      <c r="O99" s="740"/>
      <c r="P99" s="739"/>
      <c r="Q99" s="741"/>
      <c r="R99" s="742">
        <f t="shared" si="41"/>
        <v>0</v>
      </c>
      <c r="S99" s="742"/>
      <c r="T99" s="742"/>
      <c r="U99" s="743"/>
      <c r="V99" s="743"/>
      <c r="W99" s="743"/>
      <c r="X99" s="743"/>
      <c r="Y99" s="743"/>
      <c r="Z99" s="743"/>
      <c r="AA99" s="743"/>
      <c r="AB99" s="743"/>
      <c r="AC99" s="743"/>
      <c r="AD99" s="744"/>
      <c r="AE99" s="744"/>
      <c r="AF99" s="745"/>
      <c r="AG99" s="733">
        <f t="shared" si="42"/>
        <v>0</v>
      </c>
      <c r="AH99" s="208">
        <f t="shared" si="43"/>
        <v>0</v>
      </c>
      <c r="AI99" s="208">
        <f t="shared" si="44"/>
        <v>0</v>
      </c>
      <c r="AJ99" s="208">
        <f t="shared" si="45"/>
        <v>0</v>
      </c>
      <c r="AK99" s="208">
        <f t="shared" si="46"/>
        <v>0</v>
      </c>
      <c r="AL99" s="208">
        <f t="shared" si="47"/>
        <v>0</v>
      </c>
      <c r="AM99" s="680"/>
      <c r="AN99" s="746">
        <f t="shared" si="31"/>
        <v>0</v>
      </c>
      <c r="AO99" s="746">
        <f t="shared" si="31"/>
        <v>0</v>
      </c>
      <c r="AP99" s="746">
        <f t="shared" si="31"/>
        <v>0</v>
      </c>
      <c r="AQ99" s="746">
        <f t="shared" si="31"/>
        <v>0</v>
      </c>
      <c r="AR99" s="746">
        <f t="shared" si="31"/>
        <v>0</v>
      </c>
      <c r="AS99" s="746">
        <f t="shared" si="31"/>
        <v>0</v>
      </c>
      <c r="AT99" s="746">
        <f t="shared" si="48"/>
        <v>0</v>
      </c>
      <c r="AU99" s="746">
        <f t="shared" si="48"/>
        <v>0</v>
      </c>
      <c r="AV99" s="746">
        <f t="shared" si="48"/>
        <v>0</v>
      </c>
      <c r="AW99" s="746">
        <f t="shared" si="48"/>
        <v>0</v>
      </c>
      <c r="AX99" s="746">
        <f t="shared" si="48"/>
        <v>0</v>
      </c>
      <c r="AY99" s="746">
        <f t="shared" si="48"/>
        <v>0</v>
      </c>
      <c r="AZ99" s="733">
        <f t="shared" si="49"/>
        <v>0</v>
      </c>
      <c r="BA99" s="636">
        <f t="shared" si="50"/>
        <v>0</v>
      </c>
      <c r="BB99" s="636">
        <f t="shared" si="51"/>
        <v>0</v>
      </c>
      <c r="BC99" s="636">
        <f t="shared" si="52"/>
        <v>0</v>
      </c>
      <c r="BD99" s="636">
        <f t="shared" si="53"/>
        <v>0</v>
      </c>
      <c r="BE99" s="735">
        <f t="shared" si="54"/>
        <v>0</v>
      </c>
      <c r="BF99" s="680"/>
      <c r="BG99" s="680"/>
      <c r="BH99" s="680"/>
      <c r="BI99" s="680"/>
      <c r="BJ99" s="680"/>
      <c r="BK99" s="680"/>
      <c r="BL99" s="680"/>
      <c r="BM99" s="680"/>
      <c r="BN99" s="680"/>
    </row>
    <row r="100" spans="1:66" ht="12.75">
      <c r="A100" s="758"/>
      <c r="B100" s="723"/>
      <c r="C100" s="753"/>
      <c r="D100" s="747"/>
      <c r="E100" s="767"/>
      <c r="F100" s="739"/>
      <c r="G100" s="739"/>
      <c r="H100" s="739"/>
      <c r="I100" s="740"/>
      <c r="J100" s="739"/>
      <c r="K100" s="686"/>
      <c r="L100" s="739"/>
      <c r="M100" s="740"/>
      <c r="N100" s="739"/>
      <c r="O100" s="740"/>
      <c r="P100" s="739"/>
      <c r="Q100" s="741"/>
      <c r="R100" s="742">
        <f t="shared" si="41"/>
        <v>0</v>
      </c>
      <c r="S100" s="742"/>
      <c r="T100" s="742"/>
      <c r="U100" s="743"/>
      <c r="V100" s="743"/>
      <c r="W100" s="743"/>
      <c r="X100" s="743"/>
      <c r="Y100" s="743"/>
      <c r="Z100" s="743"/>
      <c r="AA100" s="743"/>
      <c r="AB100" s="743"/>
      <c r="AC100" s="743"/>
      <c r="AD100" s="744"/>
      <c r="AE100" s="744"/>
      <c r="AF100" s="745"/>
      <c r="AG100" s="733">
        <f t="shared" si="42"/>
        <v>0</v>
      </c>
      <c r="AH100" s="208">
        <f t="shared" si="43"/>
        <v>0</v>
      </c>
      <c r="AI100" s="208">
        <f t="shared" si="44"/>
        <v>0</v>
      </c>
      <c r="AJ100" s="208">
        <f t="shared" si="45"/>
        <v>0</v>
      </c>
      <c r="AK100" s="208">
        <f t="shared" si="46"/>
        <v>0</v>
      </c>
      <c r="AL100" s="208">
        <f t="shared" si="47"/>
        <v>0</v>
      </c>
      <c r="AM100" s="680"/>
      <c r="AN100" s="746">
        <f t="shared" si="31"/>
        <v>0</v>
      </c>
      <c r="AO100" s="746">
        <f t="shared" si="31"/>
        <v>0</v>
      </c>
      <c r="AP100" s="746">
        <f t="shared" si="31"/>
        <v>0</v>
      </c>
      <c r="AQ100" s="746">
        <f t="shared" si="31"/>
        <v>0</v>
      </c>
      <c r="AR100" s="746">
        <f t="shared" si="31"/>
        <v>0</v>
      </c>
      <c r="AS100" s="746">
        <f t="shared" si="31"/>
        <v>0</v>
      </c>
      <c r="AT100" s="746">
        <f t="shared" si="48"/>
        <v>0</v>
      </c>
      <c r="AU100" s="746">
        <f t="shared" si="48"/>
        <v>0</v>
      </c>
      <c r="AV100" s="746">
        <f t="shared" si="48"/>
        <v>0</v>
      </c>
      <c r="AW100" s="746">
        <f t="shared" si="48"/>
        <v>0</v>
      </c>
      <c r="AX100" s="746">
        <f t="shared" si="48"/>
        <v>0</v>
      </c>
      <c r="AY100" s="746">
        <f t="shared" si="48"/>
        <v>0</v>
      </c>
      <c r="AZ100" s="733">
        <f t="shared" si="49"/>
        <v>0</v>
      </c>
      <c r="BA100" s="636">
        <f t="shared" si="50"/>
        <v>0</v>
      </c>
      <c r="BB100" s="636">
        <f t="shared" si="51"/>
        <v>0</v>
      </c>
      <c r="BC100" s="636">
        <f t="shared" si="52"/>
        <v>0</v>
      </c>
      <c r="BD100" s="636">
        <f t="shared" si="53"/>
        <v>0</v>
      </c>
      <c r="BE100" s="735">
        <f t="shared" si="54"/>
        <v>0</v>
      </c>
      <c r="BF100" s="680"/>
      <c r="BG100" s="680"/>
      <c r="BH100" s="680"/>
      <c r="BI100" s="680"/>
      <c r="BJ100" s="680"/>
      <c r="BK100" s="680"/>
      <c r="BL100" s="680"/>
      <c r="BM100" s="680"/>
      <c r="BN100" s="680"/>
    </row>
    <row r="101" spans="1:66" ht="12.75">
      <c r="A101" s="758"/>
      <c r="B101" s="723"/>
      <c r="C101" s="753"/>
      <c r="D101" s="747"/>
      <c r="E101" s="767"/>
      <c r="F101" s="739"/>
      <c r="G101" s="739"/>
      <c r="H101" s="739"/>
      <c r="I101" s="740"/>
      <c r="J101" s="739"/>
      <c r="K101" s="686"/>
      <c r="L101" s="739"/>
      <c r="M101" s="740"/>
      <c r="N101" s="739"/>
      <c r="O101" s="740"/>
      <c r="P101" s="739"/>
      <c r="Q101" s="741"/>
      <c r="R101" s="742">
        <f t="shared" si="41"/>
        <v>0</v>
      </c>
      <c r="S101" s="742"/>
      <c r="T101" s="742"/>
      <c r="U101" s="743"/>
      <c r="V101" s="743"/>
      <c r="W101" s="743"/>
      <c r="X101" s="743"/>
      <c r="Y101" s="743"/>
      <c r="Z101" s="743"/>
      <c r="AA101" s="743"/>
      <c r="AB101" s="743"/>
      <c r="AC101" s="743"/>
      <c r="AD101" s="744"/>
      <c r="AE101" s="744"/>
      <c r="AF101" s="745"/>
      <c r="AG101" s="733">
        <f t="shared" si="42"/>
        <v>0</v>
      </c>
      <c r="AH101" s="208">
        <f t="shared" si="43"/>
        <v>0</v>
      </c>
      <c r="AI101" s="208">
        <f t="shared" si="44"/>
        <v>0</v>
      </c>
      <c r="AJ101" s="208">
        <f t="shared" si="45"/>
        <v>0</v>
      </c>
      <c r="AK101" s="208">
        <f t="shared" si="46"/>
        <v>0</v>
      </c>
      <c r="AL101" s="208">
        <f t="shared" si="47"/>
        <v>0</v>
      </c>
      <c r="AM101" s="680"/>
      <c r="AN101" s="746">
        <f t="shared" si="31"/>
        <v>0</v>
      </c>
      <c r="AO101" s="746">
        <f t="shared" si="31"/>
        <v>0</v>
      </c>
      <c r="AP101" s="746">
        <f t="shared" si="31"/>
        <v>0</v>
      </c>
      <c r="AQ101" s="746">
        <f t="shared" ref="AQ101:AS102" si="55">X101*$P101/10^7</f>
        <v>0</v>
      </c>
      <c r="AR101" s="746">
        <f t="shared" si="55"/>
        <v>0</v>
      </c>
      <c r="AS101" s="746">
        <f t="shared" si="55"/>
        <v>0</v>
      </c>
      <c r="AT101" s="746">
        <f t="shared" si="48"/>
        <v>0</v>
      </c>
      <c r="AU101" s="746">
        <f t="shared" si="48"/>
        <v>0</v>
      </c>
      <c r="AV101" s="746">
        <f t="shared" si="48"/>
        <v>0</v>
      </c>
      <c r="AW101" s="746">
        <f t="shared" si="48"/>
        <v>0</v>
      </c>
      <c r="AX101" s="746">
        <f t="shared" si="48"/>
        <v>0</v>
      </c>
      <c r="AY101" s="746">
        <f t="shared" si="48"/>
        <v>0</v>
      </c>
      <c r="AZ101" s="733">
        <f t="shared" si="49"/>
        <v>0</v>
      </c>
      <c r="BA101" s="636">
        <f t="shared" si="50"/>
        <v>0</v>
      </c>
      <c r="BB101" s="636">
        <f t="shared" si="51"/>
        <v>0</v>
      </c>
      <c r="BC101" s="636">
        <f t="shared" si="52"/>
        <v>0</v>
      </c>
      <c r="BD101" s="636">
        <f t="shared" si="53"/>
        <v>0</v>
      </c>
      <c r="BE101" s="735">
        <f t="shared" si="54"/>
        <v>0</v>
      </c>
      <c r="BF101" s="680"/>
      <c r="BG101" s="680"/>
      <c r="BH101" s="680"/>
      <c r="BI101" s="680"/>
      <c r="BJ101" s="680"/>
      <c r="BK101" s="680"/>
      <c r="BL101" s="680"/>
      <c r="BM101" s="680"/>
      <c r="BN101" s="680"/>
    </row>
    <row r="102" spans="1:66" ht="12.75">
      <c r="A102" s="758"/>
      <c r="B102" s="723"/>
      <c r="C102" s="753"/>
      <c r="D102" s="747"/>
      <c r="E102" s="767"/>
      <c r="F102" s="739"/>
      <c r="G102" s="739"/>
      <c r="H102" s="739"/>
      <c r="I102" s="740"/>
      <c r="J102" s="739"/>
      <c r="K102" s="686"/>
      <c r="L102" s="739"/>
      <c r="M102" s="740"/>
      <c r="N102" s="739"/>
      <c r="O102" s="740"/>
      <c r="P102" s="739"/>
      <c r="Q102" s="741"/>
      <c r="R102" s="742">
        <f t="shared" si="41"/>
        <v>0</v>
      </c>
      <c r="S102" s="742"/>
      <c r="T102" s="742"/>
      <c r="U102" s="743"/>
      <c r="V102" s="743"/>
      <c r="W102" s="743"/>
      <c r="X102" s="743"/>
      <c r="Y102" s="743"/>
      <c r="Z102" s="743"/>
      <c r="AA102" s="743"/>
      <c r="AB102" s="743"/>
      <c r="AC102" s="743"/>
      <c r="AD102" s="744"/>
      <c r="AE102" s="744"/>
      <c r="AF102" s="745"/>
      <c r="AG102" s="733">
        <f t="shared" si="42"/>
        <v>0</v>
      </c>
      <c r="AH102" s="208">
        <f t="shared" si="43"/>
        <v>0</v>
      </c>
      <c r="AI102" s="208">
        <f t="shared" si="44"/>
        <v>0</v>
      </c>
      <c r="AJ102" s="208">
        <f t="shared" si="45"/>
        <v>0</v>
      </c>
      <c r="AK102" s="208">
        <f t="shared" si="46"/>
        <v>0</v>
      </c>
      <c r="AL102" s="208">
        <f t="shared" si="47"/>
        <v>0</v>
      </c>
      <c r="AM102" s="680"/>
      <c r="AN102" s="746">
        <f t="shared" ref="AN102:AY124" si="56">U102*$P102/10^7</f>
        <v>0</v>
      </c>
      <c r="AO102" s="746">
        <f t="shared" si="56"/>
        <v>0</v>
      </c>
      <c r="AP102" s="746">
        <f t="shared" si="56"/>
        <v>0</v>
      </c>
      <c r="AQ102" s="746">
        <f t="shared" si="55"/>
        <v>0</v>
      </c>
      <c r="AR102" s="746">
        <f t="shared" si="55"/>
        <v>0</v>
      </c>
      <c r="AS102" s="746">
        <f t="shared" si="55"/>
        <v>0</v>
      </c>
      <c r="AT102" s="746">
        <f t="shared" si="48"/>
        <v>0</v>
      </c>
      <c r="AU102" s="746">
        <f t="shared" si="48"/>
        <v>0</v>
      </c>
      <c r="AV102" s="746">
        <f t="shared" si="48"/>
        <v>0</v>
      </c>
      <c r="AW102" s="746">
        <f t="shared" si="48"/>
        <v>0</v>
      </c>
      <c r="AX102" s="746">
        <f t="shared" si="48"/>
        <v>0</v>
      </c>
      <c r="AY102" s="746">
        <f t="shared" si="48"/>
        <v>0</v>
      </c>
      <c r="AZ102" s="733">
        <f t="shared" si="49"/>
        <v>0</v>
      </c>
      <c r="BA102" s="636">
        <f t="shared" si="50"/>
        <v>0</v>
      </c>
      <c r="BB102" s="636">
        <f t="shared" si="51"/>
        <v>0</v>
      </c>
      <c r="BC102" s="636">
        <f t="shared" si="52"/>
        <v>0</v>
      </c>
      <c r="BD102" s="636">
        <f t="shared" si="53"/>
        <v>0</v>
      </c>
      <c r="BE102" s="735">
        <f t="shared" si="54"/>
        <v>0</v>
      </c>
      <c r="BF102" s="680"/>
      <c r="BG102" s="680"/>
      <c r="BH102" s="680"/>
      <c r="BI102" s="680"/>
      <c r="BJ102" s="680"/>
      <c r="BK102" s="680"/>
      <c r="BL102" s="680"/>
      <c r="BM102" s="680"/>
      <c r="BN102" s="680"/>
    </row>
    <row r="103" spans="1:66" ht="12.95" customHeight="1">
      <c r="A103" s="770"/>
      <c r="B103" s="771"/>
      <c r="C103" s="1098" t="s">
        <v>464</v>
      </c>
      <c r="D103" s="1099"/>
      <c r="E103" s="1100"/>
      <c r="F103" s="772">
        <f>SUM(F7:F102)</f>
        <v>22494.67706200001</v>
      </c>
      <c r="G103" s="772">
        <f>SUM(G7:G102)</f>
        <v>18760.243999999999</v>
      </c>
      <c r="H103" s="772">
        <f>SUM(H7:H102)</f>
        <v>16729.8</v>
      </c>
      <c r="I103" s="773">
        <f t="shared" ref="I103:I114" si="57">IF(ISERROR((H103-G103)/G103),0,((H103-G103)/G103))</f>
        <v>-0.10823121490317501</v>
      </c>
      <c r="J103" s="772">
        <f>SUM(J7:J102)</f>
        <v>11362.348</v>
      </c>
      <c r="K103" s="772">
        <f>SUM(K7:K102)</f>
        <v>3648.9008305555558</v>
      </c>
      <c r="L103" s="772">
        <f>SUM(L7:L102)</f>
        <v>15007.248830555556</v>
      </c>
      <c r="M103" s="773">
        <f t="shared" ref="M103:M114" si="58">IF(ISERROR((L103-H103)/H103),0,((L103-H103)/H103))</f>
        <v>-0.10296304614785851</v>
      </c>
      <c r="N103" s="772">
        <f>SUM(N7:N102)</f>
        <v>17832.900000000001</v>
      </c>
      <c r="O103" s="773">
        <f t="shared" ref="O103:O114" si="59">IF(ISERROR((N103-L103)/L103),0,((N103-L103)/L103))</f>
        <v>0.18828575452758997</v>
      </c>
      <c r="P103" s="772"/>
      <c r="Q103" s="741"/>
      <c r="R103" s="774">
        <f>SUM(R7:R102)</f>
        <v>219.57707285485441</v>
      </c>
      <c r="S103" s="742"/>
      <c r="T103" s="742"/>
      <c r="U103" s="772">
        <f t="shared" ref="U103:AF103" si="60">SUM(U7:U102)</f>
        <v>1205.3</v>
      </c>
      <c r="V103" s="772">
        <f t="shared" si="60"/>
        <v>1311.8</v>
      </c>
      <c r="W103" s="772">
        <f t="shared" si="60"/>
        <v>1593.5</v>
      </c>
      <c r="X103" s="772">
        <f t="shared" si="60"/>
        <v>1399.3</v>
      </c>
      <c r="Y103" s="772">
        <f t="shared" si="60"/>
        <v>1435.3</v>
      </c>
      <c r="Z103" s="772">
        <f t="shared" si="60"/>
        <v>1914.5</v>
      </c>
      <c r="AA103" s="772">
        <f t="shared" si="60"/>
        <v>1381</v>
      </c>
      <c r="AB103" s="772">
        <f t="shared" si="60"/>
        <v>1400.1</v>
      </c>
      <c r="AC103" s="772">
        <f t="shared" si="60"/>
        <v>1475.5</v>
      </c>
      <c r="AD103" s="772">
        <f t="shared" si="60"/>
        <v>1550.5</v>
      </c>
      <c r="AE103" s="772">
        <f t="shared" si="60"/>
        <v>1547.3</v>
      </c>
      <c r="AF103" s="775">
        <f t="shared" si="60"/>
        <v>1618.8</v>
      </c>
      <c r="AG103" s="733">
        <f t="shared" si="42"/>
        <v>0</v>
      </c>
      <c r="AH103" s="208">
        <f t="shared" si="43"/>
        <v>4110.6000000000004</v>
      </c>
      <c r="AI103" s="208">
        <f t="shared" si="44"/>
        <v>4749.1000000000004</v>
      </c>
      <c r="AJ103" s="208">
        <f t="shared" si="45"/>
        <v>4256.6000000000004</v>
      </c>
      <c r="AK103" s="208">
        <f t="shared" si="46"/>
        <v>4716.6000000000004</v>
      </c>
      <c r="AL103" s="208">
        <f t="shared" si="47"/>
        <v>17832.900000000001</v>
      </c>
      <c r="AM103" s="680"/>
      <c r="AN103" s="774">
        <f>SUM(AN7:AN102)</f>
        <v>15.477363488102219</v>
      </c>
      <c r="AO103" s="774">
        <f t="shared" ref="AO103:AY103" si="61">SUM(AO7:AO102)</f>
        <v>17.655123960155723</v>
      </c>
      <c r="AP103" s="774">
        <f t="shared" si="61"/>
        <v>19.745161760531911</v>
      </c>
      <c r="AQ103" s="774">
        <f t="shared" si="61"/>
        <v>17.418011552728146</v>
      </c>
      <c r="AR103" s="774">
        <f t="shared" si="61"/>
        <v>17.664949021457168</v>
      </c>
      <c r="AS103" s="774">
        <f t="shared" si="61"/>
        <v>23.182972350295401</v>
      </c>
      <c r="AT103" s="774">
        <f t="shared" si="61"/>
        <v>17.388748265120565</v>
      </c>
      <c r="AU103" s="774">
        <f t="shared" si="61"/>
        <v>17.088615381975302</v>
      </c>
      <c r="AV103" s="774">
        <f t="shared" si="61"/>
        <v>18.161280840052402</v>
      </c>
      <c r="AW103" s="774">
        <f t="shared" si="61"/>
        <v>18.936522157986595</v>
      </c>
      <c r="AX103" s="774">
        <f t="shared" si="61"/>
        <v>18.238748469818031</v>
      </c>
      <c r="AY103" s="774">
        <f t="shared" si="61"/>
        <v>18.619575606630949</v>
      </c>
      <c r="AZ103" s="733">
        <f t="shared" si="49"/>
        <v>0</v>
      </c>
      <c r="BA103" s="636">
        <f t="shared" si="50"/>
        <v>52.877649208789848</v>
      </c>
      <c r="BB103" s="636">
        <f t="shared" si="51"/>
        <v>58.265932924480715</v>
      </c>
      <c r="BC103" s="636">
        <f t="shared" si="52"/>
        <v>52.638644487148269</v>
      </c>
      <c r="BD103" s="636">
        <f t="shared" si="53"/>
        <v>55.794846234435568</v>
      </c>
      <c r="BE103" s="735">
        <f t="shared" si="54"/>
        <v>219.57707285485441</v>
      </c>
      <c r="BF103" s="680"/>
      <c r="BG103" s="680"/>
      <c r="BH103" s="680"/>
      <c r="BI103" s="680"/>
      <c r="BJ103" s="680"/>
      <c r="BK103" s="680"/>
      <c r="BL103" s="680"/>
      <c r="BM103" s="680"/>
      <c r="BN103" s="680"/>
    </row>
    <row r="104" spans="1:66" ht="18" customHeight="1">
      <c r="A104" s="776" t="s">
        <v>183</v>
      </c>
      <c r="B104" s="777" t="s">
        <v>159</v>
      </c>
      <c r="C104" s="736" t="s">
        <v>49</v>
      </c>
      <c r="D104" s="748" t="s">
        <v>184</v>
      </c>
      <c r="E104" s="738" t="s">
        <v>142</v>
      </c>
      <c r="F104" s="739">
        <v>44.978399999999993</v>
      </c>
      <c r="G104" s="739">
        <v>154.59299999999996</v>
      </c>
      <c r="H104" s="739">
        <v>79.700000000000017</v>
      </c>
      <c r="I104" s="740">
        <f t="shared" si="57"/>
        <v>-0.48445272425012753</v>
      </c>
      <c r="J104" s="739">
        <v>53.286999999999999</v>
      </c>
      <c r="K104" s="686">
        <v>47</v>
      </c>
      <c r="L104" s="739">
        <f t="shared" ref="L104:L114" si="62">J104+K104</f>
        <v>100.28700000000001</v>
      </c>
      <c r="M104" s="740">
        <f t="shared" si="58"/>
        <v>0.25830614805520685</v>
      </c>
      <c r="N104" s="739">
        <v>0</v>
      </c>
      <c r="O104" s="740">
        <f t="shared" si="59"/>
        <v>-1</v>
      </c>
      <c r="P104" s="739">
        <v>36400</v>
      </c>
      <c r="Q104" s="741"/>
      <c r="R104" s="742">
        <f t="shared" si="41"/>
        <v>0</v>
      </c>
      <c r="S104" s="742"/>
      <c r="T104" s="742"/>
      <c r="U104" s="743"/>
      <c r="V104" s="743"/>
      <c r="W104" s="743"/>
      <c r="X104" s="743"/>
      <c r="Y104" s="743"/>
      <c r="Z104" s="743"/>
      <c r="AA104" s="743"/>
      <c r="AB104" s="743"/>
      <c r="AC104" s="743"/>
      <c r="AD104" s="744"/>
      <c r="AE104" s="744"/>
      <c r="AF104" s="745"/>
      <c r="AG104" s="733">
        <f t="shared" si="42"/>
        <v>0</v>
      </c>
      <c r="AH104" s="208">
        <f t="shared" si="43"/>
        <v>0</v>
      </c>
      <c r="AI104" s="208">
        <f t="shared" si="44"/>
        <v>0</v>
      </c>
      <c r="AJ104" s="208">
        <f t="shared" si="45"/>
        <v>0</v>
      </c>
      <c r="AK104" s="208">
        <f t="shared" si="46"/>
        <v>0</v>
      </c>
      <c r="AL104" s="208">
        <f t="shared" si="47"/>
        <v>0</v>
      </c>
      <c r="AM104" s="680"/>
      <c r="AN104" s="746">
        <f t="shared" si="56"/>
        <v>0</v>
      </c>
      <c r="AO104" s="746">
        <f t="shared" si="56"/>
        <v>0</v>
      </c>
      <c r="AP104" s="746">
        <f t="shared" si="56"/>
        <v>0</v>
      </c>
      <c r="AQ104" s="746">
        <f t="shared" si="56"/>
        <v>0</v>
      </c>
      <c r="AR104" s="746">
        <f t="shared" si="56"/>
        <v>0</v>
      </c>
      <c r="AS104" s="746">
        <f t="shared" si="56"/>
        <v>0</v>
      </c>
      <c r="AT104" s="746">
        <f t="shared" si="56"/>
        <v>0</v>
      </c>
      <c r="AU104" s="746">
        <f t="shared" si="56"/>
        <v>0</v>
      </c>
      <c r="AV104" s="746">
        <f t="shared" si="56"/>
        <v>0</v>
      </c>
      <c r="AW104" s="746">
        <f t="shared" si="56"/>
        <v>0</v>
      </c>
      <c r="AX104" s="746">
        <f t="shared" si="56"/>
        <v>0</v>
      </c>
      <c r="AY104" s="746">
        <f t="shared" si="56"/>
        <v>0</v>
      </c>
      <c r="AZ104" s="733">
        <f t="shared" si="49"/>
        <v>0</v>
      </c>
      <c r="BA104" s="636">
        <f t="shared" si="50"/>
        <v>0</v>
      </c>
      <c r="BB104" s="636">
        <f t="shared" si="51"/>
        <v>0</v>
      </c>
      <c r="BC104" s="636">
        <f t="shared" si="52"/>
        <v>0</v>
      </c>
      <c r="BD104" s="636">
        <f t="shared" si="53"/>
        <v>0</v>
      </c>
      <c r="BE104" s="735">
        <f t="shared" si="54"/>
        <v>0</v>
      </c>
      <c r="BF104" s="680"/>
      <c r="BG104" s="680"/>
      <c r="BH104" s="680"/>
      <c r="BI104" s="680"/>
      <c r="BJ104" s="680"/>
      <c r="BK104" s="680"/>
      <c r="BL104" s="680"/>
      <c r="BM104" s="680"/>
      <c r="BN104" s="680"/>
    </row>
    <row r="105" spans="1:66" ht="18" customHeight="1">
      <c r="A105" s="776" t="s">
        <v>185</v>
      </c>
      <c r="B105" s="777" t="s">
        <v>159</v>
      </c>
      <c r="C105" s="736" t="s">
        <v>49</v>
      </c>
      <c r="D105" s="737" t="s">
        <v>184</v>
      </c>
      <c r="E105" s="738" t="s">
        <v>146</v>
      </c>
      <c r="F105" s="739">
        <v>223.29860000000002</v>
      </c>
      <c r="G105" s="739">
        <v>444.57399999999996</v>
      </c>
      <c r="H105" s="739">
        <v>389.11399999999992</v>
      </c>
      <c r="I105" s="740">
        <f t="shared" si="57"/>
        <v>-0.12474863577267237</v>
      </c>
      <c r="J105" s="739">
        <v>108.07200000000002</v>
      </c>
      <c r="K105" s="686">
        <v>70</v>
      </c>
      <c r="L105" s="739">
        <f t="shared" si="62"/>
        <v>178.072</v>
      </c>
      <c r="M105" s="740">
        <f t="shared" si="58"/>
        <v>-0.54236547644135125</v>
      </c>
      <c r="N105" s="739">
        <v>0</v>
      </c>
      <c r="O105" s="740">
        <f t="shared" si="59"/>
        <v>-1</v>
      </c>
      <c r="P105" s="739">
        <v>26400</v>
      </c>
      <c r="Q105" s="741"/>
      <c r="R105" s="742">
        <f t="shared" si="41"/>
        <v>0</v>
      </c>
      <c r="S105" s="742"/>
      <c r="T105" s="742"/>
      <c r="U105" s="743"/>
      <c r="V105" s="743"/>
      <c r="W105" s="743"/>
      <c r="X105" s="743"/>
      <c r="Y105" s="743"/>
      <c r="Z105" s="743"/>
      <c r="AA105" s="743"/>
      <c r="AB105" s="743"/>
      <c r="AC105" s="743"/>
      <c r="AD105" s="744"/>
      <c r="AE105" s="744"/>
      <c r="AF105" s="745"/>
      <c r="AG105" s="733">
        <f t="shared" si="42"/>
        <v>0</v>
      </c>
      <c r="AH105" s="208">
        <f t="shared" si="43"/>
        <v>0</v>
      </c>
      <c r="AI105" s="208">
        <f t="shared" si="44"/>
        <v>0</v>
      </c>
      <c r="AJ105" s="208">
        <f t="shared" si="45"/>
        <v>0</v>
      </c>
      <c r="AK105" s="208">
        <f t="shared" si="46"/>
        <v>0</v>
      </c>
      <c r="AL105" s="208">
        <f t="shared" si="47"/>
        <v>0</v>
      </c>
      <c r="AM105" s="680"/>
      <c r="AN105" s="746">
        <f t="shared" si="56"/>
        <v>0</v>
      </c>
      <c r="AO105" s="746">
        <f t="shared" si="56"/>
        <v>0</v>
      </c>
      <c r="AP105" s="746">
        <f t="shared" si="56"/>
        <v>0</v>
      </c>
      <c r="AQ105" s="746">
        <f t="shared" si="56"/>
        <v>0</v>
      </c>
      <c r="AR105" s="746">
        <f t="shared" si="56"/>
        <v>0</v>
      </c>
      <c r="AS105" s="746">
        <f t="shared" si="56"/>
        <v>0</v>
      </c>
      <c r="AT105" s="746">
        <f t="shared" si="56"/>
        <v>0</v>
      </c>
      <c r="AU105" s="746">
        <f t="shared" si="56"/>
        <v>0</v>
      </c>
      <c r="AV105" s="746">
        <f t="shared" si="56"/>
        <v>0</v>
      </c>
      <c r="AW105" s="746">
        <f t="shared" si="56"/>
        <v>0</v>
      </c>
      <c r="AX105" s="746">
        <f t="shared" si="56"/>
        <v>0</v>
      </c>
      <c r="AY105" s="746">
        <f t="shared" si="56"/>
        <v>0</v>
      </c>
      <c r="AZ105" s="733">
        <f t="shared" si="49"/>
        <v>0</v>
      </c>
      <c r="BA105" s="636">
        <f t="shared" si="50"/>
        <v>0</v>
      </c>
      <c r="BB105" s="636">
        <f t="shared" si="51"/>
        <v>0</v>
      </c>
      <c r="BC105" s="636">
        <f t="shared" si="52"/>
        <v>0</v>
      </c>
      <c r="BD105" s="636">
        <f t="shared" si="53"/>
        <v>0</v>
      </c>
      <c r="BE105" s="735">
        <f t="shared" si="54"/>
        <v>0</v>
      </c>
      <c r="BF105" s="680"/>
      <c r="BG105" s="680"/>
      <c r="BH105" s="680"/>
      <c r="BI105" s="680"/>
      <c r="BJ105" s="680"/>
      <c r="BK105" s="680"/>
      <c r="BL105" s="680"/>
      <c r="BM105" s="680"/>
      <c r="BN105" s="680"/>
    </row>
    <row r="106" spans="1:66" ht="18" customHeight="1">
      <c r="A106" s="776" t="s">
        <v>186</v>
      </c>
      <c r="B106" s="777" t="s">
        <v>159</v>
      </c>
      <c r="C106" s="736" t="s">
        <v>49</v>
      </c>
      <c r="D106" s="747" t="s">
        <v>184</v>
      </c>
      <c r="E106" s="738" t="s">
        <v>187</v>
      </c>
      <c r="F106" s="739">
        <v>19.625999999999998</v>
      </c>
      <c r="G106" s="739">
        <v>68.750999999999991</v>
      </c>
      <c r="H106" s="739">
        <v>20.893999999999998</v>
      </c>
      <c r="I106" s="740">
        <f t="shared" si="57"/>
        <v>-0.69609169321173503</v>
      </c>
      <c r="J106" s="739">
        <v>8.4450000000000003</v>
      </c>
      <c r="K106" s="686"/>
      <c r="L106" s="739">
        <f t="shared" si="62"/>
        <v>8.4450000000000003</v>
      </c>
      <c r="M106" s="740">
        <f t="shared" si="58"/>
        <v>-0.59581698095146929</v>
      </c>
      <c r="N106" s="739">
        <v>0</v>
      </c>
      <c r="O106" s="740">
        <f t="shared" si="59"/>
        <v>-1</v>
      </c>
      <c r="P106" s="739">
        <v>20933</v>
      </c>
      <c r="Q106" s="741"/>
      <c r="R106" s="742">
        <f t="shared" si="41"/>
        <v>0</v>
      </c>
      <c r="S106" s="742"/>
      <c r="T106" s="742"/>
      <c r="U106" s="743"/>
      <c r="V106" s="743"/>
      <c r="W106" s="743"/>
      <c r="X106" s="743"/>
      <c r="Y106" s="743"/>
      <c r="Z106" s="743"/>
      <c r="AA106" s="743"/>
      <c r="AB106" s="743"/>
      <c r="AC106" s="743"/>
      <c r="AD106" s="744"/>
      <c r="AE106" s="744"/>
      <c r="AF106" s="745"/>
      <c r="AG106" s="733">
        <f t="shared" si="42"/>
        <v>0</v>
      </c>
      <c r="AH106" s="208">
        <f t="shared" si="43"/>
        <v>0</v>
      </c>
      <c r="AI106" s="208">
        <f t="shared" si="44"/>
        <v>0</v>
      </c>
      <c r="AJ106" s="208">
        <f t="shared" si="45"/>
        <v>0</v>
      </c>
      <c r="AK106" s="208">
        <f t="shared" si="46"/>
        <v>0</v>
      </c>
      <c r="AL106" s="208">
        <f t="shared" si="47"/>
        <v>0</v>
      </c>
      <c r="AM106" s="680"/>
      <c r="AN106" s="746">
        <f t="shared" si="56"/>
        <v>0</v>
      </c>
      <c r="AO106" s="746">
        <f t="shared" si="56"/>
        <v>0</v>
      </c>
      <c r="AP106" s="746">
        <f t="shared" si="56"/>
        <v>0</v>
      </c>
      <c r="AQ106" s="746">
        <f t="shared" si="56"/>
        <v>0</v>
      </c>
      <c r="AR106" s="746">
        <f t="shared" si="56"/>
        <v>0</v>
      </c>
      <c r="AS106" s="746">
        <f t="shared" si="56"/>
        <v>0</v>
      </c>
      <c r="AT106" s="746">
        <f t="shared" si="56"/>
        <v>0</v>
      </c>
      <c r="AU106" s="746">
        <f t="shared" si="56"/>
        <v>0</v>
      </c>
      <c r="AV106" s="746">
        <f t="shared" si="56"/>
        <v>0</v>
      </c>
      <c r="AW106" s="746">
        <f t="shared" si="56"/>
        <v>0</v>
      </c>
      <c r="AX106" s="746">
        <f t="shared" si="56"/>
        <v>0</v>
      </c>
      <c r="AY106" s="746">
        <f t="shared" si="56"/>
        <v>0</v>
      </c>
      <c r="AZ106" s="733">
        <f t="shared" si="49"/>
        <v>0</v>
      </c>
      <c r="BA106" s="636">
        <f t="shared" si="50"/>
        <v>0</v>
      </c>
      <c r="BB106" s="636">
        <f t="shared" si="51"/>
        <v>0</v>
      </c>
      <c r="BC106" s="636">
        <f t="shared" si="52"/>
        <v>0</v>
      </c>
      <c r="BD106" s="636">
        <f t="shared" si="53"/>
        <v>0</v>
      </c>
      <c r="BE106" s="735">
        <f t="shared" si="54"/>
        <v>0</v>
      </c>
      <c r="BF106" s="680"/>
      <c r="BG106" s="680"/>
      <c r="BH106" s="680"/>
      <c r="BI106" s="680"/>
      <c r="BJ106" s="680"/>
      <c r="BK106" s="680"/>
      <c r="BL106" s="680"/>
      <c r="BM106" s="680"/>
      <c r="BN106" s="680"/>
    </row>
    <row r="107" spans="1:66" ht="18" customHeight="1">
      <c r="A107" s="776" t="s">
        <v>158</v>
      </c>
      <c r="B107" s="777" t="s">
        <v>159</v>
      </c>
      <c r="C107" s="736" t="s">
        <v>136</v>
      </c>
      <c r="D107" s="748" t="s">
        <v>465</v>
      </c>
      <c r="E107" s="738" t="s">
        <v>161</v>
      </c>
      <c r="F107" s="739">
        <v>0</v>
      </c>
      <c r="G107" s="739">
        <v>0</v>
      </c>
      <c r="H107" s="739">
        <v>0</v>
      </c>
      <c r="I107" s="740">
        <f t="shared" si="57"/>
        <v>0</v>
      </c>
      <c r="J107" s="739">
        <v>0</v>
      </c>
      <c r="K107" s="686"/>
      <c r="L107" s="739">
        <f t="shared" si="62"/>
        <v>0</v>
      </c>
      <c r="M107" s="740">
        <f t="shared" si="58"/>
        <v>0</v>
      </c>
      <c r="N107" s="739">
        <v>0</v>
      </c>
      <c r="O107" s="740">
        <f t="shared" si="59"/>
        <v>0</v>
      </c>
      <c r="P107" s="739"/>
      <c r="Q107" s="741"/>
      <c r="R107" s="742">
        <f t="shared" si="41"/>
        <v>0</v>
      </c>
      <c r="S107" s="742"/>
      <c r="T107" s="742"/>
      <c r="U107" s="743"/>
      <c r="V107" s="743"/>
      <c r="W107" s="743"/>
      <c r="X107" s="743"/>
      <c r="Y107" s="743"/>
      <c r="Z107" s="743"/>
      <c r="AA107" s="743"/>
      <c r="AB107" s="743"/>
      <c r="AC107" s="743"/>
      <c r="AD107" s="744"/>
      <c r="AE107" s="744"/>
      <c r="AF107" s="745"/>
      <c r="AG107" s="733">
        <f t="shared" si="42"/>
        <v>0</v>
      </c>
      <c r="AH107" s="208">
        <f t="shared" si="43"/>
        <v>0</v>
      </c>
      <c r="AI107" s="208">
        <f t="shared" si="44"/>
        <v>0</v>
      </c>
      <c r="AJ107" s="208">
        <f t="shared" si="45"/>
        <v>0</v>
      </c>
      <c r="AK107" s="208">
        <f t="shared" si="46"/>
        <v>0</v>
      </c>
      <c r="AL107" s="208">
        <f t="shared" si="47"/>
        <v>0</v>
      </c>
      <c r="AM107" s="680"/>
      <c r="AN107" s="746">
        <f t="shared" si="56"/>
        <v>0</v>
      </c>
      <c r="AO107" s="746">
        <f t="shared" si="56"/>
        <v>0</v>
      </c>
      <c r="AP107" s="746">
        <f t="shared" si="56"/>
        <v>0</v>
      </c>
      <c r="AQ107" s="746">
        <f t="shared" si="56"/>
        <v>0</v>
      </c>
      <c r="AR107" s="746">
        <f t="shared" si="56"/>
        <v>0</v>
      </c>
      <c r="AS107" s="746">
        <f t="shared" si="56"/>
        <v>0</v>
      </c>
      <c r="AT107" s="746">
        <f t="shared" si="56"/>
        <v>0</v>
      </c>
      <c r="AU107" s="746">
        <f t="shared" si="56"/>
        <v>0</v>
      </c>
      <c r="AV107" s="746">
        <f t="shared" si="56"/>
        <v>0</v>
      </c>
      <c r="AW107" s="746">
        <f t="shared" si="56"/>
        <v>0</v>
      </c>
      <c r="AX107" s="746">
        <f t="shared" si="56"/>
        <v>0</v>
      </c>
      <c r="AY107" s="746">
        <f t="shared" si="56"/>
        <v>0</v>
      </c>
      <c r="AZ107" s="733">
        <f t="shared" si="49"/>
        <v>0</v>
      </c>
      <c r="BA107" s="636">
        <f t="shared" si="50"/>
        <v>0</v>
      </c>
      <c r="BB107" s="636">
        <f t="shared" si="51"/>
        <v>0</v>
      </c>
      <c r="BC107" s="636">
        <f t="shared" si="52"/>
        <v>0</v>
      </c>
      <c r="BD107" s="636">
        <f t="shared" si="53"/>
        <v>0</v>
      </c>
      <c r="BE107" s="735">
        <f t="shared" si="54"/>
        <v>0</v>
      </c>
      <c r="BF107" s="680"/>
      <c r="BG107" s="680"/>
      <c r="BH107" s="680"/>
      <c r="BI107" s="680"/>
      <c r="BJ107" s="680"/>
      <c r="BK107" s="680"/>
      <c r="BL107" s="680"/>
      <c r="BM107" s="680"/>
      <c r="BN107" s="680"/>
    </row>
    <row r="108" spans="1:66" ht="18" customHeight="1">
      <c r="A108" s="776" t="s">
        <v>162</v>
      </c>
      <c r="B108" s="777" t="s">
        <v>159</v>
      </c>
      <c r="C108" s="736" t="s">
        <v>136</v>
      </c>
      <c r="D108" s="747" t="s">
        <v>465</v>
      </c>
      <c r="E108" s="738" t="s">
        <v>144</v>
      </c>
      <c r="F108" s="739">
        <v>0</v>
      </c>
      <c r="G108" s="739">
        <v>0</v>
      </c>
      <c r="H108" s="739">
        <v>0</v>
      </c>
      <c r="I108" s="740">
        <f t="shared" si="57"/>
        <v>0</v>
      </c>
      <c r="J108" s="739">
        <v>0</v>
      </c>
      <c r="K108" s="686"/>
      <c r="L108" s="739">
        <f t="shared" si="62"/>
        <v>0</v>
      </c>
      <c r="M108" s="740">
        <f t="shared" si="58"/>
        <v>0</v>
      </c>
      <c r="N108" s="739">
        <v>0</v>
      </c>
      <c r="O108" s="740">
        <f t="shared" si="59"/>
        <v>0</v>
      </c>
      <c r="P108" s="739">
        <v>0</v>
      </c>
      <c r="Q108" s="741"/>
      <c r="R108" s="742">
        <f t="shared" si="41"/>
        <v>0</v>
      </c>
      <c r="S108" s="742"/>
      <c r="T108" s="742"/>
      <c r="U108" s="743"/>
      <c r="V108" s="743"/>
      <c r="W108" s="743"/>
      <c r="X108" s="743"/>
      <c r="Y108" s="743"/>
      <c r="Z108" s="743"/>
      <c r="AA108" s="743"/>
      <c r="AB108" s="743"/>
      <c r="AC108" s="743"/>
      <c r="AD108" s="744"/>
      <c r="AE108" s="744"/>
      <c r="AF108" s="745"/>
      <c r="AG108" s="733">
        <f t="shared" si="42"/>
        <v>0</v>
      </c>
      <c r="AH108" s="208">
        <f t="shared" si="43"/>
        <v>0</v>
      </c>
      <c r="AI108" s="208">
        <f t="shared" si="44"/>
        <v>0</v>
      </c>
      <c r="AJ108" s="208">
        <f t="shared" si="45"/>
        <v>0</v>
      </c>
      <c r="AK108" s="208">
        <f t="shared" si="46"/>
        <v>0</v>
      </c>
      <c r="AL108" s="208">
        <f t="shared" si="47"/>
        <v>0</v>
      </c>
      <c r="AM108" s="680"/>
      <c r="AN108" s="746">
        <f t="shared" si="56"/>
        <v>0</v>
      </c>
      <c r="AO108" s="746">
        <f t="shared" si="56"/>
        <v>0</v>
      </c>
      <c r="AP108" s="746">
        <f t="shared" si="56"/>
        <v>0</v>
      </c>
      <c r="AQ108" s="746">
        <f t="shared" si="56"/>
        <v>0</v>
      </c>
      <c r="AR108" s="746">
        <f t="shared" si="56"/>
        <v>0</v>
      </c>
      <c r="AS108" s="746">
        <f t="shared" si="56"/>
        <v>0</v>
      </c>
      <c r="AT108" s="746">
        <f t="shared" si="56"/>
        <v>0</v>
      </c>
      <c r="AU108" s="746">
        <f t="shared" si="56"/>
        <v>0</v>
      </c>
      <c r="AV108" s="746">
        <f t="shared" si="56"/>
        <v>0</v>
      </c>
      <c r="AW108" s="746">
        <f t="shared" si="56"/>
        <v>0</v>
      </c>
      <c r="AX108" s="746">
        <f t="shared" si="56"/>
        <v>0</v>
      </c>
      <c r="AY108" s="746">
        <f t="shared" si="56"/>
        <v>0</v>
      </c>
      <c r="AZ108" s="733">
        <f t="shared" si="49"/>
        <v>0</v>
      </c>
      <c r="BA108" s="636">
        <f t="shared" si="50"/>
        <v>0</v>
      </c>
      <c r="BB108" s="636">
        <f t="shared" si="51"/>
        <v>0</v>
      </c>
      <c r="BC108" s="636">
        <f t="shared" si="52"/>
        <v>0</v>
      </c>
      <c r="BD108" s="636">
        <f t="shared" si="53"/>
        <v>0</v>
      </c>
      <c r="BE108" s="735">
        <f t="shared" si="54"/>
        <v>0</v>
      </c>
      <c r="BF108" s="680"/>
      <c r="BG108" s="680"/>
      <c r="BH108" s="680"/>
      <c r="BI108" s="680"/>
      <c r="BJ108" s="680"/>
      <c r="BK108" s="680"/>
      <c r="BL108" s="680"/>
      <c r="BM108" s="680"/>
      <c r="BN108" s="680"/>
    </row>
    <row r="109" spans="1:66" ht="18" customHeight="1">
      <c r="A109" s="776" t="s">
        <v>163</v>
      </c>
      <c r="B109" s="777" t="s">
        <v>159</v>
      </c>
      <c r="C109" s="736" t="s">
        <v>136</v>
      </c>
      <c r="D109" s="737" t="s">
        <v>164</v>
      </c>
      <c r="E109" s="738" t="s">
        <v>138</v>
      </c>
      <c r="F109" s="739">
        <v>500.78432000000009</v>
      </c>
      <c r="G109" s="739">
        <v>473.98899999999992</v>
      </c>
      <c r="H109" s="739">
        <v>420.089</v>
      </c>
      <c r="I109" s="740">
        <f t="shared" si="57"/>
        <v>-0.11371571914116135</v>
      </c>
      <c r="J109" s="739">
        <v>180.14400000000001</v>
      </c>
      <c r="K109" s="757">
        <f>J109/9*4</f>
        <v>80.064000000000007</v>
      </c>
      <c r="L109" s="739">
        <f t="shared" si="62"/>
        <v>260.20800000000003</v>
      </c>
      <c r="M109" s="740">
        <f t="shared" si="58"/>
        <v>-0.38058839912494724</v>
      </c>
      <c r="N109" s="739">
        <v>57.888000000000005</v>
      </c>
      <c r="O109" s="740">
        <f t="shared" si="59"/>
        <v>-0.77753182069728832</v>
      </c>
      <c r="P109" s="739">
        <v>150145.58046181797</v>
      </c>
      <c r="Q109" s="741"/>
      <c r="R109" s="742">
        <f t="shared" si="41"/>
        <v>0.86916273617737205</v>
      </c>
      <c r="S109" s="742"/>
      <c r="T109" s="742"/>
      <c r="U109" s="743">
        <v>4.32</v>
      </c>
      <c r="V109" s="743">
        <v>5.6159999999999997</v>
      </c>
      <c r="W109" s="743">
        <v>5.6159999999999997</v>
      </c>
      <c r="X109" s="743">
        <v>4.32</v>
      </c>
      <c r="Y109" s="743">
        <v>4.32</v>
      </c>
      <c r="Z109" s="743">
        <v>4.32</v>
      </c>
      <c r="AA109" s="743">
        <v>4.32</v>
      </c>
      <c r="AB109" s="743">
        <v>4.32</v>
      </c>
      <c r="AC109" s="743">
        <v>6.48</v>
      </c>
      <c r="AD109" s="744">
        <v>4.32</v>
      </c>
      <c r="AE109" s="744">
        <v>5.6159999999999997</v>
      </c>
      <c r="AF109" s="745">
        <v>4.32</v>
      </c>
      <c r="AG109" s="733">
        <f t="shared" si="42"/>
        <v>0</v>
      </c>
      <c r="AH109" s="208">
        <f t="shared" si="43"/>
        <v>15.552</v>
      </c>
      <c r="AI109" s="208">
        <f t="shared" si="44"/>
        <v>12.96</v>
      </c>
      <c r="AJ109" s="208">
        <f t="shared" si="45"/>
        <v>15.120000000000001</v>
      </c>
      <c r="AK109" s="208">
        <f t="shared" si="46"/>
        <v>14.256</v>
      </c>
      <c r="AL109" s="208">
        <f t="shared" si="47"/>
        <v>57.888000000000005</v>
      </c>
      <c r="AM109" s="680"/>
      <c r="AN109" s="746">
        <f t="shared" si="56"/>
        <v>6.4862890759505368E-2</v>
      </c>
      <c r="AO109" s="746">
        <f t="shared" si="56"/>
        <v>8.4321757987356971E-2</v>
      </c>
      <c r="AP109" s="746">
        <f t="shared" si="56"/>
        <v>8.4321757987356971E-2</v>
      </c>
      <c r="AQ109" s="746">
        <f t="shared" si="56"/>
        <v>6.4862890759505368E-2</v>
      </c>
      <c r="AR109" s="746">
        <f t="shared" si="56"/>
        <v>6.4862890759505368E-2</v>
      </c>
      <c r="AS109" s="746">
        <f t="shared" si="56"/>
        <v>6.4862890759505368E-2</v>
      </c>
      <c r="AT109" s="746">
        <f t="shared" si="56"/>
        <v>6.4862890759505368E-2</v>
      </c>
      <c r="AU109" s="746">
        <f t="shared" si="56"/>
        <v>6.4862890759505368E-2</v>
      </c>
      <c r="AV109" s="746">
        <f t="shared" si="56"/>
        <v>9.7294336139258059E-2</v>
      </c>
      <c r="AW109" s="746">
        <f t="shared" si="56"/>
        <v>6.4862890759505368E-2</v>
      </c>
      <c r="AX109" s="746">
        <f t="shared" si="56"/>
        <v>8.4321757987356971E-2</v>
      </c>
      <c r="AY109" s="746">
        <f t="shared" si="56"/>
        <v>6.4862890759505368E-2</v>
      </c>
      <c r="AZ109" s="733">
        <f t="shared" si="49"/>
        <v>0</v>
      </c>
      <c r="BA109" s="636">
        <f t="shared" si="50"/>
        <v>0.2335064067342193</v>
      </c>
      <c r="BB109" s="636">
        <f t="shared" si="51"/>
        <v>0.19458867227851612</v>
      </c>
      <c r="BC109" s="636">
        <f t="shared" si="52"/>
        <v>0.22702011765826879</v>
      </c>
      <c r="BD109" s="636">
        <f t="shared" si="53"/>
        <v>0.21404753950636768</v>
      </c>
      <c r="BE109" s="735">
        <f t="shared" si="54"/>
        <v>0.86916273617737194</v>
      </c>
      <c r="BF109" s="680"/>
      <c r="BG109" s="680"/>
      <c r="BH109" s="680"/>
      <c r="BI109" s="680"/>
      <c r="BJ109" s="680"/>
      <c r="BK109" s="680"/>
      <c r="BL109" s="680"/>
      <c r="BM109" s="680"/>
      <c r="BN109" s="680"/>
    </row>
    <row r="110" spans="1:66" ht="18" customHeight="1">
      <c r="A110" s="776" t="s">
        <v>165</v>
      </c>
      <c r="B110" s="777" t="s">
        <v>159</v>
      </c>
      <c r="C110" s="736" t="s">
        <v>136</v>
      </c>
      <c r="D110" s="737" t="s">
        <v>164</v>
      </c>
      <c r="E110" s="738" t="s">
        <v>140</v>
      </c>
      <c r="F110" s="739">
        <v>189.9118</v>
      </c>
      <c r="G110" s="739">
        <v>348.89100000000002</v>
      </c>
      <c r="H110" s="739">
        <v>277.99299999999994</v>
      </c>
      <c r="I110" s="740">
        <f t="shared" si="57"/>
        <v>-0.20320959841325822</v>
      </c>
      <c r="J110" s="739">
        <v>115.06200000000003</v>
      </c>
      <c r="K110" s="757">
        <f>J110/9*4</f>
        <v>51.13866666666668</v>
      </c>
      <c r="L110" s="739">
        <f t="shared" si="62"/>
        <v>166.20066666666671</v>
      </c>
      <c r="M110" s="740">
        <f t="shared" si="58"/>
        <v>-0.40214082129166295</v>
      </c>
      <c r="N110" s="739">
        <v>231</v>
      </c>
      <c r="O110" s="740">
        <f t="shared" si="59"/>
        <v>0.38988612159598202</v>
      </c>
      <c r="P110" s="739">
        <v>128885.32030981799</v>
      </c>
      <c r="Q110" s="741"/>
      <c r="R110" s="742">
        <f t="shared" si="41"/>
        <v>2.9772508991567959</v>
      </c>
      <c r="S110" s="742"/>
      <c r="T110" s="742"/>
      <c r="U110" s="743">
        <v>18</v>
      </c>
      <c r="V110" s="743">
        <v>21</v>
      </c>
      <c r="W110" s="743">
        <v>24</v>
      </c>
      <c r="X110" s="743">
        <v>18</v>
      </c>
      <c r="Y110" s="743">
        <v>18</v>
      </c>
      <c r="Z110" s="743">
        <v>18</v>
      </c>
      <c r="AA110" s="743">
        <v>18</v>
      </c>
      <c r="AB110" s="743">
        <v>18</v>
      </c>
      <c r="AC110" s="743">
        <v>18</v>
      </c>
      <c r="AD110" s="744">
        <v>18</v>
      </c>
      <c r="AE110" s="744">
        <v>18</v>
      </c>
      <c r="AF110" s="745">
        <v>24</v>
      </c>
      <c r="AG110" s="733">
        <f t="shared" si="42"/>
        <v>0</v>
      </c>
      <c r="AH110" s="208">
        <f t="shared" si="43"/>
        <v>63</v>
      </c>
      <c r="AI110" s="208">
        <f t="shared" si="44"/>
        <v>54</v>
      </c>
      <c r="AJ110" s="208">
        <f t="shared" si="45"/>
        <v>54</v>
      </c>
      <c r="AK110" s="208">
        <f t="shared" si="46"/>
        <v>60</v>
      </c>
      <c r="AL110" s="208">
        <f t="shared" si="47"/>
        <v>231</v>
      </c>
      <c r="AM110" s="680"/>
      <c r="AN110" s="746">
        <f t="shared" si="56"/>
        <v>0.23199357655767239</v>
      </c>
      <c r="AO110" s="746">
        <f t="shared" si="56"/>
        <v>0.27065917265061779</v>
      </c>
      <c r="AP110" s="746">
        <f t="shared" si="56"/>
        <v>0.30932476874356318</v>
      </c>
      <c r="AQ110" s="746">
        <f t="shared" si="56"/>
        <v>0.23199357655767239</v>
      </c>
      <c r="AR110" s="746">
        <f t="shared" si="56"/>
        <v>0.23199357655767239</v>
      </c>
      <c r="AS110" s="746">
        <f t="shared" si="56"/>
        <v>0.23199357655767239</v>
      </c>
      <c r="AT110" s="746">
        <f t="shared" si="56"/>
        <v>0.23199357655767239</v>
      </c>
      <c r="AU110" s="746">
        <f t="shared" si="56"/>
        <v>0.23199357655767239</v>
      </c>
      <c r="AV110" s="746">
        <f t="shared" si="56"/>
        <v>0.23199357655767239</v>
      </c>
      <c r="AW110" s="746">
        <f t="shared" si="56"/>
        <v>0.23199357655767239</v>
      </c>
      <c r="AX110" s="746">
        <f t="shared" si="56"/>
        <v>0.23199357655767239</v>
      </c>
      <c r="AY110" s="746">
        <f t="shared" si="56"/>
        <v>0.30932476874356318</v>
      </c>
      <c r="AZ110" s="733">
        <f t="shared" si="49"/>
        <v>0</v>
      </c>
      <c r="BA110" s="636">
        <f t="shared" si="50"/>
        <v>0.81197751795185336</v>
      </c>
      <c r="BB110" s="636">
        <f t="shared" si="51"/>
        <v>0.69598072967301716</v>
      </c>
      <c r="BC110" s="636">
        <f t="shared" si="52"/>
        <v>0.69598072967301716</v>
      </c>
      <c r="BD110" s="636">
        <f t="shared" si="53"/>
        <v>0.77331192185890796</v>
      </c>
      <c r="BE110" s="735">
        <f t="shared" si="54"/>
        <v>2.9772508991567959</v>
      </c>
      <c r="BF110" s="680"/>
      <c r="BG110" s="680"/>
      <c r="BH110" s="680"/>
      <c r="BI110" s="680"/>
      <c r="BJ110" s="680"/>
      <c r="BK110" s="680"/>
      <c r="BL110" s="680"/>
      <c r="BM110" s="680"/>
      <c r="BN110" s="680"/>
    </row>
    <row r="111" spans="1:66" ht="18" customHeight="1">
      <c r="A111" s="776" t="s">
        <v>166</v>
      </c>
      <c r="B111" s="777" t="s">
        <v>159</v>
      </c>
      <c r="C111" s="736" t="s">
        <v>136</v>
      </c>
      <c r="D111" s="737" t="s">
        <v>164</v>
      </c>
      <c r="E111" s="738" t="s">
        <v>144</v>
      </c>
      <c r="F111" s="739">
        <v>35.304000000000002</v>
      </c>
      <c r="G111" s="739">
        <v>626.24399999999957</v>
      </c>
      <c r="H111" s="739">
        <v>628.94399999999996</v>
      </c>
      <c r="I111" s="740">
        <f t="shared" si="57"/>
        <v>4.311418552513698E-3</v>
      </c>
      <c r="J111" s="739">
        <v>34.380000000000003</v>
      </c>
      <c r="K111" s="757">
        <f>J111/9*4</f>
        <v>15.280000000000001</v>
      </c>
      <c r="L111" s="739">
        <f t="shared" si="62"/>
        <v>49.660000000000004</v>
      </c>
      <c r="M111" s="740">
        <f t="shared" si="58"/>
        <v>-0.92104225495433623</v>
      </c>
      <c r="N111" s="739">
        <v>2200</v>
      </c>
      <c r="O111" s="740">
        <f t="shared" si="59"/>
        <v>43.301248489730163</v>
      </c>
      <c r="P111" s="739">
        <v>95870.278331506997</v>
      </c>
      <c r="Q111" s="741"/>
      <c r="R111" s="742">
        <f t="shared" si="41"/>
        <v>21.09146123293154</v>
      </c>
      <c r="S111" s="742"/>
      <c r="T111" s="742"/>
      <c r="U111" s="743">
        <v>0</v>
      </c>
      <c r="V111" s="743">
        <v>200</v>
      </c>
      <c r="W111" s="743">
        <v>200</v>
      </c>
      <c r="X111" s="743">
        <v>200</v>
      </c>
      <c r="Y111" s="743">
        <v>200</v>
      </c>
      <c r="Z111" s="743">
        <v>200</v>
      </c>
      <c r="AA111" s="743">
        <v>200</v>
      </c>
      <c r="AB111" s="743">
        <v>200</v>
      </c>
      <c r="AC111" s="743">
        <v>200</v>
      </c>
      <c r="AD111" s="743">
        <v>200</v>
      </c>
      <c r="AE111" s="743">
        <v>200</v>
      </c>
      <c r="AF111" s="743">
        <v>200</v>
      </c>
      <c r="AG111" s="733">
        <f t="shared" si="42"/>
        <v>0</v>
      </c>
      <c r="AH111" s="208">
        <f t="shared" si="43"/>
        <v>400</v>
      </c>
      <c r="AI111" s="208">
        <f t="shared" si="44"/>
        <v>600</v>
      </c>
      <c r="AJ111" s="208">
        <f t="shared" si="45"/>
        <v>600</v>
      </c>
      <c r="AK111" s="208">
        <f t="shared" si="46"/>
        <v>600</v>
      </c>
      <c r="AL111" s="208">
        <f t="shared" si="47"/>
        <v>2200</v>
      </c>
      <c r="AM111" s="680"/>
      <c r="AN111" s="746">
        <f t="shared" si="56"/>
        <v>0</v>
      </c>
      <c r="AO111" s="746">
        <f t="shared" si="56"/>
        <v>1.9174055666301399</v>
      </c>
      <c r="AP111" s="746">
        <f t="shared" si="56"/>
        <v>1.9174055666301399</v>
      </c>
      <c r="AQ111" s="746">
        <f t="shared" si="56"/>
        <v>1.9174055666301399</v>
      </c>
      <c r="AR111" s="746">
        <f t="shared" si="56"/>
        <v>1.9174055666301399</v>
      </c>
      <c r="AS111" s="746">
        <f t="shared" si="56"/>
        <v>1.9174055666301399</v>
      </c>
      <c r="AT111" s="746">
        <f t="shared" si="56"/>
        <v>1.9174055666301399</v>
      </c>
      <c r="AU111" s="746">
        <f t="shared" si="56"/>
        <v>1.9174055666301399</v>
      </c>
      <c r="AV111" s="746">
        <f t="shared" si="56"/>
        <v>1.9174055666301399</v>
      </c>
      <c r="AW111" s="746">
        <f t="shared" si="56"/>
        <v>1.9174055666301399</v>
      </c>
      <c r="AX111" s="746">
        <f t="shared" si="56"/>
        <v>1.9174055666301399</v>
      </c>
      <c r="AY111" s="746">
        <f t="shared" si="56"/>
        <v>1.9174055666301399</v>
      </c>
      <c r="AZ111" s="733">
        <f t="shared" si="49"/>
        <v>0</v>
      </c>
      <c r="BA111" s="636">
        <f t="shared" si="50"/>
        <v>3.8348111332602799</v>
      </c>
      <c r="BB111" s="636">
        <f t="shared" si="51"/>
        <v>5.7522166998904201</v>
      </c>
      <c r="BC111" s="636">
        <f t="shared" si="52"/>
        <v>5.7522166998904201</v>
      </c>
      <c r="BD111" s="636">
        <f t="shared" si="53"/>
        <v>5.7522166998904201</v>
      </c>
      <c r="BE111" s="735">
        <f t="shared" si="54"/>
        <v>21.09146123293154</v>
      </c>
      <c r="BF111" s="680"/>
      <c r="BG111" s="680"/>
      <c r="BH111" s="680"/>
      <c r="BI111" s="680"/>
      <c r="BJ111" s="680"/>
      <c r="BK111" s="680"/>
      <c r="BL111" s="680"/>
      <c r="BM111" s="680"/>
      <c r="BN111" s="680"/>
    </row>
    <row r="112" spans="1:66" ht="18" customHeight="1">
      <c r="A112" s="776" t="s">
        <v>167</v>
      </c>
      <c r="B112" s="777" t="s">
        <v>159</v>
      </c>
      <c r="C112" s="736" t="s">
        <v>136</v>
      </c>
      <c r="D112" s="737" t="s">
        <v>164</v>
      </c>
      <c r="E112" s="738" t="s">
        <v>168</v>
      </c>
      <c r="F112" s="739">
        <v>2195.2299999999996</v>
      </c>
      <c r="G112" s="739">
        <v>1701.6659999999997</v>
      </c>
      <c r="H112" s="739">
        <v>1931.2599999999995</v>
      </c>
      <c r="I112" s="740">
        <f t="shared" si="57"/>
        <v>0.13492306950952765</v>
      </c>
      <c r="J112" s="739">
        <v>1400.8440000000001</v>
      </c>
      <c r="K112" s="757">
        <f>J112/9*4</f>
        <v>622.59733333333338</v>
      </c>
      <c r="L112" s="739">
        <f t="shared" si="62"/>
        <v>2023.4413333333334</v>
      </c>
      <c r="M112" s="740">
        <f t="shared" si="58"/>
        <v>4.7731187583926513E-2</v>
      </c>
      <c r="N112" s="739">
        <v>1812</v>
      </c>
      <c r="O112" s="740">
        <f t="shared" si="59"/>
        <v>-0.10449590499617488</v>
      </c>
      <c r="P112" s="739">
        <v>70479.724567756988</v>
      </c>
      <c r="Q112" s="741"/>
      <c r="R112" s="742">
        <f t="shared" si="41"/>
        <v>12.770926091677566</v>
      </c>
      <c r="S112" s="742"/>
      <c r="T112" s="742"/>
      <c r="U112" s="743">
        <v>168</v>
      </c>
      <c r="V112" s="743">
        <v>168</v>
      </c>
      <c r="W112" s="743">
        <v>168</v>
      </c>
      <c r="X112" s="743">
        <v>180</v>
      </c>
      <c r="Y112" s="743">
        <v>156</v>
      </c>
      <c r="Z112" s="743">
        <v>156</v>
      </c>
      <c r="AA112" s="743">
        <v>228</v>
      </c>
      <c r="AB112" s="743">
        <v>84</v>
      </c>
      <c r="AC112" s="743">
        <v>84</v>
      </c>
      <c r="AD112" s="744">
        <v>132</v>
      </c>
      <c r="AE112" s="744">
        <v>144</v>
      </c>
      <c r="AF112" s="745">
        <v>144</v>
      </c>
      <c r="AG112" s="733">
        <f t="shared" si="42"/>
        <v>0</v>
      </c>
      <c r="AH112" s="208">
        <f t="shared" si="43"/>
        <v>504</v>
      </c>
      <c r="AI112" s="208">
        <f t="shared" si="44"/>
        <v>492</v>
      </c>
      <c r="AJ112" s="208">
        <f t="shared" si="45"/>
        <v>396</v>
      </c>
      <c r="AK112" s="208">
        <f t="shared" si="46"/>
        <v>420</v>
      </c>
      <c r="AL112" s="208">
        <f t="shared" si="47"/>
        <v>1812</v>
      </c>
      <c r="AM112" s="680"/>
      <c r="AN112" s="746">
        <f t="shared" si="56"/>
        <v>1.1840593727383173</v>
      </c>
      <c r="AO112" s="746">
        <f t="shared" si="56"/>
        <v>1.1840593727383173</v>
      </c>
      <c r="AP112" s="746">
        <f t="shared" si="56"/>
        <v>1.1840593727383173</v>
      </c>
      <c r="AQ112" s="746">
        <f t="shared" si="56"/>
        <v>1.2686350422196258</v>
      </c>
      <c r="AR112" s="746">
        <f t="shared" si="56"/>
        <v>1.0994837032570091</v>
      </c>
      <c r="AS112" s="746">
        <f t="shared" si="56"/>
        <v>1.0994837032570091</v>
      </c>
      <c r="AT112" s="746">
        <f t="shared" si="56"/>
        <v>1.6069377201448594</v>
      </c>
      <c r="AU112" s="746">
        <f t="shared" si="56"/>
        <v>0.59202968636915865</v>
      </c>
      <c r="AV112" s="746">
        <f t="shared" si="56"/>
        <v>0.59202968636915865</v>
      </c>
      <c r="AW112" s="746">
        <f t="shared" si="56"/>
        <v>0.93033236429439226</v>
      </c>
      <c r="AX112" s="746">
        <f t="shared" si="56"/>
        <v>1.0149080337757006</v>
      </c>
      <c r="AY112" s="746">
        <f t="shared" si="56"/>
        <v>1.0149080337757006</v>
      </c>
      <c r="AZ112" s="733">
        <f t="shared" si="49"/>
        <v>0</v>
      </c>
      <c r="BA112" s="636">
        <f t="shared" si="50"/>
        <v>3.5521781182149521</v>
      </c>
      <c r="BB112" s="636">
        <f t="shared" si="51"/>
        <v>3.4676024487336443</v>
      </c>
      <c r="BC112" s="636">
        <f t="shared" si="52"/>
        <v>2.7909970928831767</v>
      </c>
      <c r="BD112" s="636">
        <f t="shared" si="53"/>
        <v>2.9601484318457936</v>
      </c>
      <c r="BE112" s="735">
        <f t="shared" si="54"/>
        <v>12.770926091677566</v>
      </c>
      <c r="BF112" s="680"/>
      <c r="BG112" s="680"/>
      <c r="BH112" s="680"/>
      <c r="BI112" s="680"/>
      <c r="BJ112" s="680"/>
      <c r="BK112" s="680"/>
      <c r="BL112" s="680"/>
      <c r="BM112" s="680"/>
      <c r="BN112" s="680"/>
    </row>
    <row r="113" spans="1:66" ht="18" customHeight="1">
      <c r="A113" s="776" t="s">
        <v>169</v>
      </c>
      <c r="B113" s="777" t="s">
        <v>159</v>
      </c>
      <c r="C113" s="736" t="s">
        <v>136</v>
      </c>
      <c r="D113" s="737" t="s">
        <v>164</v>
      </c>
      <c r="E113" s="738" t="s">
        <v>170</v>
      </c>
      <c r="F113" s="739">
        <v>1063.633</v>
      </c>
      <c r="G113" s="739">
        <v>776.76</v>
      </c>
      <c r="H113" s="739">
        <v>1040.07</v>
      </c>
      <c r="I113" s="740">
        <f t="shared" si="57"/>
        <v>0.33898501467634784</v>
      </c>
      <c r="J113" s="739">
        <v>621.73200000000008</v>
      </c>
      <c r="K113" s="757">
        <f>J113/9*3.3</f>
        <v>227.96840000000003</v>
      </c>
      <c r="L113" s="739">
        <f t="shared" si="62"/>
        <v>849.70040000000017</v>
      </c>
      <c r="M113" s="740">
        <f t="shared" si="58"/>
        <v>-0.18303537261915043</v>
      </c>
      <c r="N113" s="739">
        <v>1008</v>
      </c>
      <c r="O113" s="740">
        <f t="shared" si="59"/>
        <v>0.18630048897234813</v>
      </c>
      <c r="P113" s="739">
        <v>57039.581549006994</v>
      </c>
      <c r="Q113" s="741"/>
      <c r="R113" s="742">
        <f t="shared" si="41"/>
        <v>5.7495898201399047</v>
      </c>
      <c r="S113" s="742"/>
      <c r="T113" s="742"/>
      <c r="U113" s="743">
        <v>86.4</v>
      </c>
      <c r="V113" s="743">
        <v>72</v>
      </c>
      <c r="W113" s="743">
        <v>120</v>
      </c>
      <c r="X113" s="743">
        <v>72</v>
      </c>
      <c r="Y113" s="743">
        <v>72</v>
      </c>
      <c r="Z113" s="743">
        <v>120</v>
      </c>
      <c r="AA113" s="743">
        <v>96</v>
      </c>
      <c r="AB113" s="743">
        <v>72</v>
      </c>
      <c r="AC113" s="743">
        <v>48</v>
      </c>
      <c r="AD113" s="744">
        <v>72</v>
      </c>
      <c r="AE113" s="744">
        <v>81.599999999999994</v>
      </c>
      <c r="AF113" s="745">
        <v>96</v>
      </c>
      <c r="AG113" s="733">
        <f t="shared" si="42"/>
        <v>0</v>
      </c>
      <c r="AH113" s="208">
        <f t="shared" si="43"/>
        <v>278.39999999999998</v>
      </c>
      <c r="AI113" s="208">
        <f t="shared" si="44"/>
        <v>264</v>
      </c>
      <c r="AJ113" s="208">
        <f t="shared" si="45"/>
        <v>216</v>
      </c>
      <c r="AK113" s="208">
        <f t="shared" si="46"/>
        <v>249.6</v>
      </c>
      <c r="AL113" s="208">
        <f t="shared" si="47"/>
        <v>1008</v>
      </c>
      <c r="AM113" s="680"/>
      <c r="AN113" s="746">
        <f t="shared" si="56"/>
        <v>0.49282198458342047</v>
      </c>
      <c r="AO113" s="746">
        <f t="shared" si="56"/>
        <v>0.41068498715285034</v>
      </c>
      <c r="AP113" s="746">
        <f t="shared" si="56"/>
        <v>0.68447497858808393</v>
      </c>
      <c r="AQ113" s="746">
        <f t="shared" si="56"/>
        <v>0.41068498715285034</v>
      </c>
      <c r="AR113" s="746">
        <f t="shared" si="56"/>
        <v>0.41068498715285034</v>
      </c>
      <c r="AS113" s="746">
        <f t="shared" si="56"/>
        <v>0.68447497858808393</v>
      </c>
      <c r="AT113" s="746">
        <f t="shared" si="56"/>
        <v>0.54757998287046716</v>
      </c>
      <c r="AU113" s="746">
        <f t="shared" si="56"/>
        <v>0.41068498715285034</v>
      </c>
      <c r="AV113" s="746">
        <f t="shared" si="56"/>
        <v>0.27378999143523358</v>
      </c>
      <c r="AW113" s="746">
        <f t="shared" si="56"/>
        <v>0.41068498715285034</v>
      </c>
      <c r="AX113" s="746">
        <f t="shared" si="56"/>
        <v>0.46544298543989704</v>
      </c>
      <c r="AY113" s="746">
        <f t="shared" si="56"/>
        <v>0.54757998287046716</v>
      </c>
      <c r="AZ113" s="733">
        <f t="shared" si="49"/>
        <v>0</v>
      </c>
      <c r="BA113" s="636">
        <f t="shared" si="50"/>
        <v>1.5879819503243549</v>
      </c>
      <c r="BB113" s="636">
        <f t="shared" si="51"/>
        <v>1.5058449528937845</v>
      </c>
      <c r="BC113" s="636">
        <f t="shared" si="52"/>
        <v>1.232054961458551</v>
      </c>
      <c r="BD113" s="636">
        <f t="shared" si="53"/>
        <v>1.4237079554632146</v>
      </c>
      <c r="BE113" s="735">
        <f t="shared" si="54"/>
        <v>5.7495898201399047</v>
      </c>
      <c r="BF113" s="680"/>
      <c r="BG113" s="680"/>
      <c r="BH113" s="680"/>
      <c r="BI113" s="680"/>
      <c r="BJ113" s="680"/>
      <c r="BK113" s="680"/>
      <c r="BL113" s="680"/>
      <c r="BM113" s="680"/>
      <c r="BN113" s="680"/>
    </row>
    <row r="114" spans="1:66" ht="18" customHeight="1">
      <c r="A114" s="776" t="s">
        <v>171</v>
      </c>
      <c r="B114" s="777" t="s">
        <v>159</v>
      </c>
      <c r="C114" s="778" t="s">
        <v>136</v>
      </c>
      <c r="D114" s="747" t="s">
        <v>164</v>
      </c>
      <c r="E114" s="738" t="s">
        <v>172</v>
      </c>
      <c r="F114" s="739">
        <v>723.97</v>
      </c>
      <c r="G114" s="739">
        <v>196.71499999999997</v>
      </c>
      <c r="H114" s="739">
        <v>454.14900000000006</v>
      </c>
      <c r="I114" s="740">
        <f t="shared" si="57"/>
        <v>1.3086648196629649</v>
      </c>
      <c r="J114" s="739">
        <v>277.22199999999998</v>
      </c>
      <c r="K114" s="757">
        <f>J114/9*4</f>
        <v>123.20977777777777</v>
      </c>
      <c r="L114" s="739">
        <f t="shared" si="62"/>
        <v>400.43177777777777</v>
      </c>
      <c r="M114" s="740">
        <f t="shared" si="58"/>
        <v>-0.11828105362385975</v>
      </c>
      <c r="N114" s="739">
        <v>420</v>
      </c>
      <c r="O114" s="740">
        <f t="shared" si="59"/>
        <v>4.8867805474424021E-2</v>
      </c>
      <c r="P114" s="739">
        <v>60930.380030499997</v>
      </c>
      <c r="Q114" s="741"/>
      <c r="R114" s="742">
        <f t="shared" si="41"/>
        <v>2.5590759612809997</v>
      </c>
      <c r="S114" s="742"/>
      <c r="T114" s="742"/>
      <c r="U114" s="743">
        <v>42</v>
      </c>
      <c r="V114" s="743">
        <v>42</v>
      </c>
      <c r="W114" s="743">
        <v>42</v>
      </c>
      <c r="X114" s="743">
        <v>42</v>
      </c>
      <c r="Y114" s="743">
        <v>42</v>
      </c>
      <c r="Z114" s="743">
        <v>42</v>
      </c>
      <c r="AA114" s="743">
        <v>21</v>
      </c>
      <c r="AB114" s="743">
        <v>21</v>
      </c>
      <c r="AC114" s="743">
        <v>12.6</v>
      </c>
      <c r="AD114" s="744">
        <v>29.4</v>
      </c>
      <c r="AE114" s="744">
        <v>42</v>
      </c>
      <c r="AF114" s="745">
        <v>42</v>
      </c>
      <c r="AG114" s="733">
        <f t="shared" si="42"/>
        <v>0</v>
      </c>
      <c r="AH114" s="208">
        <f t="shared" si="43"/>
        <v>126</v>
      </c>
      <c r="AI114" s="208">
        <f t="shared" si="44"/>
        <v>126</v>
      </c>
      <c r="AJ114" s="208">
        <f t="shared" si="45"/>
        <v>54.6</v>
      </c>
      <c r="AK114" s="208">
        <f t="shared" si="46"/>
        <v>113.4</v>
      </c>
      <c r="AL114" s="208">
        <f t="shared" si="47"/>
        <v>420</v>
      </c>
      <c r="AM114" s="680"/>
      <c r="AN114" s="746">
        <f t="shared" si="56"/>
        <v>0.25590759612809999</v>
      </c>
      <c r="AO114" s="746">
        <f t="shared" si="56"/>
        <v>0.25590759612809999</v>
      </c>
      <c r="AP114" s="746">
        <f t="shared" si="56"/>
        <v>0.25590759612809999</v>
      </c>
      <c r="AQ114" s="746">
        <f t="shared" si="56"/>
        <v>0.25590759612809999</v>
      </c>
      <c r="AR114" s="746">
        <f t="shared" si="56"/>
        <v>0.25590759612809999</v>
      </c>
      <c r="AS114" s="746">
        <f t="shared" si="56"/>
        <v>0.25590759612809999</v>
      </c>
      <c r="AT114" s="746">
        <f t="shared" si="56"/>
        <v>0.12795379806405</v>
      </c>
      <c r="AU114" s="746">
        <f t="shared" si="56"/>
        <v>0.12795379806405</v>
      </c>
      <c r="AV114" s="746">
        <f t="shared" si="56"/>
        <v>7.6772278838429991E-2</v>
      </c>
      <c r="AW114" s="746">
        <f t="shared" si="56"/>
        <v>0.17913531728966997</v>
      </c>
      <c r="AX114" s="746">
        <f t="shared" si="56"/>
        <v>0.25590759612809999</v>
      </c>
      <c r="AY114" s="746">
        <f t="shared" si="56"/>
        <v>0.25590759612809999</v>
      </c>
      <c r="AZ114" s="733">
        <f t="shared" si="49"/>
        <v>0</v>
      </c>
      <c r="BA114" s="636">
        <f t="shared" si="50"/>
        <v>0.76772278838429997</v>
      </c>
      <c r="BB114" s="636">
        <f t="shared" si="51"/>
        <v>0.76772278838429997</v>
      </c>
      <c r="BC114" s="636">
        <f t="shared" si="52"/>
        <v>0.33267987496652995</v>
      </c>
      <c r="BD114" s="636">
        <f t="shared" si="53"/>
        <v>0.6909505095458699</v>
      </c>
      <c r="BE114" s="735">
        <f t="shared" si="54"/>
        <v>2.5590759612809997</v>
      </c>
      <c r="BF114" s="680"/>
      <c r="BG114" s="680"/>
      <c r="BH114" s="680"/>
      <c r="BI114" s="680"/>
      <c r="BJ114" s="680"/>
      <c r="BK114" s="680"/>
      <c r="BL114" s="680"/>
      <c r="BM114" s="680"/>
      <c r="BN114" s="680"/>
    </row>
    <row r="115" spans="1:66" ht="18" customHeight="1">
      <c r="A115" s="776" t="s">
        <v>466</v>
      </c>
      <c r="B115" s="777" t="s">
        <v>159</v>
      </c>
      <c r="C115" s="778" t="s">
        <v>136</v>
      </c>
      <c r="D115" s="747" t="s">
        <v>164</v>
      </c>
      <c r="E115" s="738" t="s">
        <v>140</v>
      </c>
      <c r="F115" s="739"/>
      <c r="G115" s="739"/>
      <c r="H115" s="739"/>
      <c r="I115" s="740"/>
      <c r="J115" s="739"/>
      <c r="K115" s="686"/>
      <c r="L115" s="739"/>
      <c r="M115" s="740"/>
      <c r="N115" s="739">
        <v>0</v>
      </c>
      <c r="O115" s="740"/>
      <c r="P115" s="739"/>
      <c r="Q115" s="741"/>
      <c r="R115" s="742">
        <f t="shared" si="41"/>
        <v>0</v>
      </c>
      <c r="S115" s="742"/>
      <c r="T115" s="742"/>
      <c r="U115" s="743"/>
      <c r="V115" s="743"/>
      <c r="W115" s="743"/>
      <c r="X115" s="743"/>
      <c r="Y115" s="743"/>
      <c r="Z115" s="743"/>
      <c r="AA115" s="743"/>
      <c r="AB115" s="743"/>
      <c r="AC115" s="743"/>
      <c r="AD115" s="744"/>
      <c r="AE115" s="744"/>
      <c r="AF115" s="745"/>
      <c r="AG115" s="733">
        <f t="shared" si="42"/>
        <v>0</v>
      </c>
      <c r="AH115" s="208">
        <f t="shared" si="43"/>
        <v>0</v>
      </c>
      <c r="AI115" s="208">
        <f t="shared" si="44"/>
        <v>0</v>
      </c>
      <c r="AJ115" s="208">
        <f t="shared" si="45"/>
        <v>0</v>
      </c>
      <c r="AK115" s="208">
        <f t="shared" si="46"/>
        <v>0</v>
      </c>
      <c r="AL115" s="208">
        <f t="shared" si="47"/>
        <v>0</v>
      </c>
      <c r="AM115" s="680"/>
      <c r="AN115" s="746">
        <f t="shared" si="56"/>
        <v>0</v>
      </c>
      <c r="AO115" s="746">
        <f t="shared" si="56"/>
        <v>0</v>
      </c>
      <c r="AP115" s="746">
        <f t="shared" si="56"/>
        <v>0</v>
      </c>
      <c r="AQ115" s="746">
        <f t="shared" si="56"/>
        <v>0</v>
      </c>
      <c r="AR115" s="746">
        <f t="shared" si="56"/>
        <v>0</v>
      </c>
      <c r="AS115" s="746">
        <f t="shared" si="56"/>
        <v>0</v>
      </c>
      <c r="AT115" s="746">
        <f t="shared" si="56"/>
        <v>0</v>
      </c>
      <c r="AU115" s="746">
        <f t="shared" si="56"/>
        <v>0</v>
      </c>
      <c r="AV115" s="746">
        <f t="shared" si="56"/>
        <v>0</v>
      </c>
      <c r="AW115" s="746">
        <f t="shared" si="56"/>
        <v>0</v>
      </c>
      <c r="AX115" s="746">
        <f t="shared" si="56"/>
        <v>0</v>
      </c>
      <c r="AY115" s="746">
        <f t="shared" si="56"/>
        <v>0</v>
      </c>
      <c r="AZ115" s="733">
        <f t="shared" si="49"/>
        <v>0</v>
      </c>
      <c r="BA115" s="636">
        <f t="shared" si="50"/>
        <v>0</v>
      </c>
      <c r="BB115" s="636">
        <f t="shared" si="51"/>
        <v>0</v>
      </c>
      <c r="BC115" s="636">
        <f t="shared" si="52"/>
        <v>0</v>
      </c>
      <c r="BD115" s="636">
        <f t="shared" si="53"/>
        <v>0</v>
      </c>
      <c r="BE115" s="735">
        <f t="shared" si="54"/>
        <v>0</v>
      </c>
      <c r="BF115" s="680"/>
      <c r="BG115" s="680"/>
      <c r="BH115" s="680"/>
      <c r="BI115" s="680"/>
      <c r="BJ115" s="680"/>
      <c r="BK115" s="680"/>
      <c r="BL115" s="680"/>
      <c r="BM115" s="680"/>
      <c r="BN115" s="680"/>
    </row>
    <row r="116" spans="1:66" ht="18" customHeight="1">
      <c r="A116" s="776" t="s">
        <v>173</v>
      </c>
      <c r="B116" s="777" t="s">
        <v>159</v>
      </c>
      <c r="C116" s="778" t="s">
        <v>136</v>
      </c>
      <c r="D116" s="737" t="s">
        <v>164</v>
      </c>
      <c r="E116" s="738" t="s">
        <v>140</v>
      </c>
      <c r="F116" s="739"/>
      <c r="G116" s="739">
        <v>15.131000000000002</v>
      </c>
      <c r="H116" s="739">
        <v>0</v>
      </c>
      <c r="I116" s="740">
        <f>IF(ISERROR((H116-G116)/G116),0,((H116-G116)/G116))</f>
        <v>-1</v>
      </c>
      <c r="J116" s="739">
        <v>0</v>
      </c>
      <c r="K116" s="686"/>
      <c r="L116" s="739">
        <f t="shared" ref="L116:L124" si="63">J116+K116</f>
        <v>0</v>
      </c>
      <c r="M116" s="740">
        <f>IF(ISERROR((L116-H116)/H116),0,((L116-H116)/H116))</f>
        <v>0</v>
      </c>
      <c r="N116" s="739">
        <v>0</v>
      </c>
      <c r="O116" s="740">
        <f>IF(ISERROR((N116-L116)/L116),0,((N116-L116)/L116))</f>
        <v>0</v>
      </c>
      <c r="P116" s="739">
        <v>0</v>
      </c>
      <c r="Q116" s="741"/>
      <c r="R116" s="742">
        <f t="shared" si="41"/>
        <v>0</v>
      </c>
      <c r="S116" s="742"/>
      <c r="T116" s="742"/>
      <c r="U116" s="743"/>
      <c r="V116" s="743"/>
      <c r="W116" s="743"/>
      <c r="X116" s="743"/>
      <c r="Y116" s="743"/>
      <c r="Z116" s="743"/>
      <c r="AA116" s="743"/>
      <c r="AB116" s="743"/>
      <c r="AC116" s="743"/>
      <c r="AD116" s="744"/>
      <c r="AE116" s="744"/>
      <c r="AF116" s="745"/>
      <c r="AG116" s="733">
        <f t="shared" si="42"/>
        <v>0</v>
      </c>
      <c r="AH116" s="208">
        <f t="shared" si="43"/>
        <v>0</v>
      </c>
      <c r="AI116" s="208">
        <f t="shared" si="44"/>
        <v>0</v>
      </c>
      <c r="AJ116" s="208">
        <f t="shared" si="45"/>
        <v>0</v>
      </c>
      <c r="AK116" s="208">
        <f t="shared" si="46"/>
        <v>0</v>
      </c>
      <c r="AL116" s="208">
        <f t="shared" si="47"/>
        <v>0</v>
      </c>
      <c r="AM116" s="680"/>
      <c r="AN116" s="746">
        <f t="shared" si="56"/>
        <v>0</v>
      </c>
      <c r="AO116" s="746">
        <f t="shared" si="56"/>
        <v>0</v>
      </c>
      <c r="AP116" s="746">
        <f t="shared" si="56"/>
        <v>0</v>
      </c>
      <c r="AQ116" s="746">
        <f t="shared" si="56"/>
        <v>0</v>
      </c>
      <c r="AR116" s="746">
        <f t="shared" si="56"/>
        <v>0</v>
      </c>
      <c r="AS116" s="746">
        <f t="shared" si="56"/>
        <v>0</v>
      </c>
      <c r="AT116" s="746">
        <f t="shared" si="56"/>
        <v>0</v>
      </c>
      <c r="AU116" s="746">
        <f t="shared" si="56"/>
        <v>0</v>
      </c>
      <c r="AV116" s="746">
        <f t="shared" si="56"/>
        <v>0</v>
      </c>
      <c r="AW116" s="746">
        <f t="shared" si="56"/>
        <v>0</v>
      </c>
      <c r="AX116" s="746">
        <f t="shared" si="56"/>
        <v>0</v>
      </c>
      <c r="AY116" s="746">
        <f t="shared" si="56"/>
        <v>0</v>
      </c>
      <c r="AZ116" s="733">
        <f t="shared" si="49"/>
        <v>0</v>
      </c>
      <c r="BA116" s="636">
        <f t="shared" si="50"/>
        <v>0</v>
      </c>
      <c r="BB116" s="636">
        <f t="shared" si="51"/>
        <v>0</v>
      </c>
      <c r="BC116" s="636">
        <f t="shared" si="52"/>
        <v>0</v>
      </c>
      <c r="BD116" s="636">
        <f t="shared" si="53"/>
        <v>0</v>
      </c>
      <c r="BE116" s="735">
        <f t="shared" si="54"/>
        <v>0</v>
      </c>
      <c r="BF116" s="680"/>
      <c r="BG116" s="680"/>
      <c r="BH116" s="680"/>
      <c r="BI116" s="680"/>
      <c r="BJ116" s="680"/>
      <c r="BK116" s="680"/>
      <c r="BL116" s="680"/>
      <c r="BM116" s="680"/>
      <c r="BN116" s="680"/>
    </row>
    <row r="117" spans="1:66" ht="18" customHeight="1">
      <c r="A117" s="776" t="s">
        <v>174</v>
      </c>
      <c r="B117" s="777" t="s">
        <v>159</v>
      </c>
      <c r="C117" s="778" t="s">
        <v>136</v>
      </c>
      <c r="D117" s="737" t="s">
        <v>164</v>
      </c>
      <c r="E117" s="738" t="s">
        <v>144</v>
      </c>
      <c r="F117" s="739"/>
      <c r="G117" s="739">
        <v>55.452000000000005</v>
      </c>
      <c r="H117" s="739">
        <v>6.636000000000001</v>
      </c>
      <c r="I117" s="740">
        <f>IF(ISERROR((H117-G117)/G117),0,((H117-G117)/G117))</f>
        <v>-0.88032893313135685</v>
      </c>
      <c r="J117" s="739">
        <v>0</v>
      </c>
      <c r="K117" s="686"/>
      <c r="L117" s="739">
        <f t="shared" si="63"/>
        <v>0</v>
      </c>
      <c r="M117" s="740">
        <f>IF(ISERROR((L117-H117)/H117),0,((L117-H117)/H117))</f>
        <v>-1</v>
      </c>
      <c r="N117" s="739">
        <v>0</v>
      </c>
      <c r="O117" s="740">
        <f>IF(ISERROR((N117-L117)/L117),0,((N117-L117)/L117))</f>
        <v>0</v>
      </c>
      <c r="P117" s="739">
        <v>0</v>
      </c>
      <c r="Q117" s="741"/>
      <c r="R117" s="742">
        <f t="shared" si="41"/>
        <v>0</v>
      </c>
      <c r="S117" s="742"/>
      <c r="T117" s="742"/>
      <c r="U117" s="743"/>
      <c r="V117" s="743"/>
      <c r="W117" s="743"/>
      <c r="X117" s="743"/>
      <c r="Y117" s="743"/>
      <c r="Z117" s="743"/>
      <c r="AA117" s="743"/>
      <c r="AB117" s="743"/>
      <c r="AC117" s="743"/>
      <c r="AD117" s="744"/>
      <c r="AE117" s="744"/>
      <c r="AF117" s="745"/>
      <c r="AG117" s="733">
        <f t="shared" si="42"/>
        <v>0</v>
      </c>
      <c r="AH117" s="208">
        <f t="shared" si="43"/>
        <v>0</v>
      </c>
      <c r="AI117" s="208">
        <f t="shared" si="44"/>
        <v>0</v>
      </c>
      <c r="AJ117" s="208">
        <f t="shared" si="45"/>
        <v>0</v>
      </c>
      <c r="AK117" s="208">
        <f t="shared" si="46"/>
        <v>0</v>
      </c>
      <c r="AL117" s="208">
        <f t="shared" si="47"/>
        <v>0</v>
      </c>
      <c r="AM117" s="680"/>
      <c r="AN117" s="746">
        <f t="shared" si="56"/>
        <v>0</v>
      </c>
      <c r="AO117" s="746">
        <f t="shared" si="56"/>
        <v>0</v>
      </c>
      <c r="AP117" s="746">
        <f t="shared" si="56"/>
        <v>0</v>
      </c>
      <c r="AQ117" s="746">
        <f t="shared" si="56"/>
        <v>0</v>
      </c>
      <c r="AR117" s="746">
        <f t="shared" si="56"/>
        <v>0</v>
      </c>
      <c r="AS117" s="746">
        <f t="shared" si="56"/>
        <v>0</v>
      </c>
      <c r="AT117" s="746">
        <f t="shared" si="56"/>
        <v>0</v>
      </c>
      <c r="AU117" s="746">
        <f t="shared" si="56"/>
        <v>0</v>
      </c>
      <c r="AV117" s="746">
        <f t="shared" si="56"/>
        <v>0</v>
      </c>
      <c r="AW117" s="746">
        <f t="shared" si="56"/>
        <v>0</v>
      </c>
      <c r="AX117" s="746">
        <f t="shared" si="56"/>
        <v>0</v>
      </c>
      <c r="AY117" s="746">
        <f t="shared" si="56"/>
        <v>0</v>
      </c>
      <c r="AZ117" s="733">
        <f t="shared" si="49"/>
        <v>0</v>
      </c>
      <c r="BA117" s="636">
        <f t="shared" si="50"/>
        <v>0</v>
      </c>
      <c r="BB117" s="636">
        <f t="shared" si="51"/>
        <v>0</v>
      </c>
      <c r="BC117" s="636">
        <f t="shared" si="52"/>
        <v>0</v>
      </c>
      <c r="BD117" s="636">
        <f t="shared" si="53"/>
        <v>0</v>
      </c>
      <c r="BE117" s="735">
        <f t="shared" si="54"/>
        <v>0</v>
      </c>
      <c r="BF117" s="680"/>
      <c r="BG117" s="680"/>
      <c r="BH117" s="680"/>
      <c r="BI117" s="680"/>
      <c r="BJ117" s="680"/>
      <c r="BK117" s="680"/>
      <c r="BL117" s="680"/>
      <c r="BM117" s="680"/>
      <c r="BN117" s="680"/>
    </row>
    <row r="118" spans="1:66" ht="18" customHeight="1">
      <c r="A118" s="776" t="s">
        <v>175</v>
      </c>
      <c r="B118" s="777" t="s">
        <v>159</v>
      </c>
      <c r="C118" s="778" t="s">
        <v>136</v>
      </c>
      <c r="D118" s="737" t="s">
        <v>164</v>
      </c>
      <c r="E118" s="738" t="s">
        <v>168</v>
      </c>
      <c r="F118" s="739"/>
      <c r="G118" s="739">
        <v>34.598999999999997</v>
      </c>
      <c r="H118" s="739">
        <v>18.268000000000001</v>
      </c>
      <c r="I118" s="740">
        <f>IF(ISERROR((H118-G118)/G118),0,((H118-G118)/G118))</f>
        <v>-0.47200786149888718</v>
      </c>
      <c r="J118" s="739">
        <v>0</v>
      </c>
      <c r="K118" s="686"/>
      <c r="L118" s="739">
        <f t="shared" si="63"/>
        <v>0</v>
      </c>
      <c r="M118" s="740">
        <f>IF(ISERROR((L118-H118)/H118),0,((L118-H118)/H118))</f>
        <v>-1</v>
      </c>
      <c r="N118" s="739">
        <v>0</v>
      </c>
      <c r="O118" s="740">
        <f>IF(ISERROR((N118-L118)/L118),0,((N118-L118)/L118))</f>
        <v>0</v>
      </c>
      <c r="P118" s="739">
        <v>0</v>
      </c>
      <c r="Q118" s="741"/>
      <c r="R118" s="742">
        <f t="shared" si="41"/>
        <v>0</v>
      </c>
      <c r="S118" s="742"/>
      <c r="T118" s="742"/>
      <c r="U118" s="743"/>
      <c r="V118" s="743"/>
      <c r="W118" s="743"/>
      <c r="X118" s="743"/>
      <c r="Y118" s="743"/>
      <c r="Z118" s="743"/>
      <c r="AA118" s="743"/>
      <c r="AB118" s="743"/>
      <c r="AC118" s="743"/>
      <c r="AD118" s="744"/>
      <c r="AE118" s="744"/>
      <c r="AF118" s="745"/>
      <c r="AG118" s="733">
        <f t="shared" si="42"/>
        <v>0</v>
      </c>
      <c r="AH118" s="208">
        <f t="shared" si="43"/>
        <v>0</v>
      </c>
      <c r="AI118" s="208">
        <f t="shared" si="44"/>
        <v>0</v>
      </c>
      <c r="AJ118" s="208">
        <f t="shared" si="45"/>
        <v>0</v>
      </c>
      <c r="AK118" s="208">
        <f t="shared" si="46"/>
        <v>0</v>
      </c>
      <c r="AL118" s="208">
        <f t="shared" si="47"/>
        <v>0</v>
      </c>
      <c r="AM118" s="680"/>
      <c r="AN118" s="746">
        <f t="shared" si="56"/>
        <v>0</v>
      </c>
      <c r="AO118" s="746">
        <f t="shared" si="56"/>
        <v>0</v>
      </c>
      <c r="AP118" s="746">
        <f t="shared" si="56"/>
        <v>0</v>
      </c>
      <c r="AQ118" s="746">
        <f t="shared" si="56"/>
        <v>0</v>
      </c>
      <c r="AR118" s="746">
        <f t="shared" si="56"/>
        <v>0</v>
      </c>
      <c r="AS118" s="746">
        <f t="shared" si="56"/>
        <v>0</v>
      </c>
      <c r="AT118" s="746">
        <f t="shared" si="56"/>
        <v>0</v>
      </c>
      <c r="AU118" s="746">
        <f t="shared" si="56"/>
        <v>0</v>
      </c>
      <c r="AV118" s="746">
        <f t="shared" si="56"/>
        <v>0</v>
      </c>
      <c r="AW118" s="746">
        <f t="shared" si="56"/>
        <v>0</v>
      </c>
      <c r="AX118" s="746">
        <f t="shared" si="56"/>
        <v>0</v>
      </c>
      <c r="AY118" s="746">
        <f t="shared" si="56"/>
        <v>0</v>
      </c>
      <c r="AZ118" s="733">
        <f t="shared" si="49"/>
        <v>0</v>
      </c>
      <c r="BA118" s="636">
        <f t="shared" si="50"/>
        <v>0</v>
      </c>
      <c r="BB118" s="636">
        <f t="shared" si="51"/>
        <v>0</v>
      </c>
      <c r="BC118" s="636">
        <f t="shared" si="52"/>
        <v>0</v>
      </c>
      <c r="BD118" s="636">
        <f t="shared" si="53"/>
        <v>0</v>
      </c>
      <c r="BE118" s="735">
        <f t="shared" si="54"/>
        <v>0</v>
      </c>
      <c r="BF118" s="680"/>
      <c r="BG118" s="680"/>
      <c r="BH118" s="680"/>
      <c r="BI118" s="680"/>
      <c r="BJ118" s="680"/>
      <c r="BK118" s="680"/>
      <c r="BL118" s="680"/>
      <c r="BM118" s="680"/>
      <c r="BN118" s="680"/>
    </row>
    <row r="119" spans="1:66" ht="18" customHeight="1">
      <c r="A119" s="776" t="s">
        <v>467</v>
      </c>
      <c r="B119" s="777" t="s">
        <v>159</v>
      </c>
      <c r="C119" s="778" t="s">
        <v>468</v>
      </c>
      <c r="D119" s="737" t="s">
        <v>164</v>
      </c>
      <c r="E119" s="738" t="s">
        <v>170</v>
      </c>
      <c r="F119" s="739"/>
      <c r="G119" s="739">
        <v>0</v>
      </c>
      <c r="H119" s="739">
        <v>0</v>
      </c>
      <c r="I119" s="740"/>
      <c r="J119" s="739">
        <v>0</v>
      </c>
      <c r="K119" s="686"/>
      <c r="L119" s="739">
        <f t="shared" si="63"/>
        <v>0</v>
      </c>
      <c r="M119" s="740">
        <f>IF(ISERROR((L119-H119)/H119),0,((L119-H119)/H119))</f>
        <v>0</v>
      </c>
      <c r="N119" s="739">
        <v>41.5</v>
      </c>
      <c r="O119" s="740">
        <f>IF(ISERROR((N119-L119)/L119),0,((N119-L119)/L119))</f>
        <v>0</v>
      </c>
      <c r="P119" s="739">
        <v>80935.369860400009</v>
      </c>
      <c r="Q119" s="741"/>
      <c r="R119" s="742">
        <f t="shared" si="41"/>
        <v>0.33588178492066001</v>
      </c>
      <c r="S119" s="742"/>
      <c r="T119" s="742"/>
      <c r="U119" s="743">
        <v>4</v>
      </c>
      <c r="V119" s="743">
        <v>4</v>
      </c>
      <c r="W119" s="743">
        <v>3</v>
      </c>
      <c r="X119" s="743">
        <v>2</v>
      </c>
      <c r="Y119" s="743">
        <v>2</v>
      </c>
      <c r="Z119" s="743">
        <v>1.5</v>
      </c>
      <c r="AA119" s="743">
        <v>2</v>
      </c>
      <c r="AB119" s="743"/>
      <c r="AC119" s="743"/>
      <c r="AD119" s="744">
        <v>13</v>
      </c>
      <c r="AE119" s="744">
        <v>6</v>
      </c>
      <c r="AF119" s="745">
        <v>4</v>
      </c>
      <c r="AG119" s="733">
        <f t="shared" si="42"/>
        <v>0</v>
      </c>
      <c r="AH119" s="208">
        <f t="shared" si="43"/>
        <v>11</v>
      </c>
      <c r="AI119" s="208">
        <f t="shared" si="44"/>
        <v>5.5</v>
      </c>
      <c r="AJ119" s="208">
        <f t="shared" si="45"/>
        <v>2</v>
      </c>
      <c r="AK119" s="208">
        <f t="shared" si="46"/>
        <v>23</v>
      </c>
      <c r="AL119" s="208">
        <f t="shared" si="47"/>
        <v>41.5</v>
      </c>
      <c r="AM119" s="680"/>
      <c r="AN119" s="746">
        <f t="shared" si="56"/>
        <v>3.2374147944160006E-2</v>
      </c>
      <c r="AO119" s="746">
        <f t="shared" si="56"/>
        <v>3.2374147944160006E-2</v>
      </c>
      <c r="AP119" s="746">
        <f t="shared" si="56"/>
        <v>2.4280610958120001E-2</v>
      </c>
      <c r="AQ119" s="746">
        <f t="shared" si="56"/>
        <v>1.6187073972080003E-2</v>
      </c>
      <c r="AR119" s="746">
        <f t="shared" si="56"/>
        <v>1.6187073972080003E-2</v>
      </c>
      <c r="AS119" s="746">
        <f t="shared" si="56"/>
        <v>1.2140305479060001E-2</v>
      </c>
      <c r="AT119" s="746">
        <f t="shared" si="56"/>
        <v>1.6187073972080003E-2</v>
      </c>
      <c r="AU119" s="746">
        <f t="shared" si="56"/>
        <v>0</v>
      </c>
      <c r="AV119" s="746">
        <f t="shared" si="56"/>
        <v>0</v>
      </c>
      <c r="AW119" s="746">
        <f t="shared" si="56"/>
        <v>0.10521598081852002</v>
      </c>
      <c r="AX119" s="746">
        <f t="shared" si="56"/>
        <v>4.8561221916240002E-2</v>
      </c>
      <c r="AY119" s="746">
        <f t="shared" si="56"/>
        <v>3.2374147944160006E-2</v>
      </c>
      <c r="AZ119" s="733">
        <f t="shared" si="49"/>
        <v>0</v>
      </c>
      <c r="BA119" s="636">
        <f t="shared" si="50"/>
        <v>8.902890684644002E-2</v>
      </c>
      <c r="BB119" s="636">
        <f t="shared" si="51"/>
        <v>4.451445342322001E-2</v>
      </c>
      <c r="BC119" s="636">
        <f t="shared" si="52"/>
        <v>1.6187073972080003E-2</v>
      </c>
      <c r="BD119" s="636">
        <f t="shared" si="53"/>
        <v>0.18615135067892002</v>
      </c>
      <c r="BE119" s="735">
        <f t="shared" si="54"/>
        <v>0.33588178492066001</v>
      </c>
      <c r="BF119" s="680"/>
      <c r="BG119" s="680"/>
      <c r="BH119" s="680"/>
      <c r="BI119" s="680"/>
      <c r="BJ119" s="680"/>
      <c r="BK119" s="680"/>
      <c r="BL119" s="680"/>
      <c r="BM119" s="680"/>
      <c r="BN119" s="680"/>
    </row>
    <row r="120" spans="1:66" ht="18" customHeight="1">
      <c r="A120" s="776" t="s">
        <v>469</v>
      </c>
      <c r="B120" s="777" t="s">
        <v>159</v>
      </c>
      <c r="C120" s="778" t="s">
        <v>468</v>
      </c>
      <c r="D120" s="737" t="s">
        <v>164</v>
      </c>
      <c r="E120" s="767" t="s">
        <v>463</v>
      </c>
      <c r="F120" s="739"/>
      <c r="G120" s="739"/>
      <c r="H120" s="739"/>
      <c r="I120" s="740"/>
      <c r="J120" s="739"/>
      <c r="K120" s="686"/>
      <c r="L120" s="739">
        <f t="shared" si="63"/>
        <v>0</v>
      </c>
      <c r="M120" s="740"/>
      <c r="N120" s="739">
        <v>39</v>
      </c>
      <c r="O120" s="740"/>
      <c r="P120" s="739">
        <v>147283.12758449998</v>
      </c>
      <c r="Q120" s="741"/>
      <c r="R120" s="742">
        <f t="shared" si="41"/>
        <v>0.57440419757954986</v>
      </c>
      <c r="S120" s="742"/>
      <c r="T120" s="742"/>
      <c r="U120" s="743">
        <v>5</v>
      </c>
      <c r="V120" s="743">
        <v>4</v>
      </c>
      <c r="W120" s="743">
        <v>5</v>
      </c>
      <c r="X120" s="743">
        <v>4</v>
      </c>
      <c r="Y120" s="743">
        <v>2</v>
      </c>
      <c r="Z120" s="743">
        <v>1.5</v>
      </c>
      <c r="AA120" s="743">
        <v>1.5</v>
      </c>
      <c r="AB120" s="743"/>
      <c r="AC120" s="743"/>
      <c r="AD120" s="744">
        <v>3.5</v>
      </c>
      <c r="AE120" s="744">
        <v>6.2</v>
      </c>
      <c r="AF120" s="745">
        <v>6.3</v>
      </c>
      <c r="AG120" s="733">
        <f t="shared" si="42"/>
        <v>0</v>
      </c>
      <c r="AH120" s="208">
        <f t="shared" si="43"/>
        <v>14</v>
      </c>
      <c r="AI120" s="208">
        <f t="shared" si="44"/>
        <v>7.5</v>
      </c>
      <c r="AJ120" s="208">
        <f t="shared" si="45"/>
        <v>1.5</v>
      </c>
      <c r="AK120" s="208">
        <f t="shared" si="46"/>
        <v>16</v>
      </c>
      <c r="AL120" s="208">
        <f t="shared" si="47"/>
        <v>39</v>
      </c>
      <c r="AM120" s="680"/>
      <c r="AN120" s="746">
        <f t="shared" si="56"/>
        <v>7.3641563792249995E-2</v>
      </c>
      <c r="AO120" s="746">
        <f t="shared" si="56"/>
        <v>5.891325103379999E-2</v>
      </c>
      <c r="AP120" s="746">
        <f t="shared" si="56"/>
        <v>7.3641563792249995E-2</v>
      </c>
      <c r="AQ120" s="746">
        <f t="shared" si="56"/>
        <v>5.891325103379999E-2</v>
      </c>
      <c r="AR120" s="746">
        <f t="shared" si="56"/>
        <v>2.9456625516899995E-2</v>
      </c>
      <c r="AS120" s="746">
        <f t="shared" si="56"/>
        <v>2.2092469137674996E-2</v>
      </c>
      <c r="AT120" s="746">
        <f t="shared" si="56"/>
        <v>2.2092469137674996E-2</v>
      </c>
      <c r="AU120" s="746">
        <f t="shared" si="56"/>
        <v>0</v>
      </c>
      <c r="AV120" s="746">
        <f t="shared" si="56"/>
        <v>0</v>
      </c>
      <c r="AW120" s="746">
        <f t="shared" si="56"/>
        <v>5.1549094654574988E-2</v>
      </c>
      <c r="AX120" s="746">
        <f t="shared" si="56"/>
        <v>9.1315539102389987E-2</v>
      </c>
      <c r="AY120" s="746">
        <f t="shared" si="56"/>
        <v>9.278837037823498E-2</v>
      </c>
      <c r="AZ120" s="733">
        <f t="shared" si="49"/>
        <v>0</v>
      </c>
      <c r="BA120" s="636">
        <f t="shared" si="50"/>
        <v>0.20619637861829998</v>
      </c>
      <c r="BB120" s="636">
        <f t="shared" si="51"/>
        <v>0.11046234568837499</v>
      </c>
      <c r="BC120" s="636">
        <f t="shared" si="52"/>
        <v>2.2092469137674996E-2</v>
      </c>
      <c r="BD120" s="636">
        <f t="shared" si="53"/>
        <v>0.23565300413519996</v>
      </c>
      <c r="BE120" s="735">
        <f t="shared" si="54"/>
        <v>0.57440419757954997</v>
      </c>
      <c r="BF120" s="680"/>
      <c r="BG120" s="680"/>
      <c r="BH120" s="680"/>
      <c r="BI120" s="680"/>
      <c r="BJ120" s="680"/>
      <c r="BK120" s="680"/>
      <c r="BL120" s="680"/>
      <c r="BM120" s="680"/>
      <c r="BN120" s="680"/>
    </row>
    <row r="121" spans="1:66" ht="18" customHeight="1">
      <c r="A121" s="776" t="s">
        <v>467</v>
      </c>
      <c r="B121" s="777" t="s">
        <v>159</v>
      </c>
      <c r="C121" s="778" t="s">
        <v>468</v>
      </c>
      <c r="D121" s="737" t="s">
        <v>164</v>
      </c>
      <c r="E121" s="767" t="s">
        <v>463</v>
      </c>
      <c r="F121" s="739"/>
      <c r="G121" s="739"/>
      <c r="H121" s="739"/>
      <c r="I121" s="740"/>
      <c r="J121" s="739"/>
      <c r="K121" s="686"/>
      <c r="L121" s="739">
        <f t="shared" si="63"/>
        <v>0</v>
      </c>
      <c r="M121" s="740"/>
      <c r="N121" s="739">
        <v>188.6</v>
      </c>
      <c r="O121" s="740"/>
      <c r="P121" s="739">
        <v>133920.3496896</v>
      </c>
      <c r="Q121" s="741"/>
      <c r="R121" s="742">
        <f t="shared" si="41"/>
        <v>2.5257377951458557</v>
      </c>
      <c r="S121" s="742"/>
      <c r="T121" s="742"/>
      <c r="U121" s="743">
        <v>24.8</v>
      </c>
      <c r="V121" s="743">
        <v>19.600000000000001</v>
      </c>
      <c r="W121" s="743">
        <v>36.6</v>
      </c>
      <c r="X121" s="743">
        <v>30.6</v>
      </c>
      <c r="Y121" s="743">
        <v>12.6</v>
      </c>
      <c r="Z121" s="743">
        <v>9.6</v>
      </c>
      <c r="AA121" s="743">
        <v>8</v>
      </c>
      <c r="AB121" s="743"/>
      <c r="AC121" s="743"/>
      <c r="AD121" s="744">
        <v>14.8</v>
      </c>
      <c r="AE121" s="744">
        <v>10</v>
      </c>
      <c r="AF121" s="745">
        <v>22</v>
      </c>
      <c r="AG121" s="733">
        <f t="shared" si="42"/>
        <v>0</v>
      </c>
      <c r="AH121" s="208">
        <f t="shared" si="43"/>
        <v>81</v>
      </c>
      <c r="AI121" s="208">
        <f t="shared" si="44"/>
        <v>52.800000000000004</v>
      </c>
      <c r="AJ121" s="208">
        <f t="shared" si="45"/>
        <v>8</v>
      </c>
      <c r="AK121" s="208">
        <f t="shared" si="46"/>
        <v>46.8</v>
      </c>
      <c r="AL121" s="208">
        <f t="shared" si="47"/>
        <v>188.60000000000002</v>
      </c>
      <c r="AM121" s="680"/>
      <c r="AN121" s="746">
        <f t="shared" si="56"/>
        <v>0.33212246723020805</v>
      </c>
      <c r="AO121" s="746">
        <f t="shared" si="56"/>
        <v>0.26248388539161605</v>
      </c>
      <c r="AP121" s="746">
        <f t="shared" si="56"/>
        <v>0.490148479863936</v>
      </c>
      <c r="AQ121" s="746">
        <f t="shared" si="56"/>
        <v>0.40979627005017599</v>
      </c>
      <c r="AR121" s="746">
        <f t="shared" si="56"/>
        <v>0.16873964060889599</v>
      </c>
      <c r="AS121" s="746">
        <f t="shared" si="56"/>
        <v>0.12856353570201601</v>
      </c>
      <c r="AT121" s="746">
        <f t="shared" si="56"/>
        <v>0.10713627975168</v>
      </c>
      <c r="AU121" s="746">
        <f t="shared" si="56"/>
        <v>0</v>
      </c>
      <c r="AV121" s="746">
        <f t="shared" si="56"/>
        <v>0</v>
      </c>
      <c r="AW121" s="746">
        <f t="shared" si="56"/>
        <v>0.19820211754060801</v>
      </c>
      <c r="AX121" s="746">
        <f t="shared" si="56"/>
        <v>0.13392034968960001</v>
      </c>
      <c r="AY121" s="746">
        <f t="shared" si="56"/>
        <v>0.29462476931712001</v>
      </c>
      <c r="AZ121" s="733">
        <f t="shared" si="49"/>
        <v>0</v>
      </c>
      <c r="BA121" s="636">
        <f t="shared" si="50"/>
        <v>1.0847548324857601</v>
      </c>
      <c r="BB121" s="636">
        <f t="shared" si="51"/>
        <v>0.70709944636108801</v>
      </c>
      <c r="BC121" s="636">
        <f t="shared" si="52"/>
        <v>0.10713627975168</v>
      </c>
      <c r="BD121" s="636">
        <f t="shared" si="53"/>
        <v>0.626747236547328</v>
      </c>
      <c r="BE121" s="735">
        <f t="shared" si="54"/>
        <v>2.5257377951458562</v>
      </c>
      <c r="BF121" s="680"/>
      <c r="BG121" s="680"/>
      <c r="BH121" s="680"/>
      <c r="BI121" s="680"/>
      <c r="BJ121" s="680"/>
      <c r="BK121" s="680"/>
      <c r="BL121" s="680"/>
      <c r="BM121" s="680"/>
      <c r="BN121" s="680"/>
    </row>
    <row r="122" spans="1:66" ht="18" customHeight="1">
      <c r="A122" s="776" t="s">
        <v>469</v>
      </c>
      <c r="B122" s="777" t="s">
        <v>159</v>
      </c>
      <c r="C122" s="778" t="s">
        <v>468</v>
      </c>
      <c r="D122" s="737" t="s">
        <v>164</v>
      </c>
      <c r="E122" s="767" t="s">
        <v>470</v>
      </c>
      <c r="F122" s="739"/>
      <c r="G122" s="739"/>
      <c r="H122" s="739"/>
      <c r="I122" s="740"/>
      <c r="J122" s="739"/>
      <c r="K122" s="686"/>
      <c r="L122" s="739">
        <f t="shared" si="63"/>
        <v>0</v>
      </c>
      <c r="M122" s="740"/>
      <c r="N122" s="739">
        <v>81.200000000000017</v>
      </c>
      <c r="O122" s="740"/>
      <c r="P122" s="739">
        <v>95618.194010599997</v>
      </c>
      <c r="Q122" s="741"/>
      <c r="R122" s="742">
        <f t="shared" si="41"/>
        <v>0.77641973536607212</v>
      </c>
      <c r="S122" s="742"/>
      <c r="T122" s="742"/>
      <c r="U122" s="743">
        <v>7.8</v>
      </c>
      <c r="V122" s="743">
        <v>8</v>
      </c>
      <c r="W122" s="743">
        <v>18.399999999999999</v>
      </c>
      <c r="X122" s="743">
        <v>17.2</v>
      </c>
      <c r="Y122" s="743">
        <v>9.4</v>
      </c>
      <c r="Z122" s="743">
        <v>3</v>
      </c>
      <c r="AA122" s="743">
        <v>3</v>
      </c>
      <c r="AB122" s="743"/>
      <c r="AC122" s="743"/>
      <c r="AD122" s="744"/>
      <c r="AE122" s="744">
        <v>2</v>
      </c>
      <c r="AF122" s="745">
        <v>12.4</v>
      </c>
      <c r="AG122" s="733">
        <f t="shared" si="42"/>
        <v>0</v>
      </c>
      <c r="AH122" s="208">
        <f t="shared" si="43"/>
        <v>34.200000000000003</v>
      </c>
      <c r="AI122" s="208">
        <f t="shared" si="44"/>
        <v>29.6</v>
      </c>
      <c r="AJ122" s="208">
        <f t="shared" si="45"/>
        <v>3</v>
      </c>
      <c r="AK122" s="208">
        <f t="shared" si="46"/>
        <v>14.4</v>
      </c>
      <c r="AL122" s="208">
        <f t="shared" si="47"/>
        <v>81.200000000000017</v>
      </c>
      <c r="AM122" s="680"/>
      <c r="AN122" s="746">
        <f t="shared" si="56"/>
        <v>7.4582191328268002E-2</v>
      </c>
      <c r="AO122" s="746">
        <f t="shared" si="56"/>
        <v>7.6494555208480003E-2</v>
      </c>
      <c r="AP122" s="746">
        <f t="shared" si="56"/>
        <v>0.17593747697950399</v>
      </c>
      <c r="AQ122" s="746">
        <f t="shared" si="56"/>
        <v>0.16446329369823198</v>
      </c>
      <c r="AR122" s="746">
        <f t="shared" si="56"/>
        <v>8.9881102369963994E-2</v>
      </c>
      <c r="AS122" s="746">
        <f t="shared" si="56"/>
        <v>2.8685458203180001E-2</v>
      </c>
      <c r="AT122" s="746">
        <f t="shared" si="56"/>
        <v>2.8685458203180001E-2</v>
      </c>
      <c r="AU122" s="746">
        <f t="shared" si="56"/>
        <v>0</v>
      </c>
      <c r="AV122" s="746">
        <f t="shared" si="56"/>
        <v>0</v>
      </c>
      <c r="AW122" s="746">
        <f t="shared" si="56"/>
        <v>0</v>
      </c>
      <c r="AX122" s="746">
        <f t="shared" si="56"/>
        <v>1.9123638802120001E-2</v>
      </c>
      <c r="AY122" s="746">
        <f t="shared" si="56"/>
        <v>0.11856656057314401</v>
      </c>
      <c r="AZ122" s="733">
        <f t="shared" si="49"/>
        <v>0</v>
      </c>
      <c r="BA122" s="636">
        <f t="shared" si="50"/>
        <v>0.32701422351625198</v>
      </c>
      <c r="BB122" s="636">
        <f t="shared" si="51"/>
        <v>0.283029854271376</v>
      </c>
      <c r="BC122" s="636">
        <f t="shared" si="52"/>
        <v>2.8685458203180001E-2</v>
      </c>
      <c r="BD122" s="636">
        <f t="shared" si="53"/>
        <v>0.137690199375264</v>
      </c>
      <c r="BE122" s="735">
        <f t="shared" si="54"/>
        <v>0.77641973536607201</v>
      </c>
      <c r="BF122" s="680"/>
      <c r="BG122" s="680"/>
      <c r="BH122" s="680"/>
      <c r="BI122" s="680"/>
      <c r="BJ122" s="680"/>
      <c r="BK122" s="680"/>
      <c r="BL122" s="680"/>
      <c r="BM122" s="680"/>
      <c r="BN122" s="680"/>
    </row>
    <row r="123" spans="1:66" ht="18" customHeight="1">
      <c r="A123" s="776" t="s">
        <v>471</v>
      </c>
      <c r="B123" s="777" t="s">
        <v>159</v>
      </c>
      <c r="C123" s="778" t="s">
        <v>417</v>
      </c>
      <c r="D123" s="737" t="s">
        <v>164</v>
      </c>
      <c r="E123" s="767" t="s">
        <v>170</v>
      </c>
      <c r="F123" s="739"/>
      <c r="G123" s="739"/>
      <c r="H123" s="739"/>
      <c r="I123" s="740"/>
      <c r="J123" s="739"/>
      <c r="K123" s="686"/>
      <c r="L123" s="739">
        <f t="shared" si="63"/>
        <v>0</v>
      </c>
      <c r="M123" s="740"/>
      <c r="N123" s="739">
        <v>200</v>
      </c>
      <c r="O123" s="740"/>
      <c r="P123" s="739">
        <v>74102.734898580005</v>
      </c>
      <c r="Q123" s="741"/>
      <c r="R123" s="742">
        <f t="shared" si="41"/>
        <v>1.4820546979716001</v>
      </c>
      <c r="S123" s="742"/>
      <c r="T123" s="742"/>
      <c r="U123" s="743"/>
      <c r="V123" s="743"/>
      <c r="W123" s="743"/>
      <c r="X123" s="743">
        <v>25</v>
      </c>
      <c r="Y123" s="743">
        <v>25</v>
      </c>
      <c r="Z123" s="743">
        <v>25</v>
      </c>
      <c r="AA123" s="743">
        <v>25</v>
      </c>
      <c r="AB123" s="743">
        <v>25</v>
      </c>
      <c r="AC123" s="743">
        <v>25</v>
      </c>
      <c r="AD123" s="743">
        <v>25</v>
      </c>
      <c r="AE123" s="743">
        <v>25</v>
      </c>
      <c r="AF123" s="745"/>
      <c r="AG123" s="733">
        <f t="shared" si="42"/>
        <v>0</v>
      </c>
      <c r="AH123" s="208">
        <f t="shared" si="43"/>
        <v>0</v>
      </c>
      <c r="AI123" s="208">
        <f t="shared" si="44"/>
        <v>75</v>
      </c>
      <c r="AJ123" s="208">
        <f t="shared" si="45"/>
        <v>75</v>
      </c>
      <c r="AK123" s="208">
        <f t="shared" si="46"/>
        <v>50</v>
      </c>
      <c r="AL123" s="208">
        <f t="shared" si="47"/>
        <v>200</v>
      </c>
      <c r="AM123" s="680"/>
      <c r="AN123" s="746">
        <f t="shared" si="56"/>
        <v>0</v>
      </c>
      <c r="AO123" s="746">
        <f t="shared" si="56"/>
        <v>0</v>
      </c>
      <c r="AP123" s="746">
        <f t="shared" si="56"/>
        <v>0</v>
      </c>
      <c r="AQ123" s="746">
        <f t="shared" si="56"/>
        <v>0.18525683724645001</v>
      </c>
      <c r="AR123" s="746">
        <f t="shared" si="56"/>
        <v>0.18525683724645001</v>
      </c>
      <c r="AS123" s="746">
        <f t="shared" si="56"/>
        <v>0.18525683724645001</v>
      </c>
      <c r="AT123" s="746">
        <f t="shared" si="56"/>
        <v>0.18525683724645001</v>
      </c>
      <c r="AU123" s="746">
        <f t="shared" si="56"/>
        <v>0.18525683724645001</v>
      </c>
      <c r="AV123" s="746">
        <f t="shared" si="56"/>
        <v>0.18525683724645001</v>
      </c>
      <c r="AW123" s="746">
        <f t="shared" si="56"/>
        <v>0.18525683724645001</v>
      </c>
      <c r="AX123" s="746">
        <f t="shared" si="56"/>
        <v>0.18525683724645001</v>
      </c>
      <c r="AY123" s="746">
        <f t="shared" si="56"/>
        <v>0</v>
      </c>
      <c r="AZ123" s="733">
        <f t="shared" si="49"/>
        <v>0</v>
      </c>
      <c r="BA123" s="636">
        <f t="shared" si="50"/>
        <v>0</v>
      </c>
      <c r="BB123" s="636">
        <f t="shared" si="51"/>
        <v>0.55577051173934999</v>
      </c>
      <c r="BC123" s="636">
        <f t="shared" si="52"/>
        <v>0.55577051173934999</v>
      </c>
      <c r="BD123" s="636">
        <f t="shared" si="53"/>
        <v>0.37051367449290001</v>
      </c>
      <c r="BE123" s="735">
        <f t="shared" si="54"/>
        <v>1.4820546979716001</v>
      </c>
      <c r="BF123" s="680"/>
      <c r="BG123" s="680"/>
      <c r="BH123" s="680"/>
      <c r="BI123" s="680"/>
      <c r="BJ123" s="680"/>
      <c r="BK123" s="680"/>
      <c r="BL123" s="680"/>
      <c r="BM123" s="680"/>
      <c r="BN123" s="680"/>
    </row>
    <row r="124" spans="1:66" ht="12.95" customHeight="1">
      <c r="A124" s="776"/>
      <c r="B124" s="777"/>
      <c r="C124" s="778"/>
      <c r="D124" s="747"/>
      <c r="E124" s="767"/>
      <c r="F124" s="739"/>
      <c r="G124" s="739"/>
      <c r="H124" s="739"/>
      <c r="I124" s="740"/>
      <c r="J124" s="739"/>
      <c r="K124" s="686"/>
      <c r="L124" s="739">
        <f t="shared" si="63"/>
        <v>0</v>
      </c>
      <c r="M124" s="740"/>
      <c r="N124" s="739"/>
      <c r="O124" s="740"/>
      <c r="P124" s="739"/>
      <c r="Q124" s="741"/>
      <c r="R124" s="742">
        <f t="shared" si="41"/>
        <v>0</v>
      </c>
      <c r="S124" s="742"/>
      <c r="T124" s="742"/>
      <c r="U124" s="743"/>
      <c r="V124" s="743"/>
      <c r="W124" s="743"/>
      <c r="X124" s="743"/>
      <c r="Y124" s="743"/>
      <c r="Z124" s="743"/>
      <c r="AA124" s="743"/>
      <c r="AB124" s="743"/>
      <c r="AC124" s="743"/>
      <c r="AD124" s="744"/>
      <c r="AE124" s="744"/>
      <c r="AF124" s="745"/>
      <c r="AG124" s="733">
        <f t="shared" si="42"/>
        <v>0</v>
      </c>
      <c r="AH124" s="208">
        <f t="shared" si="43"/>
        <v>0</v>
      </c>
      <c r="AI124" s="208">
        <f t="shared" si="44"/>
        <v>0</v>
      </c>
      <c r="AJ124" s="208">
        <f t="shared" si="45"/>
        <v>0</v>
      </c>
      <c r="AK124" s="208">
        <f t="shared" si="46"/>
        <v>0</v>
      </c>
      <c r="AL124" s="208">
        <f t="shared" si="47"/>
        <v>0</v>
      </c>
      <c r="AM124" s="680"/>
      <c r="AN124" s="746">
        <f t="shared" si="56"/>
        <v>0</v>
      </c>
      <c r="AO124" s="746">
        <f t="shared" si="56"/>
        <v>0</v>
      </c>
      <c r="AP124" s="746">
        <f t="shared" si="56"/>
        <v>0</v>
      </c>
      <c r="AQ124" s="746">
        <f t="shared" si="56"/>
        <v>0</v>
      </c>
      <c r="AR124" s="746">
        <f t="shared" si="56"/>
        <v>0</v>
      </c>
      <c r="AS124" s="746">
        <f t="shared" si="56"/>
        <v>0</v>
      </c>
      <c r="AT124" s="746">
        <f t="shared" si="56"/>
        <v>0</v>
      </c>
      <c r="AU124" s="746">
        <f t="shared" si="56"/>
        <v>0</v>
      </c>
      <c r="AV124" s="746">
        <f t="shared" si="56"/>
        <v>0</v>
      </c>
      <c r="AW124" s="746">
        <f t="shared" si="56"/>
        <v>0</v>
      </c>
      <c r="AX124" s="746">
        <f t="shared" si="56"/>
        <v>0</v>
      </c>
      <c r="AY124" s="746">
        <f t="shared" si="56"/>
        <v>0</v>
      </c>
      <c r="AZ124" s="733">
        <f t="shared" si="49"/>
        <v>0</v>
      </c>
      <c r="BA124" s="636">
        <f t="shared" si="50"/>
        <v>0</v>
      </c>
      <c r="BB124" s="636">
        <f t="shared" si="51"/>
        <v>0</v>
      </c>
      <c r="BC124" s="636">
        <f t="shared" si="52"/>
        <v>0</v>
      </c>
      <c r="BD124" s="636">
        <f t="shared" si="53"/>
        <v>0</v>
      </c>
      <c r="BE124" s="735">
        <f t="shared" si="54"/>
        <v>0</v>
      </c>
      <c r="BF124" s="680"/>
      <c r="BG124" s="680"/>
      <c r="BH124" s="680"/>
      <c r="BI124" s="680"/>
      <c r="BJ124" s="680"/>
      <c r="BK124" s="680"/>
      <c r="BL124" s="680"/>
      <c r="BM124" s="680"/>
      <c r="BN124" s="680"/>
    </row>
    <row r="125" spans="1:66" ht="12.95" customHeight="1">
      <c r="A125" s="776"/>
      <c r="B125" s="777"/>
      <c r="C125" s="778"/>
      <c r="D125" s="747"/>
      <c r="E125" s="767"/>
      <c r="F125" s="739"/>
      <c r="G125" s="739"/>
      <c r="H125" s="739"/>
      <c r="I125" s="740"/>
      <c r="J125" s="739"/>
      <c r="K125" s="686"/>
      <c r="L125" s="739"/>
      <c r="M125" s="740"/>
      <c r="N125" s="739"/>
      <c r="O125" s="740"/>
      <c r="P125" s="739"/>
      <c r="Q125" s="741"/>
      <c r="R125" s="742">
        <f t="shared" si="41"/>
        <v>0</v>
      </c>
      <c r="S125" s="742"/>
      <c r="T125" s="742"/>
      <c r="U125" s="743"/>
      <c r="V125" s="743"/>
      <c r="W125" s="743"/>
      <c r="X125" s="743"/>
      <c r="Y125" s="743"/>
      <c r="Z125" s="743"/>
      <c r="AA125" s="743"/>
      <c r="AB125" s="743"/>
      <c r="AC125" s="743"/>
      <c r="AD125" s="744"/>
      <c r="AE125" s="744"/>
      <c r="AF125" s="745"/>
      <c r="AG125" s="733">
        <f t="shared" si="42"/>
        <v>0</v>
      </c>
      <c r="AH125" s="208">
        <f t="shared" si="43"/>
        <v>0</v>
      </c>
      <c r="AI125" s="208">
        <f t="shared" si="44"/>
        <v>0</v>
      </c>
      <c r="AJ125" s="208">
        <f t="shared" si="45"/>
        <v>0</v>
      </c>
      <c r="AK125" s="208">
        <f t="shared" si="46"/>
        <v>0</v>
      </c>
      <c r="AL125" s="208">
        <f t="shared" si="47"/>
        <v>0</v>
      </c>
      <c r="AM125" s="680"/>
      <c r="AN125" s="746">
        <f t="shared" ref="AN125:AY135" si="64">U125*$P125/10^7</f>
        <v>0</v>
      </c>
      <c r="AO125" s="746">
        <f t="shared" si="64"/>
        <v>0</v>
      </c>
      <c r="AP125" s="746">
        <f t="shared" si="64"/>
        <v>0</v>
      </c>
      <c r="AQ125" s="746">
        <f t="shared" si="64"/>
        <v>0</v>
      </c>
      <c r="AR125" s="746">
        <f t="shared" si="64"/>
        <v>0</v>
      </c>
      <c r="AS125" s="746">
        <f t="shared" si="64"/>
        <v>0</v>
      </c>
      <c r="AT125" s="746">
        <f t="shared" si="64"/>
        <v>0</v>
      </c>
      <c r="AU125" s="746">
        <f t="shared" si="64"/>
        <v>0</v>
      </c>
      <c r="AV125" s="746">
        <f t="shared" si="64"/>
        <v>0</v>
      </c>
      <c r="AW125" s="746">
        <f t="shared" si="64"/>
        <v>0</v>
      </c>
      <c r="AX125" s="746">
        <f t="shared" si="64"/>
        <v>0</v>
      </c>
      <c r="AY125" s="746">
        <f t="shared" si="64"/>
        <v>0</v>
      </c>
      <c r="AZ125" s="733">
        <f t="shared" si="49"/>
        <v>0</v>
      </c>
      <c r="BA125" s="636">
        <f t="shared" si="50"/>
        <v>0</v>
      </c>
      <c r="BB125" s="636">
        <f t="shared" si="51"/>
        <v>0</v>
      </c>
      <c r="BC125" s="636">
        <f t="shared" si="52"/>
        <v>0</v>
      </c>
      <c r="BD125" s="636">
        <f t="shared" si="53"/>
        <v>0</v>
      </c>
      <c r="BE125" s="735">
        <f t="shared" si="54"/>
        <v>0</v>
      </c>
      <c r="BF125" s="680"/>
      <c r="BG125" s="680"/>
      <c r="BH125" s="680"/>
      <c r="BI125" s="680"/>
      <c r="BJ125" s="680"/>
      <c r="BK125" s="680"/>
      <c r="BL125" s="680"/>
      <c r="BM125" s="680"/>
      <c r="BN125" s="680"/>
    </row>
    <row r="126" spans="1:66" ht="12.95" customHeight="1">
      <c r="A126" s="770"/>
      <c r="B126" s="771"/>
      <c r="C126" s="1098" t="s">
        <v>472</v>
      </c>
      <c r="D126" s="1099"/>
      <c r="E126" s="1100"/>
      <c r="F126" s="772">
        <f>SUM(F104:F124)</f>
        <v>4996.7361199999996</v>
      </c>
      <c r="G126" s="772">
        <f>SUM(G104:G124)</f>
        <v>4897.3649999999998</v>
      </c>
      <c r="H126" s="772">
        <f>SUM(H104:H124)</f>
        <v>5267.1170000000002</v>
      </c>
      <c r="I126" s="773">
        <f t="shared" ref="I126:I146" si="65">IF(ISERROR((H126-G126)/G126),0,((H126-G126)/G126))</f>
        <v>7.5500192450430062E-2</v>
      </c>
      <c r="J126" s="772">
        <f>SUM(J104:J124)</f>
        <v>2799.1880000000001</v>
      </c>
      <c r="K126" s="772">
        <f>SUM(K104:K124)</f>
        <v>1237.258177777778</v>
      </c>
      <c r="L126" s="772">
        <f>SUM(L104:L124)</f>
        <v>4036.4461777777783</v>
      </c>
      <c r="M126" s="773">
        <f t="shared" ref="M126:M147" si="66">IF(ISERROR((L126-H126)/H126),0,((L126-H126)/H126))</f>
        <v>-0.23365169640663419</v>
      </c>
      <c r="N126" s="772">
        <f>SUM(N104:N124)</f>
        <v>6279.1880000000001</v>
      </c>
      <c r="O126" s="773">
        <f t="shared" ref="O126:O137" si="67">IF(ISERROR((N126-L126)/L126),0,((N126-L126)/L126))</f>
        <v>0.55562287305337954</v>
      </c>
      <c r="P126" s="772"/>
      <c r="Q126" s="741"/>
      <c r="R126" s="774">
        <f>SUM(R104:R124)</f>
        <v>51.711964952347905</v>
      </c>
      <c r="S126" s="742"/>
      <c r="T126" s="742"/>
      <c r="U126" s="772">
        <f t="shared" ref="U126:AF126" si="68">SUM(U104:U124)</f>
        <v>360.32000000000005</v>
      </c>
      <c r="V126" s="772">
        <f t="shared" si="68"/>
        <v>544.21600000000001</v>
      </c>
      <c r="W126" s="772">
        <f t="shared" si="68"/>
        <v>622.61599999999999</v>
      </c>
      <c r="X126" s="772">
        <f t="shared" si="68"/>
        <v>595.12</v>
      </c>
      <c r="Y126" s="772">
        <f t="shared" si="68"/>
        <v>543.32000000000005</v>
      </c>
      <c r="Z126" s="772">
        <f t="shared" si="68"/>
        <v>580.91999999999996</v>
      </c>
      <c r="AA126" s="772">
        <f t="shared" si="68"/>
        <v>606.81999999999994</v>
      </c>
      <c r="AB126" s="772">
        <f t="shared" si="68"/>
        <v>424.32</v>
      </c>
      <c r="AC126" s="772">
        <f t="shared" si="68"/>
        <v>394.08000000000004</v>
      </c>
      <c r="AD126" s="772">
        <f t="shared" si="68"/>
        <v>512.02</v>
      </c>
      <c r="AE126" s="772">
        <f t="shared" si="68"/>
        <v>540.41599999999994</v>
      </c>
      <c r="AF126" s="772">
        <f t="shared" si="68"/>
        <v>555.01999999999987</v>
      </c>
      <c r="AG126" s="733">
        <f t="shared" si="42"/>
        <v>0</v>
      </c>
      <c r="AH126" s="208">
        <f t="shared" si="43"/>
        <v>1527.152</v>
      </c>
      <c r="AI126" s="208">
        <f t="shared" si="44"/>
        <v>1719.3600000000001</v>
      </c>
      <c r="AJ126" s="208">
        <f t="shared" si="45"/>
        <v>1425.2199999999998</v>
      </c>
      <c r="AK126" s="208">
        <f t="shared" si="46"/>
        <v>1607.4559999999997</v>
      </c>
      <c r="AL126" s="208">
        <f t="shared" si="47"/>
        <v>6279.1880000000001</v>
      </c>
      <c r="AM126" s="680"/>
      <c r="AN126" s="774">
        <f>SUM(AN104:AN124)</f>
        <v>2.7423657910619013</v>
      </c>
      <c r="AO126" s="774">
        <f t="shared" ref="AO126:AY126" si="69">SUM(AO104:AO124)</f>
        <v>4.5533042928654393</v>
      </c>
      <c r="AP126" s="774">
        <f t="shared" si="69"/>
        <v>5.1995021724093711</v>
      </c>
      <c r="AQ126" s="774">
        <f t="shared" si="69"/>
        <v>4.9841063854486327</v>
      </c>
      <c r="AR126" s="774">
        <f t="shared" si="69"/>
        <v>4.469859600199567</v>
      </c>
      <c r="AS126" s="774">
        <f t="shared" si="69"/>
        <v>4.6308669176888921</v>
      </c>
      <c r="AT126" s="774">
        <f t="shared" si="69"/>
        <v>4.8560916533377601</v>
      </c>
      <c r="AU126" s="774">
        <f t="shared" si="69"/>
        <v>3.5301873427798265</v>
      </c>
      <c r="AV126" s="774">
        <f t="shared" si="69"/>
        <v>3.3745422732163428</v>
      </c>
      <c r="AW126" s="774">
        <f t="shared" si="69"/>
        <v>4.2746387329443829</v>
      </c>
      <c r="AX126" s="774">
        <f t="shared" si="69"/>
        <v>4.4481571032756664</v>
      </c>
      <c r="AY126" s="774">
        <f t="shared" si="69"/>
        <v>4.6483426871201354</v>
      </c>
      <c r="AZ126" s="733">
        <f t="shared" si="49"/>
        <v>0</v>
      </c>
      <c r="BA126" s="636">
        <f t="shared" si="50"/>
        <v>12.495172256336712</v>
      </c>
      <c r="BB126" s="636">
        <f t="shared" si="51"/>
        <v>14.084832903337091</v>
      </c>
      <c r="BC126" s="636">
        <f t="shared" si="52"/>
        <v>11.760821269333928</v>
      </c>
      <c r="BD126" s="636">
        <f t="shared" si="53"/>
        <v>13.371138523340186</v>
      </c>
      <c r="BE126" s="735">
        <f t="shared" si="54"/>
        <v>51.71196495234792</v>
      </c>
      <c r="BF126" s="680"/>
      <c r="BG126" s="680"/>
      <c r="BH126" s="680"/>
      <c r="BI126" s="680"/>
      <c r="BJ126" s="680"/>
      <c r="BK126" s="680"/>
      <c r="BL126" s="680"/>
      <c r="BM126" s="680"/>
      <c r="BN126" s="680"/>
    </row>
    <row r="127" spans="1:66" ht="12.95" customHeight="1">
      <c r="A127" s="779" t="s">
        <v>473</v>
      </c>
      <c r="B127" s="780" t="s">
        <v>474</v>
      </c>
      <c r="C127" s="750" t="s">
        <v>210</v>
      </c>
      <c r="D127" s="749" t="s">
        <v>211</v>
      </c>
      <c r="E127" s="738" t="s">
        <v>142</v>
      </c>
      <c r="F127" s="739">
        <v>0</v>
      </c>
      <c r="G127" s="739">
        <v>0</v>
      </c>
      <c r="H127" s="739">
        <v>0</v>
      </c>
      <c r="I127" s="740">
        <f t="shared" si="65"/>
        <v>0</v>
      </c>
      <c r="J127" s="739">
        <v>0</v>
      </c>
      <c r="K127" s="686"/>
      <c r="L127" s="781">
        <f>J127+K127</f>
        <v>0</v>
      </c>
      <c r="M127" s="740">
        <f t="shared" si="66"/>
        <v>0</v>
      </c>
      <c r="N127" s="739">
        <v>0</v>
      </c>
      <c r="O127" s="740">
        <f t="shared" si="67"/>
        <v>0</v>
      </c>
      <c r="P127" s="739">
        <v>0</v>
      </c>
      <c r="Q127" s="741"/>
      <c r="R127" s="742">
        <f t="shared" si="41"/>
        <v>0</v>
      </c>
      <c r="S127" s="742"/>
      <c r="T127" s="742"/>
      <c r="U127" s="743"/>
      <c r="V127" s="743"/>
      <c r="W127" s="743"/>
      <c r="X127" s="743"/>
      <c r="Y127" s="743"/>
      <c r="Z127" s="743"/>
      <c r="AA127" s="743"/>
      <c r="AB127" s="743"/>
      <c r="AC127" s="743"/>
      <c r="AD127" s="744"/>
      <c r="AE127" s="744"/>
      <c r="AF127" s="745"/>
      <c r="AG127" s="733">
        <f t="shared" si="42"/>
        <v>0</v>
      </c>
      <c r="AH127" s="208">
        <f t="shared" si="43"/>
        <v>0</v>
      </c>
      <c r="AI127" s="208">
        <f t="shared" si="44"/>
        <v>0</v>
      </c>
      <c r="AJ127" s="208">
        <f t="shared" si="45"/>
        <v>0</v>
      </c>
      <c r="AK127" s="208">
        <f t="shared" si="46"/>
        <v>0</v>
      </c>
      <c r="AL127" s="208">
        <f t="shared" si="47"/>
        <v>0</v>
      </c>
      <c r="AM127" s="680"/>
      <c r="AN127" s="746">
        <f t="shared" si="64"/>
        <v>0</v>
      </c>
      <c r="AO127" s="746">
        <f t="shared" si="64"/>
        <v>0</v>
      </c>
      <c r="AP127" s="746">
        <f t="shared" si="64"/>
        <v>0</v>
      </c>
      <c r="AQ127" s="746">
        <f t="shared" si="64"/>
        <v>0</v>
      </c>
      <c r="AR127" s="746">
        <f t="shared" si="64"/>
        <v>0</v>
      </c>
      <c r="AS127" s="746">
        <f t="shared" si="64"/>
        <v>0</v>
      </c>
      <c r="AT127" s="746">
        <f t="shared" si="64"/>
        <v>0</v>
      </c>
      <c r="AU127" s="746">
        <f t="shared" si="64"/>
        <v>0</v>
      </c>
      <c r="AV127" s="746">
        <f t="shared" si="64"/>
        <v>0</v>
      </c>
      <c r="AW127" s="746">
        <f t="shared" si="64"/>
        <v>0</v>
      </c>
      <c r="AX127" s="746">
        <f t="shared" si="64"/>
        <v>0</v>
      </c>
      <c r="AY127" s="746">
        <f t="shared" si="64"/>
        <v>0</v>
      </c>
      <c r="AZ127" s="733">
        <f t="shared" si="49"/>
        <v>0</v>
      </c>
      <c r="BA127" s="636">
        <f t="shared" si="50"/>
        <v>0</v>
      </c>
      <c r="BB127" s="636">
        <f t="shared" si="51"/>
        <v>0</v>
      </c>
      <c r="BC127" s="636">
        <f t="shared" si="52"/>
        <v>0</v>
      </c>
      <c r="BD127" s="636">
        <f t="shared" si="53"/>
        <v>0</v>
      </c>
      <c r="BE127" s="735">
        <f t="shared" si="54"/>
        <v>0</v>
      </c>
      <c r="BF127" s="680"/>
      <c r="BG127" s="680"/>
      <c r="BH127" s="680"/>
      <c r="BI127" s="680"/>
      <c r="BJ127" s="680"/>
      <c r="BK127" s="680"/>
      <c r="BL127" s="680"/>
      <c r="BM127" s="680"/>
      <c r="BN127" s="680"/>
    </row>
    <row r="128" spans="1:66" ht="12.75">
      <c r="A128" s="779" t="s">
        <v>475</v>
      </c>
      <c r="B128" s="780" t="s">
        <v>474</v>
      </c>
      <c r="C128" s="750" t="s">
        <v>49</v>
      </c>
      <c r="D128" s="748" t="s">
        <v>476</v>
      </c>
      <c r="E128" s="738" t="s">
        <v>140</v>
      </c>
      <c r="F128" s="739">
        <v>0</v>
      </c>
      <c r="G128" s="739">
        <v>0</v>
      </c>
      <c r="H128" s="739">
        <v>0</v>
      </c>
      <c r="I128" s="740">
        <f t="shared" si="65"/>
        <v>0</v>
      </c>
      <c r="J128" s="739">
        <v>0</v>
      </c>
      <c r="K128" s="686"/>
      <c r="L128" s="739">
        <f>J128+K128</f>
        <v>0</v>
      </c>
      <c r="M128" s="740">
        <f t="shared" si="66"/>
        <v>0</v>
      </c>
      <c r="N128" s="739">
        <v>0</v>
      </c>
      <c r="O128" s="740">
        <f t="shared" si="67"/>
        <v>0</v>
      </c>
      <c r="P128" s="739">
        <v>0</v>
      </c>
      <c r="Q128" s="741"/>
      <c r="R128" s="742">
        <f t="shared" si="41"/>
        <v>0</v>
      </c>
      <c r="S128" s="742"/>
      <c r="T128" s="742"/>
      <c r="U128" s="743"/>
      <c r="V128" s="743"/>
      <c r="W128" s="743"/>
      <c r="X128" s="743"/>
      <c r="Y128" s="743"/>
      <c r="Z128" s="743"/>
      <c r="AA128" s="743"/>
      <c r="AB128" s="743"/>
      <c r="AC128" s="743"/>
      <c r="AD128" s="744"/>
      <c r="AE128" s="744"/>
      <c r="AF128" s="745"/>
      <c r="AG128" s="733">
        <f t="shared" si="42"/>
        <v>0</v>
      </c>
      <c r="AH128" s="208">
        <f t="shared" si="43"/>
        <v>0</v>
      </c>
      <c r="AI128" s="208">
        <f t="shared" si="44"/>
        <v>0</v>
      </c>
      <c r="AJ128" s="208">
        <f t="shared" si="45"/>
        <v>0</v>
      </c>
      <c r="AK128" s="208">
        <f t="shared" si="46"/>
        <v>0</v>
      </c>
      <c r="AL128" s="208">
        <f t="shared" si="47"/>
        <v>0</v>
      </c>
      <c r="AM128" s="680"/>
      <c r="AN128" s="746">
        <f t="shared" si="64"/>
        <v>0</v>
      </c>
      <c r="AO128" s="746">
        <f t="shared" si="64"/>
        <v>0</v>
      </c>
      <c r="AP128" s="746">
        <f t="shared" si="64"/>
        <v>0</v>
      </c>
      <c r="AQ128" s="746">
        <f t="shared" si="64"/>
        <v>0</v>
      </c>
      <c r="AR128" s="746">
        <f t="shared" si="64"/>
        <v>0</v>
      </c>
      <c r="AS128" s="746">
        <f t="shared" si="64"/>
        <v>0</v>
      </c>
      <c r="AT128" s="746">
        <f t="shared" si="64"/>
        <v>0</v>
      </c>
      <c r="AU128" s="746">
        <f t="shared" si="64"/>
        <v>0</v>
      </c>
      <c r="AV128" s="746">
        <f t="shared" si="64"/>
        <v>0</v>
      </c>
      <c r="AW128" s="746">
        <f t="shared" si="64"/>
        <v>0</v>
      </c>
      <c r="AX128" s="746">
        <f t="shared" si="64"/>
        <v>0</v>
      </c>
      <c r="AY128" s="746">
        <f t="shared" si="64"/>
        <v>0</v>
      </c>
      <c r="AZ128" s="733">
        <f t="shared" si="49"/>
        <v>0</v>
      </c>
      <c r="BA128" s="636">
        <f t="shared" si="50"/>
        <v>0</v>
      </c>
      <c r="BB128" s="636">
        <f t="shared" si="51"/>
        <v>0</v>
      </c>
      <c r="BC128" s="636">
        <f t="shared" si="52"/>
        <v>0</v>
      </c>
      <c r="BD128" s="636">
        <f t="shared" si="53"/>
        <v>0</v>
      </c>
      <c r="BE128" s="735">
        <f t="shared" si="54"/>
        <v>0</v>
      </c>
      <c r="BF128" s="680"/>
      <c r="BG128" s="680"/>
      <c r="BH128" s="680"/>
      <c r="BI128" s="680"/>
      <c r="BJ128" s="680"/>
      <c r="BK128" s="680"/>
      <c r="BL128" s="680"/>
      <c r="BM128" s="680"/>
      <c r="BN128" s="680"/>
    </row>
    <row r="129" spans="1:66" ht="12.95" customHeight="1">
      <c r="A129" s="779" t="s">
        <v>477</v>
      </c>
      <c r="B129" s="780" t="s">
        <v>474</v>
      </c>
      <c r="C129" s="752" t="s">
        <v>49</v>
      </c>
      <c r="D129" s="782" t="s">
        <v>476</v>
      </c>
      <c r="E129" s="738" t="s">
        <v>144</v>
      </c>
      <c r="F129" s="739">
        <v>0</v>
      </c>
      <c r="G129" s="739">
        <v>0</v>
      </c>
      <c r="H129" s="739">
        <v>0</v>
      </c>
      <c r="I129" s="740">
        <f t="shared" si="65"/>
        <v>0</v>
      </c>
      <c r="J129" s="739">
        <v>0</v>
      </c>
      <c r="K129" s="686"/>
      <c r="L129" s="739">
        <f>J129+K129</f>
        <v>0</v>
      </c>
      <c r="M129" s="740">
        <f t="shared" si="66"/>
        <v>0</v>
      </c>
      <c r="N129" s="739">
        <f>SUM(U129:AF129)</f>
        <v>0</v>
      </c>
      <c r="O129" s="740">
        <f t="shared" si="67"/>
        <v>0</v>
      </c>
      <c r="P129" s="739">
        <v>0</v>
      </c>
      <c r="Q129" s="741"/>
      <c r="R129" s="742">
        <f t="shared" si="41"/>
        <v>0</v>
      </c>
      <c r="S129" s="742"/>
      <c r="T129" s="742"/>
      <c r="U129" s="743"/>
      <c r="V129" s="743"/>
      <c r="W129" s="743"/>
      <c r="X129" s="743"/>
      <c r="Y129" s="743"/>
      <c r="Z129" s="743"/>
      <c r="AA129" s="743"/>
      <c r="AB129" s="743"/>
      <c r="AC129" s="743"/>
      <c r="AD129" s="744"/>
      <c r="AE129" s="744"/>
      <c r="AF129" s="745"/>
      <c r="AG129" s="733">
        <f t="shared" si="42"/>
        <v>0</v>
      </c>
      <c r="AH129" s="208">
        <f t="shared" si="43"/>
        <v>0</v>
      </c>
      <c r="AI129" s="208">
        <f t="shared" si="44"/>
        <v>0</v>
      </c>
      <c r="AJ129" s="208">
        <f t="shared" si="45"/>
        <v>0</v>
      </c>
      <c r="AK129" s="208">
        <f t="shared" si="46"/>
        <v>0</v>
      </c>
      <c r="AL129" s="208">
        <f t="shared" si="47"/>
        <v>0</v>
      </c>
      <c r="AM129" s="680"/>
      <c r="AN129" s="746">
        <f t="shared" si="64"/>
        <v>0</v>
      </c>
      <c r="AO129" s="746">
        <f t="shared" si="64"/>
        <v>0</v>
      </c>
      <c r="AP129" s="746">
        <f t="shared" si="64"/>
        <v>0</v>
      </c>
      <c r="AQ129" s="746">
        <f t="shared" si="64"/>
        <v>0</v>
      </c>
      <c r="AR129" s="746">
        <f t="shared" si="64"/>
        <v>0</v>
      </c>
      <c r="AS129" s="746">
        <f t="shared" si="64"/>
        <v>0</v>
      </c>
      <c r="AT129" s="746">
        <f t="shared" si="64"/>
        <v>0</v>
      </c>
      <c r="AU129" s="746">
        <f t="shared" si="64"/>
        <v>0</v>
      </c>
      <c r="AV129" s="746">
        <f t="shared" si="64"/>
        <v>0</v>
      </c>
      <c r="AW129" s="746">
        <f t="shared" si="64"/>
        <v>0</v>
      </c>
      <c r="AX129" s="746">
        <f t="shared" si="64"/>
        <v>0</v>
      </c>
      <c r="AY129" s="746">
        <f t="shared" si="64"/>
        <v>0</v>
      </c>
      <c r="AZ129" s="733">
        <f t="shared" si="49"/>
        <v>0</v>
      </c>
      <c r="BA129" s="636">
        <f t="shared" si="50"/>
        <v>0</v>
      </c>
      <c r="BB129" s="636">
        <f t="shared" si="51"/>
        <v>0</v>
      </c>
      <c r="BC129" s="636">
        <f t="shared" si="52"/>
        <v>0</v>
      </c>
      <c r="BD129" s="636">
        <f t="shared" si="53"/>
        <v>0</v>
      </c>
      <c r="BE129" s="735">
        <f t="shared" si="54"/>
        <v>0</v>
      </c>
      <c r="BF129" s="680"/>
      <c r="BG129" s="680"/>
      <c r="BH129" s="680"/>
      <c r="BI129" s="680"/>
      <c r="BJ129" s="680"/>
      <c r="BK129" s="680"/>
      <c r="BL129" s="680"/>
      <c r="BM129" s="680"/>
      <c r="BN129" s="680"/>
    </row>
    <row r="130" spans="1:66" ht="12.95" customHeight="1">
      <c r="A130" s="779" t="s">
        <v>478</v>
      </c>
      <c r="B130" s="780" t="s">
        <v>474</v>
      </c>
      <c r="C130" s="783" t="s">
        <v>49</v>
      </c>
      <c r="D130" s="784" t="s">
        <v>476</v>
      </c>
      <c r="E130" s="785" t="s">
        <v>479</v>
      </c>
      <c r="F130" s="739">
        <v>0</v>
      </c>
      <c r="G130" s="739">
        <v>0</v>
      </c>
      <c r="H130" s="739">
        <v>0</v>
      </c>
      <c r="I130" s="740">
        <f t="shared" si="65"/>
        <v>0</v>
      </c>
      <c r="J130" s="739">
        <v>0</v>
      </c>
      <c r="K130" s="686"/>
      <c r="L130" s="739">
        <f>J130+K130</f>
        <v>0</v>
      </c>
      <c r="M130" s="740">
        <f t="shared" si="66"/>
        <v>0</v>
      </c>
      <c r="N130" s="739"/>
      <c r="O130" s="740">
        <f t="shared" si="67"/>
        <v>0</v>
      </c>
      <c r="P130" s="739">
        <v>0</v>
      </c>
      <c r="Q130" s="741"/>
      <c r="R130" s="742">
        <f t="shared" si="41"/>
        <v>0</v>
      </c>
      <c r="S130" s="742"/>
      <c r="T130" s="742"/>
      <c r="U130" s="743"/>
      <c r="V130" s="743"/>
      <c r="W130" s="743"/>
      <c r="X130" s="743"/>
      <c r="Y130" s="743"/>
      <c r="Z130" s="743"/>
      <c r="AA130" s="743"/>
      <c r="AB130" s="743"/>
      <c r="AC130" s="743"/>
      <c r="AD130" s="744"/>
      <c r="AE130" s="744"/>
      <c r="AF130" s="745"/>
      <c r="AG130" s="733">
        <f t="shared" si="42"/>
        <v>0</v>
      </c>
      <c r="AH130" s="208">
        <f t="shared" si="43"/>
        <v>0</v>
      </c>
      <c r="AI130" s="208">
        <f t="shared" si="44"/>
        <v>0</v>
      </c>
      <c r="AJ130" s="208">
        <f t="shared" si="45"/>
        <v>0</v>
      </c>
      <c r="AK130" s="208">
        <f t="shared" si="46"/>
        <v>0</v>
      </c>
      <c r="AL130" s="208">
        <f t="shared" si="47"/>
        <v>0</v>
      </c>
      <c r="AM130" s="680"/>
      <c r="AN130" s="746">
        <f t="shared" si="64"/>
        <v>0</v>
      </c>
      <c r="AO130" s="746">
        <f t="shared" si="64"/>
        <v>0</v>
      </c>
      <c r="AP130" s="746">
        <f t="shared" si="64"/>
        <v>0</v>
      </c>
      <c r="AQ130" s="746">
        <f t="shared" si="64"/>
        <v>0</v>
      </c>
      <c r="AR130" s="746">
        <f t="shared" si="64"/>
        <v>0</v>
      </c>
      <c r="AS130" s="746">
        <f t="shared" si="64"/>
        <v>0</v>
      </c>
      <c r="AT130" s="746">
        <f t="shared" si="64"/>
        <v>0</v>
      </c>
      <c r="AU130" s="746">
        <f t="shared" si="64"/>
        <v>0</v>
      </c>
      <c r="AV130" s="746">
        <f t="shared" si="64"/>
        <v>0</v>
      </c>
      <c r="AW130" s="746">
        <f t="shared" si="64"/>
        <v>0</v>
      </c>
      <c r="AX130" s="746">
        <f t="shared" si="64"/>
        <v>0</v>
      </c>
      <c r="AY130" s="746">
        <f t="shared" si="64"/>
        <v>0</v>
      </c>
      <c r="AZ130" s="733">
        <f t="shared" si="49"/>
        <v>0</v>
      </c>
      <c r="BA130" s="636">
        <f t="shared" si="50"/>
        <v>0</v>
      </c>
      <c r="BB130" s="636">
        <f t="shared" si="51"/>
        <v>0</v>
      </c>
      <c r="BC130" s="636">
        <f t="shared" si="52"/>
        <v>0</v>
      </c>
      <c r="BD130" s="636">
        <f t="shared" si="53"/>
        <v>0</v>
      </c>
      <c r="BE130" s="735">
        <f t="shared" si="54"/>
        <v>0</v>
      </c>
      <c r="BF130" s="680"/>
      <c r="BG130" s="680"/>
      <c r="BH130" s="680"/>
      <c r="BI130" s="680"/>
      <c r="BJ130" s="680"/>
      <c r="BK130" s="680"/>
      <c r="BL130" s="680"/>
      <c r="BM130" s="680"/>
      <c r="BN130" s="680"/>
    </row>
    <row r="131" spans="1:66" ht="12.95" customHeight="1">
      <c r="A131" s="779" t="s">
        <v>480</v>
      </c>
      <c r="B131" s="780" t="s">
        <v>474</v>
      </c>
      <c r="C131" s="753" t="s">
        <v>49</v>
      </c>
      <c r="D131" s="786" t="s">
        <v>476</v>
      </c>
      <c r="E131" s="767" t="s">
        <v>182</v>
      </c>
      <c r="F131" s="739">
        <v>0</v>
      </c>
      <c r="G131" s="739">
        <v>0</v>
      </c>
      <c r="H131" s="739">
        <v>0</v>
      </c>
      <c r="I131" s="740">
        <f t="shared" si="65"/>
        <v>0</v>
      </c>
      <c r="J131" s="739">
        <v>0</v>
      </c>
      <c r="K131" s="686"/>
      <c r="L131" s="739">
        <f>J131+K131</f>
        <v>0</v>
      </c>
      <c r="M131" s="740">
        <f t="shared" si="66"/>
        <v>0</v>
      </c>
      <c r="N131" s="739">
        <v>0</v>
      </c>
      <c r="O131" s="740">
        <f t="shared" si="67"/>
        <v>0</v>
      </c>
      <c r="P131" s="739">
        <v>0</v>
      </c>
      <c r="Q131" s="741"/>
      <c r="R131" s="742">
        <f t="shared" si="41"/>
        <v>0</v>
      </c>
      <c r="S131" s="742"/>
      <c r="T131" s="742"/>
      <c r="U131" s="743"/>
      <c r="V131" s="743"/>
      <c r="W131" s="743"/>
      <c r="X131" s="743"/>
      <c r="Y131" s="743"/>
      <c r="Z131" s="743"/>
      <c r="AA131" s="743"/>
      <c r="AB131" s="743"/>
      <c r="AC131" s="743"/>
      <c r="AD131" s="744"/>
      <c r="AE131" s="744"/>
      <c r="AF131" s="745"/>
      <c r="AG131" s="733">
        <f t="shared" si="42"/>
        <v>0</v>
      </c>
      <c r="AH131" s="208">
        <f t="shared" si="43"/>
        <v>0</v>
      </c>
      <c r="AI131" s="208">
        <f t="shared" si="44"/>
        <v>0</v>
      </c>
      <c r="AJ131" s="208">
        <f t="shared" si="45"/>
        <v>0</v>
      </c>
      <c r="AK131" s="208">
        <f t="shared" si="46"/>
        <v>0</v>
      </c>
      <c r="AL131" s="208">
        <f t="shared" si="47"/>
        <v>0</v>
      </c>
      <c r="AM131" s="680"/>
      <c r="AN131" s="746">
        <f t="shared" si="64"/>
        <v>0</v>
      </c>
      <c r="AO131" s="746">
        <f t="shared" si="64"/>
        <v>0</v>
      </c>
      <c r="AP131" s="746">
        <f t="shared" si="64"/>
        <v>0</v>
      </c>
      <c r="AQ131" s="746">
        <f t="shared" si="64"/>
        <v>0</v>
      </c>
      <c r="AR131" s="746">
        <f t="shared" si="64"/>
        <v>0</v>
      </c>
      <c r="AS131" s="746">
        <f t="shared" si="64"/>
        <v>0</v>
      </c>
      <c r="AT131" s="746">
        <f t="shared" si="64"/>
        <v>0</v>
      </c>
      <c r="AU131" s="746">
        <f t="shared" si="64"/>
        <v>0</v>
      </c>
      <c r="AV131" s="746">
        <f t="shared" si="64"/>
        <v>0</v>
      </c>
      <c r="AW131" s="746">
        <f t="shared" si="64"/>
        <v>0</v>
      </c>
      <c r="AX131" s="746">
        <f t="shared" si="64"/>
        <v>0</v>
      </c>
      <c r="AY131" s="746">
        <f t="shared" si="64"/>
        <v>0</v>
      </c>
      <c r="AZ131" s="733">
        <f t="shared" si="49"/>
        <v>0</v>
      </c>
      <c r="BA131" s="636">
        <f t="shared" si="50"/>
        <v>0</v>
      </c>
      <c r="BB131" s="636">
        <f t="shared" si="51"/>
        <v>0</v>
      </c>
      <c r="BC131" s="636">
        <f t="shared" si="52"/>
        <v>0</v>
      </c>
      <c r="BD131" s="636">
        <f t="shared" si="53"/>
        <v>0</v>
      </c>
      <c r="BE131" s="735">
        <f t="shared" si="54"/>
        <v>0</v>
      </c>
      <c r="BF131" s="680"/>
      <c r="BG131" s="680"/>
      <c r="BH131" s="680"/>
      <c r="BI131" s="680"/>
      <c r="BJ131" s="680"/>
      <c r="BK131" s="680"/>
      <c r="BL131" s="680"/>
      <c r="BM131" s="680"/>
      <c r="BN131" s="680"/>
    </row>
    <row r="132" spans="1:66" s="708" customFormat="1" ht="12.95" customHeight="1">
      <c r="A132" s="770"/>
      <c r="B132" s="771"/>
      <c r="C132" s="1098" t="s">
        <v>481</v>
      </c>
      <c r="D132" s="1099"/>
      <c r="E132" s="1100"/>
      <c r="F132" s="772">
        <f>SUM(F127:F131)</f>
        <v>0</v>
      </c>
      <c r="G132" s="772">
        <f>SUM(G127:G131)</f>
        <v>0</v>
      </c>
      <c r="H132" s="772">
        <f>SUM(H127:H131)</f>
        <v>0</v>
      </c>
      <c r="I132" s="773">
        <f t="shared" si="65"/>
        <v>0</v>
      </c>
      <c r="J132" s="772">
        <f>SUM(J127:J131)</f>
        <v>0</v>
      </c>
      <c r="K132" s="772">
        <f>SUM(K127:K131)</f>
        <v>0</v>
      </c>
      <c r="L132" s="772">
        <f>SUM(L127:L131)</f>
        <v>0</v>
      </c>
      <c r="M132" s="773">
        <f t="shared" si="66"/>
        <v>0</v>
      </c>
      <c r="N132" s="772">
        <f>SUM(N127:N131)</f>
        <v>0</v>
      </c>
      <c r="O132" s="773">
        <f t="shared" si="67"/>
        <v>0</v>
      </c>
      <c r="P132" s="772">
        <v>0</v>
      </c>
      <c r="Q132" s="741"/>
      <c r="R132" s="774">
        <f>SUM(R127:R131)</f>
        <v>0</v>
      </c>
      <c r="S132" s="742"/>
      <c r="T132" s="742"/>
      <c r="U132" s="772"/>
      <c r="V132" s="772"/>
      <c r="W132" s="772"/>
      <c r="X132" s="772"/>
      <c r="Y132" s="772"/>
      <c r="Z132" s="772"/>
      <c r="AA132" s="772"/>
      <c r="AB132" s="772"/>
      <c r="AC132" s="772"/>
      <c r="AD132" s="772"/>
      <c r="AE132" s="772"/>
      <c r="AF132" s="775"/>
      <c r="AG132" s="733">
        <f t="shared" si="42"/>
        <v>0</v>
      </c>
      <c r="AH132" s="208">
        <f t="shared" si="43"/>
        <v>0</v>
      </c>
      <c r="AI132" s="208">
        <f t="shared" si="44"/>
        <v>0</v>
      </c>
      <c r="AJ132" s="208">
        <f t="shared" si="45"/>
        <v>0</v>
      </c>
      <c r="AK132" s="208">
        <f t="shared" si="46"/>
        <v>0</v>
      </c>
      <c r="AL132" s="208">
        <f t="shared" si="47"/>
        <v>0</v>
      </c>
      <c r="AM132" s="707"/>
      <c r="AN132" s="774"/>
      <c r="AO132" s="774"/>
      <c r="AP132" s="774"/>
      <c r="AQ132" s="774"/>
      <c r="AR132" s="774"/>
      <c r="AS132" s="774"/>
      <c r="AT132" s="774"/>
      <c r="AU132" s="774"/>
      <c r="AV132" s="774"/>
      <c r="AW132" s="774"/>
      <c r="AX132" s="774"/>
      <c r="AY132" s="774"/>
      <c r="AZ132" s="733">
        <f t="shared" si="49"/>
        <v>0</v>
      </c>
      <c r="BA132" s="636">
        <f t="shared" si="50"/>
        <v>0</v>
      </c>
      <c r="BB132" s="636">
        <f t="shared" si="51"/>
        <v>0</v>
      </c>
      <c r="BC132" s="636">
        <f t="shared" si="52"/>
        <v>0</v>
      </c>
      <c r="BD132" s="636">
        <f t="shared" si="53"/>
        <v>0</v>
      </c>
      <c r="BE132" s="735">
        <f t="shared" si="54"/>
        <v>0</v>
      </c>
      <c r="BF132" s="707"/>
      <c r="BG132" s="707"/>
      <c r="BH132" s="707"/>
      <c r="BI132" s="707"/>
      <c r="BJ132" s="707"/>
      <c r="BK132" s="707"/>
      <c r="BL132" s="707"/>
      <c r="BM132" s="707"/>
      <c r="BN132" s="707"/>
    </row>
    <row r="133" spans="1:66" s="708" customFormat="1" ht="12.95" customHeight="1">
      <c r="A133" s="787" t="s">
        <v>224</v>
      </c>
      <c r="B133" s="788" t="s">
        <v>225</v>
      </c>
      <c r="C133" s="789" t="s">
        <v>216</v>
      </c>
      <c r="D133" s="790" t="s">
        <v>482</v>
      </c>
      <c r="E133" s="738" t="s">
        <v>144</v>
      </c>
      <c r="F133" s="739">
        <v>8.4960000000000004</v>
      </c>
      <c r="G133" s="739">
        <v>14.789</v>
      </c>
      <c r="H133" s="739">
        <v>9.7070000000000007</v>
      </c>
      <c r="I133" s="740">
        <f t="shared" si="65"/>
        <v>-0.34363378186489951</v>
      </c>
      <c r="J133" s="739">
        <v>7.5919999999999996</v>
      </c>
      <c r="K133" s="686"/>
      <c r="L133" s="739">
        <f>J133+K133</f>
        <v>7.5919999999999996</v>
      </c>
      <c r="M133" s="740">
        <f t="shared" si="66"/>
        <v>-0.21788400123622137</v>
      </c>
      <c r="N133" s="739">
        <v>0</v>
      </c>
      <c r="O133" s="740">
        <f t="shared" si="67"/>
        <v>-1</v>
      </c>
      <c r="P133" s="739">
        <v>0</v>
      </c>
      <c r="Q133" s="741"/>
      <c r="R133" s="742">
        <f t="shared" si="41"/>
        <v>0</v>
      </c>
      <c r="S133" s="742"/>
      <c r="T133" s="742"/>
      <c r="U133" s="743"/>
      <c r="V133" s="743"/>
      <c r="W133" s="743"/>
      <c r="X133" s="743"/>
      <c r="Y133" s="743"/>
      <c r="Z133" s="743"/>
      <c r="AA133" s="743"/>
      <c r="AB133" s="743"/>
      <c r="AC133" s="743"/>
      <c r="AD133" s="744"/>
      <c r="AE133" s="744"/>
      <c r="AF133" s="745"/>
      <c r="AG133" s="733">
        <f t="shared" si="42"/>
        <v>0</v>
      </c>
      <c r="AH133" s="208">
        <f t="shared" si="43"/>
        <v>0</v>
      </c>
      <c r="AI133" s="208">
        <f t="shared" si="44"/>
        <v>0</v>
      </c>
      <c r="AJ133" s="208">
        <f t="shared" si="45"/>
        <v>0</v>
      </c>
      <c r="AK133" s="208">
        <f t="shared" si="46"/>
        <v>0</v>
      </c>
      <c r="AL133" s="208">
        <f t="shared" si="47"/>
        <v>0</v>
      </c>
      <c r="AM133" s="707"/>
      <c r="AN133" s="746">
        <f t="shared" si="64"/>
        <v>0</v>
      </c>
      <c r="AO133" s="746">
        <f t="shared" si="64"/>
        <v>0</v>
      </c>
      <c r="AP133" s="746">
        <f t="shared" si="64"/>
        <v>0</v>
      </c>
      <c r="AQ133" s="746">
        <f t="shared" si="64"/>
        <v>0</v>
      </c>
      <c r="AR133" s="746">
        <f t="shared" si="64"/>
        <v>0</v>
      </c>
      <c r="AS133" s="746">
        <f t="shared" si="64"/>
        <v>0</v>
      </c>
      <c r="AT133" s="746">
        <f t="shared" si="64"/>
        <v>0</v>
      </c>
      <c r="AU133" s="746">
        <f t="shared" si="64"/>
        <v>0</v>
      </c>
      <c r="AV133" s="746">
        <f t="shared" si="64"/>
        <v>0</v>
      </c>
      <c r="AW133" s="746">
        <f t="shared" si="64"/>
        <v>0</v>
      </c>
      <c r="AX133" s="746">
        <f t="shared" si="64"/>
        <v>0</v>
      </c>
      <c r="AY133" s="746">
        <f t="shared" si="64"/>
        <v>0</v>
      </c>
      <c r="AZ133" s="733">
        <f t="shared" si="49"/>
        <v>0</v>
      </c>
      <c r="BA133" s="636">
        <f t="shared" si="50"/>
        <v>0</v>
      </c>
      <c r="BB133" s="636">
        <f t="shared" si="51"/>
        <v>0</v>
      </c>
      <c r="BC133" s="636">
        <f t="shared" si="52"/>
        <v>0</v>
      </c>
      <c r="BD133" s="636">
        <f t="shared" si="53"/>
        <v>0</v>
      </c>
      <c r="BE133" s="735">
        <f t="shared" si="54"/>
        <v>0</v>
      </c>
      <c r="BF133" s="707"/>
      <c r="BG133" s="707"/>
      <c r="BH133" s="707"/>
      <c r="BI133" s="707"/>
      <c r="BJ133" s="707"/>
      <c r="BK133" s="707"/>
      <c r="BL133" s="707"/>
      <c r="BM133" s="707"/>
      <c r="BN133" s="707"/>
    </row>
    <row r="134" spans="1:66" s="708" customFormat="1" ht="12.95" customHeight="1">
      <c r="A134" s="787" t="s">
        <v>227</v>
      </c>
      <c r="B134" s="788" t="s">
        <v>225</v>
      </c>
      <c r="C134" s="791" t="s">
        <v>216</v>
      </c>
      <c r="D134" s="792" t="s">
        <v>482</v>
      </c>
      <c r="E134" s="767" t="s">
        <v>182</v>
      </c>
      <c r="F134" s="739">
        <v>161.77500000000003</v>
      </c>
      <c r="G134" s="739">
        <v>69.914999999999992</v>
      </c>
      <c r="H134" s="739">
        <v>174.96199999999999</v>
      </c>
      <c r="I134" s="740">
        <f t="shared" si="65"/>
        <v>1.5024958878638348</v>
      </c>
      <c r="J134" s="739">
        <v>45.39</v>
      </c>
      <c r="K134" s="686"/>
      <c r="L134" s="739">
        <f>J134+K134</f>
        <v>45.39</v>
      </c>
      <c r="M134" s="740">
        <f t="shared" si="66"/>
        <v>-0.74057223854322662</v>
      </c>
      <c r="N134" s="739">
        <v>0</v>
      </c>
      <c r="O134" s="740">
        <f t="shared" si="67"/>
        <v>-1</v>
      </c>
      <c r="P134" s="739">
        <v>0</v>
      </c>
      <c r="Q134" s="741"/>
      <c r="R134" s="742">
        <f t="shared" si="41"/>
        <v>0</v>
      </c>
      <c r="S134" s="742"/>
      <c r="T134" s="742"/>
      <c r="U134" s="743"/>
      <c r="V134" s="743"/>
      <c r="W134" s="743"/>
      <c r="X134" s="743"/>
      <c r="Y134" s="743"/>
      <c r="Z134" s="743"/>
      <c r="AA134" s="743"/>
      <c r="AB134" s="743"/>
      <c r="AC134" s="743"/>
      <c r="AD134" s="744"/>
      <c r="AE134" s="744"/>
      <c r="AF134" s="745"/>
      <c r="AG134" s="733">
        <f t="shared" si="42"/>
        <v>0</v>
      </c>
      <c r="AH134" s="208">
        <f t="shared" si="43"/>
        <v>0</v>
      </c>
      <c r="AI134" s="208">
        <f t="shared" si="44"/>
        <v>0</v>
      </c>
      <c r="AJ134" s="208">
        <f t="shared" si="45"/>
        <v>0</v>
      </c>
      <c r="AK134" s="208">
        <f t="shared" si="46"/>
        <v>0</v>
      </c>
      <c r="AL134" s="208">
        <f t="shared" si="47"/>
        <v>0</v>
      </c>
      <c r="AM134" s="707"/>
      <c r="AN134" s="746">
        <f t="shared" si="64"/>
        <v>0</v>
      </c>
      <c r="AO134" s="746">
        <f t="shared" si="64"/>
        <v>0</v>
      </c>
      <c r="AP134" s="746">
        <f t="shared" si="64"/>
        <v>0</v>
      </c>
      <c r="AQ134" s="746">
        <f t="shared" si="64"/>
        <v>0</v>
      </c>
      <c r="AR134" s="746">
        <f t="shared" si="64"/>
        <v>0</v>
      </c>
      <c r="AS134" s="746">
        <f t="shared" si="64"/>
        <v>0</v>
      </c>
      <c r="AT134" s="746">
        <f t="shared" si="64"/>
        <v>0</v>
      </c>
      <c r="AU134" s="746">
        <f t="shared" si="64"/>
        <v>0</v>
      </c>
      <c r="AV134" s="746">
        <f t="shared" si="64"/>
        <v>0</v>
      </c>
      <c r="AW134" s="746">
        <f t="shared" si="64"/>
        <v>0</v>
      </c>
      <c r="AX134" s="746">
        <f t="shared" si="64"/>
        <v>0</v>
      </c>
      <c r="AY134" s="746">
        <f t="shared" si="64"/>
        <v>0</v>
      </c>
      <c r="AZ134" s="733">
        <f t="shared" si="49"/>
        <v>0</v>
      </c>
      <c r="BA134" s="636">
        <f t="shared" si="50"/>
        <v>0</v>
      </c>
      <c r="BB134" s="636">
        <f t="shared" si="51"/>
        <v>0</v>
      </c>
      <c r="BC134" s="636">
        <f t="shared" si="52"/>
        <v>0</v>
      </c>
      <c r="BD134" s="636">
        <f t="shared" si="53"/>
        <v>0</v>
      </c>
      <c r="BE134" s="735">
        <f t="shared" si="54"/>
        <v>0</v>
      </c>
      <c r="BF134" s="707"/>
      <c r="BG134" s="707"/>
      <c r="BH134" s="707"/>
      <c r="BI134" s="707"/>
      <c r="BJ134" s="707"/>
      <c r="BK134" s="707"/>
      <c r="BL134" s="707"/>
      <c r="BM134" s="707"/>
      <c r="BN134" s="707"/>
    </row>
    <row r="135" spans="1:66" ht="12.95" customHeight="1">
      <c r="A135" s="787" t="s">
        <v>228</v>
      </c>
      <c r="B135" s="788" t="s">
        <v>225</v>
      </c>
      <c r="C135" s="793" t="s">
        <v>216</v>
      </c>
      <c r="D135" s="794" t="s">
        <v>482</v>
      </c>
      <c r="E135" s="795" t="s">
        <v>168</v>
      </c>
      <c r="F135" s="739">
        <v>286.92060000000004</v>
      </c>
      <c r="G135" s="739">
        <v>192.10999999999999</v>
      </c>
      <c r="H135" s="739">
        <v>364.274</v>
      </c>
      <c r="I135" s="740">
        <f t="shared" si="65"/>
        <v>0.89617406694081536</v>
      </c>
      <c r="J135" s="739">
        <v>166.267</v>
      </c>
      <c r="K135" s="686"/>
      <c r="L135" s="739">
        <f>J135+K135</f>
        <v>166.267</v>
      </c>
      <c r="M135" s="740">
        <f t="shared" si="66"/>
        <v>-0.54356610683167073</v>
      </c>
      <c r="N135" s="739">
        <v>0</v>
      </c>
      <c r="O135" s="740">
        <f t="shared" si="67"/>
        <v>-1</v>
      </c>
      <c r="P135" s="739">
        <v>0</v>
      </c>
      <c r="Q135" s="741"/>
      <c r="R135" s="742">
        <f t="shared" si="41"/>
        <v>0</v>
      </c>
      <c r="S135" s="742"/>
      <c r="T135" s="742"/>
      <c r="U135" s="743"/>
      <c r="V135" s="743"/>
      <c r="W135" s="743"/>
      <c r="X135" s="743"/>
      <c r="Y135" s="743"/>
      <c r="Z135" s="743"/>
      <c r="AA135" s="743"/>
      <c r="AB135" s="743"/>
      <c r="AC135" s="743"/>
      <c r="AD135" s="744"/>
      <c r="AE135" s="744"/>
      <c r="AF135" s="745"/>
      <c r="AG135" s="733">
        <f t="shared" si="42"/>
        <v>0</v>
      </c>
      <c r="AH135" s="208">
        <f t="shared" si="43"/>
        <v>0</v>
      </c>
      <c r="AI135" s="208">
        <f t="shared" si="44"/>
        <v>0</v>
      </c>
      <c r="AJ135" s="208">
        <f t="shared" si="45"/>
        <v>0</v>
      </c>
      <c r="AK135" s="208">
        <f t="shared" si="46"/>
        <v>0</v>
      </c>
      <c r="AL135" s="208">
        <f t="shared" si="47"/>
        <v>0</v>
      </c>
      <c r="AM135" s="680"/>
      <c r="AN135" s="746">
        <f t="shared" si="64"/>
        <v>0</v>
      </c>
      <c r="AO135" s="746">
        <f t="shared" si="64"/>
        <v>0</v>
      </c>
      <c r="AP135" s="746">
        <f t="shared" si="64"/>
        <v>0</v>
      </c>
      <c r="AQ135" s="746">
        <f t="shared" si="64"/>
        <v>0</v>
      </c>
      <c r="AR135" s="746">
        <f t="shared" si="64"/>
        <v>0</v>
      </c>
      <c r="AS135" s="746">
        <f t="shared" si="64"/>
        <v>0</v>
      </c>
      <c r="AT135" s="746">
        <f t="shared" si="64"/>
        <v>0</v>
      </c>
      <c r="AU135" s="746">
        <f t="shared" si="64"/>
        <v>0</v>
      </c>
      <c r="AV135" s="746">
        <f t="shared" si="64"/>
        <v>0</v>
      </c>
      <c r="AW135" s="746">
        <f t="shared" si="64"/>
        <v>0</v>
      </c>
      <c r="AX135" s="746">
        <f t="shared" si="64"/>
        <v>0</v>
      </c>
      <c r="AY135" s="746">
        <f t="shared" si="64"/>
        <v>0</v>
      </c>
      <c r="AZ135" s="733">
        <f t="shared" si="49"/>
        <v>0</v>
      </c>
      <c r="BA135" s="636">
        <f t="shared" si="50"/>
        <v>0</v>
      </c>
      <c r="BB135" s="636">
        <f t="shared" si="51"/>
        <v>0</v>
      </c>
      <c r="BC135" s="636">
        <f t="shared" si="52"/>
        <v>0</v>
      </c>
      <c r="BD135" s="636">
        <f t="shared" si="53"/>
        <v>0</v>
      </c>
      <c r="BE135" s="735">
        <f t="shared" si="54"/>
        <v>0</v>
      </c>
      <c r="BF135" s="680"/>
      <c r="BG135" s="680"/>
      <c r="BH135" s="680"/>
      <c r="BI135" s="680"/>
      <c r="BJ135" s="680"/>
      <c r="BK135" s="680"/>
      <c r="BL135" s="680"/>
      <c r="BM135" s="680"/>
      <c r="BN135" s="680"/>
    </row>
    <row r="136" spans="1:66" ht="12.95" customHeight="1">
      <c r="A136" s="770"/>
      <c r="B136" s="771"/>
      <c r="C136" s="1098" t="s">
        <v>483</v>
      </c>
      <c r="D136" s="1099"/>
      <c r="E136" s="1100"/>
      <c r="F136" s="772">
        <f>SUM(F133:F135)</f>
        <v>457.19160000000011</v>
      </c>
      <c r="G136" s="772">
        <f>SUM(G133:G135)</f>
        <v>276.81399999999996</v>
      </c>
      <c r="H136" s="772">
        <f>SUM(H133:H135)</f>
        <v>548.94299999999998</v>
      </c>
      <c r="I136" s="773">
        <f t="shared" si="65"/>
        <v>0.98307527798449523</v>
      </c>
      <c r="J136" s="772">
        <f>SUM(J133:J135)</f>
        <v>219.249</v>
      </c>
      <c r="K136" s="772">
        <f>SUM(K133:K135)</f>
        <v>0</v>
      </c>
      <c r="L136" s="772">
        <f>SUM(L133:L135)</f>
        <v>219.249</v>
      </c>
      <c r="M136" s="773">
        <f t="shared" si="66"/>
        <v>-0.60059787628223693</v>
      </c>
      <c r="N136" s="772">
        <f>SUM(N133:N135)</f>
        <v>0</v>
      </c>
      <c r="O136" s="773">
        <f t="shared" si="67"/>
        <v>-1</v>
      </c>
      <c r="P136" s="772">
        <v>0</v>
      </c>
      <c r="Q136" s="741"/>
      <c r="R136" s="774">
        <f>SUM(R133:R135)</f>
        <v>0</v>
      </c>
      <c r="S136" s="742"/>
      <c r="T136" s="742"/>
      <c r="U136" s="772">
        <f>SUM(U133:U135)</f>
        <v>0</v>
      </c>
      <c r="V136" s="772">
        <f>SUM(V133:V135)</f>
        <v>0</v>
      </c>
      <c r="W136" s="772">
        <f>SUM(W133:W135)</f>
        <v>0</v>
      </c>
      <c r="X136" s="772">
        <f t="shared" ref="X136:AF136" si="70">SUM(X133:X135)</f>
        <v>0</v>
      </c>
      <c r="Y136" s="772">
        <f t="shared" si="70"/>
        <v>0</v>
      </c>
      <c r="Z136" s="772">
        <f t="shared" si="70"/>
        <v>0</v>
      </c>
      <c r="AA136" s="772">
        <f t="shared" si="70"/>
        <v>0</v>
      </c>
      <c r="AB136" s="772">
        <f t="shared" si="70"/>
        <v>0</v>
      </c>
      <c r="AC136" s="772">
        <f t="shared" si="70"/>
        <v>0</v>
      </c>
      <c r="AD136" s="772">
        <f t="shared" si="70"/>
        <v>0</v>
      </c>
      <c r="AE136" s="772">
        <f t="shared" si="70"/>
        <v>0</v>
      </c>
      <c r="AF136" s="775">
        <f t="shared" si="70"/>
        <v>0</v>
      </c>
      <c r="AG136" s="733">
        <f t="shared" ref="AG136:AG199" si="71">SUM(U136:AF136)-N136</f>
        <v>0</v>
      </c>
      <c r="AH136" s="208">
        <f t="shared" ref="AH136:AH199" si="72">SUM(U136:W136)</f>
        <v>0</v>
      </c>
      <c r="AI136" s="208">
        <f t="shared" ref="AI136:AI199" si="73">SUM(X136:Z136)</f>
        <v>0</v>
      </c>
      <c r="AJ136" s="208">
        <f t="shared" ref="AJ136:AJ199" si="74">SUM(AA136:AC136)</f>
        <v>0</v>
      </c>
      <c r="AK136" s="208">
        <f t="shared" ref="AK136:AK199" si="75">SUM(AD136:AF136)</f>
        <v>0</v>
      </c>
      <c r="AL136" s="208">
        <f t="shared" ref="AL136:AL199" si="76">SUM(AH136:AK136)</f>
        <v>0</v>
      </c>
      <c r="AM136" s="680"/>
      <c r="AN136" s="774">
        <f>SUM(AN133:AN135)</f>
        <v>0</v>
      </c>
      <c r="AO136" s="774">
        <f t="shared" ref="AO136:AY136" si="77">SUM(AO133:AO135)</f>
        <v>0</v>
      </c>
      <c r="AP136" s="774">
        <f t="shared" si="77"/>
        <v>0</v>
      </c>
      <c r="AQ136" s="774">
        <f t="shared" si="77"/>
        <v>0</v>
      </c>
      <c r="AR136" s="774">
        <f t="shared" si="77"/>
        <v>0</v>
      </c>
      <c r="AS136" s="774">
        <f t="shared" si="77"/>
        <v>0</v>
      </c>
      <c r="AT136" s="774">
        <f t="shared" si="77"/>
        <v>0</v>
      </c>
      <c r="AU136" s="774">
        <f t="shared" si="77"/>
        <v>0</v>
      </c>
      <c r="AV136" s="774">
        <f t="shared" si="77"/>
        <v>0</v>
      </c>
      <c r="AW136" s="774">
        <f t="shared" si="77"/>
        <v>0</v>
      </c>
      <c r="AX136" s="774">
        <f t="shared" si="77"/>
        <v>0</v>
      </c>
      <c r="AY136" s="774">
        <f t="shared" si="77"/>
        <v>0</v>
      </c>
      <c r="AZ136" s="733">
        <f t="shared" ref="AZ136:AZ199" si="78">SUM(AN136:AY136)-R136</f>
        <v>0</v>
      </c>
      <c r="BA136" s="636">
        <f t="shared" ref="BA136:BA199" si="79">SUM(AN136:AP136)</f>
        <v>0</v>
      </c>
      <c r="BB136" s="636">
        <f t="shared" ref="BB136:BB199" si="80">SUM(AQ136:AS136)</f>
        <v>0</v>
      </c>
      <c r="BC136" s="636">
        <f t="shared" ref="BC136:BC199" si="81">SUM(AT136:AV136)</f>
        <v>0</v>
      </c>
      <c r="BD136" s="636">
        <f t="shared" ref="BD136:BD199" si="82">SUM(AW136:AY136)</f>
        <v>0</v>
      </c>
      <c r="BE136" s="735">
        <f t="shared" ref="BE136:BE199" si="83">SUM(BA136:BD136)</f>
        <v>0</v>
      </c>
      <c r="BF136" s="680"/>
      <c r="BG136" s="680"/>
      <c r="BH136" s="680"/>
      <c r="BI136" s="680"/>
      <c r="BJ136" s="680"/>
      <c r="BK136" s="680"/>
      <c r="BL136" s="680"/>
      <c r="BM136" s="680"/>
      <c r="BN136" s="680"/>
    </row>
    <row r="137" spans="1:66" ht="12.95" customHeight="1">
      <c r="A137" s="770"/>
      <c r="B137" s="771"/>
      <c r="C137" s="1098" t="s">
        <v>291</v>
      </c>
      <c r="D137" s="1099"/>
      <c r="E137" s="1100"/>
      <c r="F137" s="772">
        <f>F103+F126+F132+F136</f>
        <v>27948.604782000009</v>
      </c>
      <c r="G137" s="772">
        <f>G103+G126+G132+G136</f>
        <v>23934.422999999995</v>
      </c>
      <c r="H137" s="772">
        <f>H103+H126+H132+H136</f>
        <v>22545.86</v>
      </c>
      <c r="I137" s="773">
        <f t="shared" si="65"/>
        <v>-5.8015311252750688E-2</v>
      </c>
      <c r="J137" s="772">
        <f>J103+J126+J132+J136</f>
        <v>14380.785</v>
      </c>
      <c r="K137" s="772">
        <f>K103+K126+K132+K136</f>
        <v>4886.159008333334</v>
      </c>
      <c r="L137" s="772">
        <f>L103+L126+L132+L136</f>
        <v>19262.944008333336</v>
      </c>
      <c r="M137" s="773">
        <f t="shared" si="66"/>
        <v>-0.14561059066572155</v>
      </c>
      <c r="N137" s="772">
        <f>N103+N126+N132+N136</f>
        <v>24112.088000000003</v>
      </c>
      <c r="O137" s="773">
        <f t="shared" si="67"/>
        <v>0.25173431379797817</v>
      </c>
      <c r="P137" s="772">
        <v>0</v>
      </c>
      <c r="Q137" s="741"/>
      <c r="R137" s="774">
        <f>R103+R126+R132+R136</f>
        <v>271.28903780720231</v>
      </c>
      <c r="S137" s="742"/>
      <c r="T137" s="742"/>
      <c r="U137" s="772">
        <f t="shared" ref="U137:AF137" si="84">U103+U126+U132+U136</f>
        <v>1565.62</v>
      </c>
      <c r="V137" s="772">
        <f t="shared" si="84"/>
        <v>1856.0160000000001</v>
      </c>
      <c r="W137" s="772">
        <f t="shared" si="84"/>
        <v>2216.116</v>
      </c>
      <c r="X137" s="772">
        <f t="shared" si="84"/>
        <v>1994.42</v>
      </c>
      <c r="Y137" s="772">
        <f t="shared" si="84"/>
        <v>1978.62</v>
      </c>
      <c r="Z137" s="772">
        <f t="shared" si="84"/>
        <v>2495.42</v>
      </c>
      <c r="AA137" s="772">
        <f t="shared" si="84"/>
        <v>1987.82</v>
      </c>
      <c r="AB137" s="772">
        <f t="shared" si="84"/>
        <v>1824.4199999999998</v>
      </c>
      <c r="AC137" s="772">
        <f t="shared" si="84"/>
        <v>1869.58</v>
      </c>
      <c r="AD137" s="772">
        <f t="shared" si="84"/>
        <v>2062.52</v>
      </c>
      <c r="AE137" s="772">
        <f t="shared" si="84"/>
        <v>2087.7159999999999</v>
      </c>
      <c r="AF137" s="775">
        <f t="shared" si="84"/>
        <v>2173.8199999999997</v>
      </c>
      <c r="AG137" s="733">
        <f t="shared" si="71"/>
        <v>0</v>
      </c>
      <c r="AH137" s="208">
        <f t="shared" si="72"/>
        <v>5637.7520000000004</v>
      </c>
      <c r="AI137" s="208">
        <f t="shared" si="73"/>
        <v>6468.46</v>
      </c>
      <c r="AJ137" s="208">
        <f t="shared" si="74"/>
        <v>5681.82</v>
      </c>
      <c r="AK137" s="208">
        <f t="shared" si="75"/>
        <v>6324.0559999999996</v>
      </c>
      <c r="AL137" s="208">
        <f t="shared" si="76"/>
        <v>24112.088</v>
      </c>
      <c r="AM137" s="680"/>
      <c r="AN137" s="774">
        <f>AN103+AN126+AN132+AN136</f>
        <v>18.21972927916412</v>
      </c>
      <c r="AO137" s="774">
        <f t="shared" ref="AO137:AY137" si="85">AO103+AO126+AO132+AO136</f>
        <v>22.208428253021161</v>
      </c>
      <c r="AP137" s="774">
        <f t="shared" si="85"/>
        <v>24.944663932941282</v>
      </c>
      <c r="AQ137" s="774">
        <f t="shared" si="85"/>
        <v>22.402117938176779</v>
      </c>
      <c r="AR137" s="774">
        <f t="shared" si="85"/>
        <v>22.134808621656735</v>
      </c>
      <c r="AS137" s="774">
        <f t="shared" si="85"/>
        <v>27.813839267984292</v>
      </c>
      <c r="AT137" s="774">
        <f t="shared" si="85"/>
        <v>22.244839918458325</v>
      </c>
      <c r="AU137" s="774">
        <f t="shared" si="85"/>
        <v>20.618802724755128</v>
      </c>
      <c r="AV137" s="774">
        <f t="shared" si="85"/>
        <v>21.535823113268744</v>
      </c>
      <c r="AW137" s="774">
        <f t="shared" si="85"/>
        <v>23.211160890930977</v>
      </c>
      <c r="AX137" s="774">
        <f t="shared" si="85"/>
        <v>22.686905573093696</v>
      </c>
      <c r="AY137" s="774">
        <f t="shared" si="85"/>
        <v>23.267918293751084</v>
      </c>
      <c r="AZ137" s="733">
        <f t="shared" si="78"/>
        <v>0</v>
      </c>
      <c r="BA137" s="636">
        <f t="shared" si="79"/>
        <v>65.372821465126563</v>
      </c>
      <c r="BB137" s="636">
        <f t="shared" si="80"/>
        <v>72.35076582781781</v>
      </c>
      <c r="BC137" s="636">
        <f t="shared" si="81"/>
        <v>64.399465756482201</v>
      </c>
      <c r="BD137" s="636">
        <f t="shared" si="82"/>
        <v>69.16598475777576</v>
      </c>
      <c r="BE137" s="735">
        <f t="shared" si="83"/>
        <v>271.28903780720236</v>
      </c>
      <c r="BF137" s="680"/>
      <c r="BG137" s="680"/>
      <c r="BH137" s="680"/>
      <c r="BI137" s="680"/>
      <c r="BJ137" s="680"/>
      <c r="BK137" s="680"/>
      <c r="BL137" s="680"/>
      <c r="BM137" s="680"/>
      <c r="BN137" s="680"/>
    </row>
    <row r="138" spans="1:66" ht="12.95" customHeight="1">
      <c r="A138" s="770"/>
      <c r="B138" s="771"/>
      <c r="C138" s="796"/>
      <c r="D138" s="797"/>
      <c r="E138" s="798"/>
      <c r="F138" s="739"/>
      <c r="G138" s="739"/>
      <c r="H138" s="739"/>
      <c r="I138" s="740">
        <f t="shared" si="65"/>
        <v>0</v>
      </c>
      <c r="J138" s="739">
        <v>0</v>
      </c>
      <c r="K138" s="686"/>
      <c r="L138" s="781"/>
      <c r="M138" s="740">
        <f t="shared" si="66"/>
        <v>0</v>
      </c>
      <c r="N138" s="739"/>
      <c r="O138" s="740"/>
      <c r="P138" s="739"/>
      <c r="Q138" s="741"/>
      <c r="R138" s="742">
        <f t="shared" ref="R138:R201" si="86">+(N138*P138)/10000000</f>
        <v>0</v>
      </c>
      <c r="S138" s="742"/>
      <c r="T138" s="742"/>
      <c r="U138" s="743"/>
      <c r="V138" s="743"/>
      <c r="W138" s="743"/>
      <c r="X138" s="743"/>
      <c r="Y138" s="743"/>
      <c r="Z138" s="743"/>
      <c r="AA138" s="743"/>
      <c r="AB138" s="743"/>
      <c r="AC138" s="743"/>
      <c r="AD138" s="744"/>
      <c r="AE138" s="744"/>
      <c r="AF138" s="745"/>
      <c r="AG138" s="733">
        <f t="shared" si="71"/>
        <v>0</v>
      </c>
      <c r="AH138" s="208">
        <f t="shared" si="72"/>
        <v>0</v>
      </c>
      <c r="AI138" s="208">
        <f t="shared" si="73"/>
        <v>0</v>
      </c>
      <c r="AJ138" s="208">
        <f t="shared" si="74"/>
        <v>0</v>
      </c>
      <c r="AK138" s="208">
        <f t="shared" si="75"/>
        <v>0</v>
      </c>
      <c r="AL138" s="208">
        <f t="shared" si="76"/>
        <v>0</v>
      </c>
      <c r="AM138" s="680"/>
      <c r="AN138" s="746">
        <f t="shared" ref="AN138:AY156" si="87">U138*$P138/10^7</f>
        <v>0</v>
      </c>
      <c r="AO138" s="746">
        <f t="shared" si="87"/>
        <v>0</v>
      </c>
      <c r="AP138" s="746">
        <f t="shared" si="87"/>
        <v>0</v>
      </c>
      <c r="AQ138" s="746">
        <f t="shared" si="87"/>
        <v>0</v>
      </c>
      <c r="AR138" s="746">
        <f t="shared" si="87"/>
        <v>0</v>
      </c>
      <c r="AS138" s="746">
        <f t="shared" si="87"/>
        <v>0</v>
      </c>
      <c r="AT138" s="746">
        <f t="shared" si="87"/>
        <v>0</v>
      </c>
      <c r="AU138" s="746">
        <f t="shared" si="87"/>
        <v>0</v>
      </c>
      <c r="AV138" s="746">
        <f t="shared" si="87"/>
        <v>0</v>
      </c>
      <c r="AW138" s="746">
        <f t="shared" si="87"/>
        <v>0</v>
      </c>
      <c r="AX138" s="746">
        <f t="shared" si="87"/>
        <v>0</v>
      </c>
      <c r="AY138" s="746">
        <f t="shared" si="87"/>
        <v>0</v>
      </c>
      <c r="AZ138" s="733">
        <f t="shared" si="78"/>
        <v>0</v>
      </c>
      <c r="BA138" s="636">
        <f t="shared" si="79"/>
        <v>0</v>
      </c>
      <c r="BB138" s="636">
        <f t="shared" si="80"/>
        <v>0</v>
      </c>
      <c r="BC138" s="636">
        <f t="shared" si="81"/>
        <v>0</v>
      </c>
      <c r="BD138" s="636">
        <f t="shared" si="82"/>
        <v>0</v>
      </c>
      <c r="BE138" s="735">
        <f t="shared" si="83"/>
        <v>0</v>
      </c>
      <c r="BF138" s="680"/>
      <c r="BG138" s="680"/>
      <c r="BH138" s="680"/>
      <c r="BI138" s="680"/>
      <c r="BJ138" s="680"/>
      <c r="BK138" s="680"/>
      <c r="BL138" s="680"/>
      <c r="BM138" s="680"/>
      <c r="BN138" s="680"/>
    </row>
    <row r="139" spans="1:66" ht="12.95" customHeight="1">
      <c r="A139" s="722" t="s">
        <v>292</v>
      </c>
      <c r="B139" s="723" t="s">
        <v>135</v>
      </c>
      <c r="C139" s="754" t="s">
        <v>72</v>
      </c>
      <c r="D139" s="749" t="s">
        <v>484</v>
      </c>
      <c r="E139" s="738" t="s">
        <v>144</v>
      </c>
      <c r="F139" s="739">
        <v>123.06432000000001</v>
      </c>
      <c r="G139" s="739">
        <v>0</v>
      </c>
      <c r="H139" s="739">
        <v>0</v>
      </c>
      <c r="I139" s="740">
        <f t="shared" si="65"/>
        <v>0</v>
      </c>
      <c r="J139" s="739">
        <v>0</v>
      </c>
      <c r="K139" s="686"/>
      <c r="L139" s="739">
        <f t="shared" ref="L139:L147" si="88">J139+K139</f>
        <v>0</v>
      </c>
      <c r="M139" s="740">
        <f t="shared" si="66"/>
        <v>0</v>
      </c>
      <c r="N139" s="739">
        <v>0</v>
      </c>
      <c r="O139" s="740">
        <f t="shared" ref="O139:O147" si="89">IF(ISERROR((N139-L139)/L139),0,((N139-L139)/L139))</f>
        <v>0</v>
      </c>
      <c r="P139" s="739">
        <v>0</v>
      </c>
      <c r="Q139" s="741"/>
      <c r="R139" s="742">
        <f t="shared" si="86"/>
        <v>0</v>
      </c>
      <c r="S139" s="742"/>
      <c r="T139" s="742"/>
      <c r="U139" s="743">
        <v>0</v>
      </c>
      <c r="V139" s="743">
        <v>0</v>
      </c>
      <c r="W139" s="743">
        <v>0</v>
      </c>
      <c r="X139" s="743">
        <v>0</v>
      </c>
      <c r="Y139" s="743">
        <v>0</v>
      </c>
      <c r="Z139" s="743">
        <v>0</v>
      </c>
      <c r="AA139" s="743">
        <v>0</v>
      </c>
      <c r="AB139" s="743">
        <v>0</v>
      </c>
      <c r="AC139" s="743">
        <v>0</v>
      </c>
      <c r="AD139" s="744">
        <v>0</v>
      </c>
      <c r="AE139" s="744">
        <v>0</v>
      </c>
      <c r="AF139" s="745">
        <v>0</v>
      </c>
      <c r="AG139" s="733">
        <f t="shared" si="71"/>
        <v>0</v>
      </c>
      <c r="AH139" s="208">
        <f t="shared" si="72"/>
        <v>0</v>
      </c>
      <c r="AI139" s="208">
        <f t="shared" si="73"/>
        <v>0</v>
      </c>
      <c r="AJ139" s="208">
        <f t="shared" si="74"/>
        <v>0</v>
      </c>
      <c r="AK139" s="208">
        <f t="shared" si="75"/>
        <v>0</v>
      </c>
      <c r="AL139" s="208">
        <f t="shared" si="76"/>
        <v>0</v>
      </c>
      <c r="AM139" s="680"/>
      <c r="AN139" s="746">
        <f t="shared" si="87"/>
        <v>0</v>
      </c>
      <c r="AO139" s="746">
        <f t="shared" si="87"/>
        <v>0</v>
      </c>
      <c r="AP139" s="746">
        <f t="shared" si="87"/>
        <v>0</v>
      </c>
      <c r="AQ139" s="746">
        <f t="shared" si="87"/>
        <v>0</v>
      </c>
      <c r="AR139" s="746">
        <f t="shared" si="87"/>
        <v>0</v>
      </c>
      <c r="AS139" s="746">
        <f t="shared" si="87"/>
        <v>0</v>
      </c>
      <c r="AT139" s="746">
        <f t="shared" si="87"/>
        <v>0</v>
      </c>
      <c r="AU139" s="746">
        <f t="shared" si="87"/>
        <v>0</v>
      </c>
      <c r="AV139" s="746">
        <f t="shared" si="87"/>
        <v>0</v>
      </c>
      <c r="AW139" s="746">
        <f t="shared" si="87"/>
        <v>0</v>
      </c>
      <c r="AX139" s="746">
        <f t="shared" si="87"/>
        <v>0</v>
      </c>
      <c r="AY139" s="746">
        <f t="shared" si="87"/>
        <v>0</v>
      </c>
      <c r="AZ139" s="733">
        <f t="shared" si="78"/>
        <v>0</v>
      </c>
      <c r="BA139" s="636">
        <f t="shared" si="79"/>
        <v>0</v>
      </c>
      <c r="BB139" s="636">
        <f t="shared" si="80"/>
        <v>0</v>
      </c>
      <c r="BC139" s="636">
        <f t="shared" si="81"/>
        <v>0</v>
      </c>
      <c r="BD139" s="636">
        <f t="shared" si="82"/>
        <v>0</v>
      </c>
      <c r="BE139" s="735">
        <f t="shared" si="83"/>
        <v>0</v>
      </c>
      <c r="BF139" s="680"/>
      <c r="BG139" s="680"/>
      <c r="BH139" s="680"/>
      <c r="BI139" s="680"/>
      <c r="BJ139" s="680"/>
      <c r="BK139" s="680"/>
      <c r="BL139" s="680"/>
      <c r="BM139" s="680"/>
      <c r="BN139" s="680"/>
    </row>
    <row r="140" spans="1:66" ht="12.95" customHeight="1">
      <c r="A140" s="722" t="s">
        <v>294</v>
      </c>
      <c r="B140" s="723" t="s">
        <v>135</v>
      </c>
      <c r="C140" s="750" t="s">
        <v>136</v>
      </c>
      <c r="D140" s="748" t="s">
        <v>295</v>
      </c>
      <c r="E140" s="738" t="s">
        <v>142</v>
      </c>
      <c r="F140" s="739">
        <v>10.061399999999999</v>
      </c>
      <c r="G140" s="739">
        <v>0</v>
      </c>
      <c r="H140" s="739">
        <v>0</v>
      </c>
      <c r="I140" s="740">
        <f t="shared" si="65"/>
        <v>0</v>
      </c>
      <c r="J140" s="739">
        <v>0</v>
      </c>
      <c r="K140" s="686"/>
      <c r="L140" s="739">
        <f t="shared" si="88"/>
        <v>0</v>
      </c>
      <c r="M140" s="740">
        <f t="shared" si="66"/>
        <v>0</v>
      </c>
      <c r="N140" s="739">
        <v>0</v>
      </c>
      <c r="O140" s="740">
        <f t="shared" si="89"/>
        <v>0</v>
      </c>
      <c r="P140" s="739">
        <v>0</v>
      </c>
      <c r="Q140" s="741"/>
      <c r="R140" s="742">
        <f t="shared" si="86"/>
        <v>0</v>
      </c>
      <c r="S140" s="742"/>
      <c r="T140" s="742"/>
      <c r="U140" s="743">
        <v>0</v>
      </c>
      <c r="V140" s="743">
        <v>0</v>
      </c>
      <c r="W140" s="743">
        <v>0</v>
      </c>
      <c r="X140" s="743">
        <v>0</v>
      </c>
      <c r="Y140" s="743">
        <v>0</v>
      </c>
      <c r="Z140" s="743">
        <v>0</v>
      </c>
      <c r="AA140" s="743">
        <v>0</v>
      </c>
      <c r="AB140" s="743">
        <v>0</v>
      </c>
      <c r="AC140" s="743">
        <v>0</v>
      </c>
      <c r="AD140" s="744">
        <v>0</v>
      </c>
      <c r="AE140" s="744">
        <v>0</v>
      </c>
      <c r="AF140" s="745">
        <v>0</v>
      </c>
      <c r="AG140" s="733">
        <f t="shared" si="71"/>
        <v>0</v>
      </c>
      <c r="AH140" s="208">
        <f t="shared" si="72"/>
        <v>0</v>
      </c>
      <c r="AI140" s="208">
        <f t="shared" si="73"/>
        <v>0</v>
      </c>
      <c r="AJ140" s="208">
        <f t="shared" si="74"/>
        <v>0</v>
      </c>
      <c r="AK140" s="208">
        <f t="shared" si="75"/>
        <v>0</v>
      </c>
      <c r="AL140" s="208">
        <f t="shared" si="76"/>
        <v>0</v>
      </c>
      <c r="AM140" s="680"/>
      <c r="AN140" s="746">
        <f t="shared" si="87"/>
        <v>0</v>
      </c>
      <c r="AO140" s="746">
        <f t="shared" si="87"/>
        <v>0</v>
      </c>
      <c r="AP140" s="746">
        <f t="shared" si="87"/>
        <v>0</v>
      </c>
      <c r="AQ140" s="746">
        <f t="shared" si="87"/>
        <v>0</v>
      </c>
      <c r="AR140" s="746">
        <f t="shared" si="87"/>
        <v>0</v>
      </c>
      <c r="AS140" s="746">
        <f t="shared" si="87"/>
        <v>0</v>
      </c>
      <c r="AT140" s="746">
        <f t="shared" si="87"/>
        <v>0</v>
      </c>
      <c r="AU140" s="746">
        <f t="shared" si="87"/>
        <v>0</v>
      </c>
      <c r="AV140" s="746">
        <f t="shared" si="87"/>
        <v>0</v>
      </c>
      <c r="AW140" s="746">
        <f t="shared" si="87"/>
        <v>0</v>
      </c>
      <c r="AX140" s="746">
        <f t="shared" si="87"/>
        <v>0</v>
      </c>
      <c r="AY140" s="746">
        <f t="shared" si="87"/>
        <v>0</v>
      </c>
      <c r="AZ140" s="733">
        <f t="shared" si="78"/>
        <v>0</v>
      </c>
      <c r="BA140" s="636">
        <f t="shared" si="79"/>
        <v>0</v>
      </c>
      <c r="BB140" s="636">
        <f t="shared" si="80"/>
        <v>0</v>
      </c>
      <c r="BC140" s="636">
        <f t="shared" si="81"/>
        <v>0</v>
      </c>
      <c r="BD140" s="636">
        <f t="shared" si="82"/>
        <v>0</v>
      </c>
      <c r="BE140" s="735">
        <f t="shared" si="83"/>
        <v>0</v>
      </c>
      <c r="BF140" s="680"/>
      <c r="BG140" s="680"/>
      <c r="BH140" s="680"/>
      <c r="BI140" s="680"/>
      <c r="BJ140" s="680"/>
      <c r="BK140" s="680"/>
      <c r="BL140" s="680"/>
      <c r="BM140" s="680"/>
      <c r="BN140" s="680"/>
    </row>
    <row r="141" spans="1:66" ht="12.95" customHeight="1">
      <c r="A141" s="722" t="s">
        <v>296</v>
      </c>
      <c r="B141" s="723" t="s">
        <v>135</v>
      </c>
      <c r="C141" s="753" t="s">
        <v>136</v>
      </c>
      <c r="D141" s="747" t="s">
        <v>295</v>
      </c>
      <c r="E141" s="738" t="s">
        <v>144</v>
      </c>
      <c r="F141" s="739">
        <v>11.665000000000001</v>
      </c>
      <c r="G141" s="739">
        <v>31.306000000000001</v>
      </c>
      <c r="H141" s="739">
        <v>20.914999999999999</v>
      </c>
      <c r="I141" s="740">
        <f t="shared" si="65"/>
        <v>-0.3319172043697694</v>
      </c>
      <c r="J141" s="739">
        <v>11.664000000000001</v>
      </c>
      <c r="K141" s="686"/>
      <c r="L141" s="739">
        <f t="shared" si="88"/>
        <v>11.664000000000001</v>
      </c>
      <c r="M141" s="740">
        <f t="shared" si="66"/>
        <v>-0.44231412861582586</v>
      </c>
      <c r="N141" s="739">
        <v>0</v>
      </c>
      <c r="O141" s="740">
        <f t="shared" si="89"/>
        <v>-1</v>
      </c>
      <c r="P141" s="739">
        <v>0</v>
      </c>
      <c r="Q141" s="741"/>
      <c r="R141" s="742">
        <f t="shared" si="86"/>
        <v>0</v>
      </c>
      <c r="S141" s="742"/>
      <c r="T141" s="742"/>
      <c r="U141" s="743">
        <v>0</v>
      </c>
      <c r="V141" s="743">
        <v>0</v>
      </c>
      <c r="W141" s="743">
        <v>0</v>
      </c>
      <c r="X141" s="743">
        <v>0</v>
      </c>
      <c r="Y141" s="743">
        <v>0</v>
      </c>
      <c r="Z141" s="743">
        <v>0</v>
      </c>
      <c r="AA141" s="743">
        <v>0</v>
      </c>
      <c r="AB141" s="743">
        <v>0</v>
      </c>
      <c r="AC141" s="743">
        <v>0</v>
      </c>
      <c r="AD141" s="744">
        <v>0</v>
      </c>
      <c r="AE141" s="744">
        <v>0</v>
      </c>
      <c r="AF141" s="745">
        <v>0</v>
      </c>
      <c r="AG141" s="733">
        <f t="shared" si="71"/>
        <v>0</v>
      </c>
      <c r="AH141" s="208">
        <f t="shared" si="72"/>
        <v>0</v>
      </c>
      <c r="AI141" s="208">
        <f t="shared" si="73"/>
        <v>0</v>
      </c>
      <c r="AJ141" s="208">
        <f t="shared" si="74"/>
        <v>0</v>
      </c>
      <c r="AK141" s="208">
        <f t="shared" si="75"/>
        <v>0</v>
      </c>
      <c r="AL141" s="208">
        <f t="shared" si="76"/>
        <v>0</v>
      </c>
      <c r="AM141" s="680"/>
      <c r="AN141" s="746">
        <f t="shared" si="87"/>
        <v>0</v>
      </c>
      <c r="AO141" s="746">
        <f t="shared" si="87"/>
        <v>0</v>
      </c>
      <c r="AP141" s="746">
        <f t="shared" si="87"/>
        <v>0</v>
      </c>
      <c r="AQ141" s="746">
        <f t="shared" si="87"/>
        <v>0</v>
      </c>
      <c r="AR141" s="746">
        <f t="shared" si="87"/>
        <v>0</v>
      </c>
      <c r="AS141" s="746">
        <f t="shared" si="87"/>
        <v>0</v>
      </c>
      <c r="AT141" s="746">
        <f t="shared" si="87"/>
        <v>0</v>
      </c>
      <c r="AU141" s="746">
        <f t="shared" si="87"/>
        <v>0</v>
      </c>
      <c r="AV141" s="746">
        <f t="shared" si="87"/>
        <v>0</v>
      </c>
      <c r="AW141" s="746">
        <f t="shared" si="87"/>
        <v>0</v>
      </c>
      <c r="AX141" s="746">
        <f t="shared" si="87"/>
        <v>0</v>
      </c>
      <c r="AY141" s="746">
        <f t="shared" si="87"/>
        <v>0</v>
      </c>
      <c r="AZ141" s="733">
        <f t="shared" si="78"/>
        <v>0</v>
      </c>
      <c r="BA141" s="636">
        <f t="shared" si="79"/>
        <v>0</v>
      </c>
      <c r="BB141" s="636">
        <f t="shared" si="80"/>
        <v>0</v>
      </c>
      <c r="BC141" s="636">
        <f t="shared" si="81"/>
        <v>0</v>
      </c>
      <c r="BD141" s="636">
        <f t="shared" si="82"/>
        <v>0</v>
      </c>
      <c r="BE141" s="735">
        <f t="shared" si="83"/>
        <v>0</v>
      </c>
      <c r="BF141" s="680"/>
      <c r="BG141" s="680"/>
      <c r="BH141" s="680"/>
      <c r="BI141" s="680"/>
      <c r="BJ141" s="680"/>
      <c r="BK141" s="680"/>
      <c r="BL141" s="680"/>
      <c r="BM141" s="680"/>
      <c r="BN141" s="680"/>
    </row>
    <row r="142" spans="1:66" ht="12.95" customHeight="1">
      <c r="A142" s="722"/>
      <c r="B142" s="723" t="s">
        <v>135</v>
      </c>
      <c r="C142" s="750" t="s">
        <v>485</v>
      </c>
      <c r="D142" s="749" t="s">
        <v>486</v>
      </c>
      <c r="E142" s="738"/>
      <c r="F142" s="739"/>
      <c r="G142" s="739">
        <v>0</v>
      </c>
      <c r="H142" s="739">
        <v>0</v>
      </c>
      <c r="I142" s="740">
        <f t="shared" si="65"/>
        <v>0</v>
      </c>
      <c r="J142" s="739">
        <v>0</v>
      </c>
      <c r="K142" s="686"/>
      <c r="L142" s="739">
        <f t="shared" si="88"/>
        <v>0</v>
      </c>
      <c r="M142" s="740">
        <f t="shared" si="66"/>
        <v>0</v>
      </c>
      <c r="N142" s="739">
        <v>0</v>
      </c>
      <c r="O142" s="740">
        <f t="shared" si="89"/>
        <v>0</v>
      </c>
      <c r="P142" s="739">
        <v>0</v>
      </c>
      <c r="Q142" s="741"/>
      <c r="R142" s="742">
        <f t="shared" si="86"/>
        <v>0</v>
      </c>
      <c r="S142" s="742"/>
      <c r="T142" s="742"/>
      <c r="U142" s="743">
        <v>0</v>
      </c>
      <c r="V142" s="743">
        <v>0</v>
      </c>
      <c r="W142" s="743">
        <v>0</v>
      </c>
      <c r="X142" s="743">
        <v>0</v>
      </c>
      <c r="Y142" s="743">
        <v>0</v>
      </c>
      <c r="Z142" s="743">
        <v>0</v>
      </c>
      <c r="AA142" s="743">
        <v>0</v>
      </c>
      <c r="AB142" s="743">
        <v>0</v>
      </c>
      <c r="AC142" s="743">
        <v>0</v>
      </c>
      <c r="AD142" s="744">
        <v>0</v>
      </c>
      <c r="AE142" s="744">
        <v>0</v>
      </c>
      <c r="AF142" s="745">
        <v>0</v>
      </c>
      <c r="AG142" s="733">
        <f t="shared" si="71"/>
        <v>0</v>
      </c>
      <c r="AH142" s="208">
        <f t="shared" si="72"/>
        <v>0</v>
      </c>
      <c r="AI142" s="208">
        <f t="shared" si="73"/>
        <v>0</v>
      </c>
      <c r="AJ142" s="208">
        <f t="shared" si="74"/>
        <v>0</v>
      </c>
      <c r="AK142" s="208">
        <f t="shared" si="75"/>
        <v>0</v>
      </c>
      <c r="AL142" s="208">
        <f t="shared" si="76"/>
        <v>0</v>
      </c>
      <c r="AM142" s="680"/>
      <c r="AN142" s="746">
        <f t="shared" si="87"/>
        <v>0</v>
      </c>
      <c r="AO142" s="746">
        <f t="shared" si="87"/>
        <v>0</v>
      </c>
      <c r="AP142" s="746">
        <f t="shared" si="87"/>
        <v>0</v>
      </c>
      <c r="AQ142" s="746">
        <f t="shared" si="87"/>
        <v>0</v>
      </c>
      <c r="AR142" s="746">
        <f t="shared" si="87"/>
        <v>0</v>
      </c>
      <c r="AS142" s="746">
        <f t="shared" si="87"/>
        <v>0</v>
      </c>
      <c r="AT142" s="746">
        <f t="shared" si="87"/>
        <v>0</v>
      </c>
      <c r="AU142" s="746">
        <f t="shared" si="87"/>
        <v>0</v>
      </c>
      <c r="AV142" s="746">
        <f t="shared" si="87"/>
        <v>0</v>
      </c>
      <c r="AW142" s="746">
        <f t="shared" si="87"/>
        <v>0</v>
      </c>
      <c r="AX142" s="746">
        <f t="shared" si="87"/>
        <v>0</v>
      </c>
      <c r="AY142" s="746">
        <f t="shared" si="87"/>
        <v>0</v>
      </c>
      <c r="AZ142" s="733">
        <f t="shared" si="78"/>
        <v>0</v>
      </c>
      <c r="BA142" s="636">
        <f t="shared" si="79"/>
        <v>0</v>
      </c>
      <c r="BB142" s="636">
        <f t="shared" si="80"/>
        <v>0</v>
      </c>
      <c r="BC142" s="636">
        <f t="shared" si="81"/>
        <v>0</v>
      </c>
      <c r="BD142" s="636">
        <f t="shared" si="82"/>
        <v>0</v>
      </c>
      <c r="BE142" s="735">
        <f t="shared" si="83"/>
        <v>0</v>
      </c>
      <c r="BF142" s="680"/>
      <c r="BG142" s="680"/>
      <c r="BH142" s="680"/>
      <c r="BI142" s="680"/>
      <c r="BJ142" s="680"/>
      <c r="BK142" s="680"/>
      <c r="BL142" s="680"/>
      <c r="BM142" s="680"/>
      <c r="BN142" s="680"/>
    </row>
    <row r="143" spans="1:66" ht="12.75">
      <c r="A143" s="722" t="s">
        <v>487</v>
      </c>
      <c r="B143" s="723" t="s">
        <v>135</v>
      </c>
      <c r="C143" s="754" t="s">
        <v>488</v>
      </c>
      <c r="D143" s="749" t="s">
        <v>489</v>
      </c>
      <c r="E143" s="738" t="s">
        <v>490</v>
      </c>
      <c r="F143" s="739">
        <v>14.631</v>
      </c>
      <c r="G143" s="739">
        <v>0</v>
      </c>
      <c r="H143" s="739">
        <v>0</v>
      </c>
      <c r="I143" s="740">
        <f t="shared" si="65"/>
        <v>0</v>
      </c>
      <c r="J143" s="739">
        <v>0</v>
      </c>
      <c r="K143" s="686"/>
      <c r="L143" s="739">
        <f t="shared" si="88"/>
        <v>0</v>
      </c>
      <c r="M143" s="740">
        <f t="shared" si="66"/>
        <v>0</v>
      </c>
      <c r="N143" s="739">
        <v>0</v>
      </c>
      <c r="O143" s="740">
        <f t="shared" si="89"/>
        <v>0</v>
      </c>
      <c r="P143" s="739">
        <v>0</v>
      </c>
      <c r="Q143" s="741"/>
      <c r="R143" s="742">
        <f t="shared" si="86"/>
        <v>0</v>
      </c>
      <c r="S143" s="742"/>
      <c r="T143" s="742"/>
      <c r="U143" s="743">
        <v>0</v>
      </c>
      <c r="V143" s="743">
        <v>0</v>
      </c>
      <c r="W143" s="743">
        <v>0</v>
      </c>
      <c r="X143" s="743">
        <v>0</v>
      </c>
      <c r="Y143" s="743">
        <v>0</v>
      </c>
      <c r="Z143" s="743">
        <v>0</v>
      </c>
      <c r="AA143" s="743">
        <v>0</v>
      </c>
      <c r="AB143" s="743">
        <v>0</v>
      </c>
      <c r="AC143" s="743">
        <v>0</v>
      </c>
      <c r="AD143" s="744">
        <v>0</v>
      </c>
      <c r="AE143" s="744">
        <v>0</v>
      </c>
      <c r="AF143" s="745">
        <v>0</v>
      </c>
      <c r="AG143" s="733">
        <f t="shared" si="71"/>
        <v>0</v>
      </c>
      <c r="AH143" s="208">
        <f t="shared" si="72"/>
        <v>0</v>
      </c>
      <c r="AI143" s="208">
        <f t="shared" si="73"/>
        <v>0</v>
      </c>
      <c r="AJ143" s="208">
        <f t="shared" si="74"/>
        <v>0</v>
      </c>
      <c r="AK143" s="208">
        <f t="shared" si="75"/>
        <v>0</v>
      </c>
      <c r="AL143" s="208">
        <f t="shared" si="76"/>
        <v>0</v>
      </c>
      <c r="AM143" s="680"/>
      <c r="AN143" s="746">
        <f t="shared" si="87"/>
        <v>0</v>
      </c>
      <c r="AO143" s="746">
        <f t="shared" si="87"/>
        <v>0</v>
      </c>
      <c r="AP143" s="746">
        <f t="shared" si="87"/>
        <v>0</v>
      </c>
      <c r="AQ143" s="746">
        <f t="shared" si="87"/>
        <v>0</v>
      </c>
      <c r="AR143" s="746">
        <f t="shared" si="87"/>
        <v>0</v>
      </c>
      <c r="AS143" s="746">
        <f t="shared" si="87"/>
        <v>0</v>
      </c>
      <c r="AT143" s="746">
        <f t="shared" si="87"/>
        <v>0</v>
      </c>
      <c r="AU143" s="746">
        <f t="shared" si="87"/>
        <v>0</v>
      </c>
      <c r="AV143" s="746">
        <f t="shared" si="87"/>
        <v>0</v>
      </c>
      <c r="AW143" s="746">
        <f t="shared" si="87"/>
        <v>0</v>
      </c>
      <c r="AX143" s="746">
        <f t="shared" si="87"/>
        <v>0</v>
      </c>
      <c r="AY143" s="746">
        <f t="shared" si="87"/>
        <v>0</v>
      </c>
      <c r="AZ143" s="733">
        <f t="shared" si="78"/>
        <v>0</v>
      </c>
      <c r="BA143" s="636">
        <f t="shared" si="79"/>
        <v>0</v>
      </c>
      <c r="BB143" s="636">
        <f t="shared" si="80"/>
        <v>0</v>
      </c>
      <c r="BC143" s="636">
        <f t="shared" si="81"/>
        <v>0</v>
      </c>
      <c r="BD143" s="636">
        <f t="shared" si="82"/>
        <v>0</v>
      </c>
      <c r="BE143" s="735">
        <f t="shared" si="83"/>
        <v>0</v>
      </c>
      <c r="BF143" s="680"/>
      <c r="BG143" s="680"/>
      <c r="BH143" s="680"/>
      <c r="BI143" s="680"/>
      <c r="BJ143" s="680"/>
      <c r="BK143" s="680"/>
      <c r="BL143" s="680"/>
      <c r="BM143" s="680"/>
      <c r="BN143" s="680"/>
    </row>
    <row r="144" spans="1:66" ht="24">
      <c r="A144" s="722" t="s">
        <v>297</v>
      </c>
      <c r="B144" s="723" t="s">
        <v>135</v>
      </c>
      <c r="C144" s="754" t="s">
        <v>298</v>
      </c>
      <c r="D144" s="749" t="s">
        <v>491</v>
      </c>
      <c r="E144" s="738" t="s">
        <v>300</v>
      </c>
      <c r="F144" s="739"/>
      <c r="G144" s="739"/>
      <c r="H144" s="739">
        <v>26.085999999999999</v>
      </c>
      <c r="I144" s="740">
        <f t="shared" si="65"/>
        <v>0</v>
      </c>
      <c r="J144" s="739">
        <v>30.367000000000004</v>
      </c>
      <c r="K144" s="686"/>
      <c r="L144" s="739">
        <f t="shared" si="88"/>
        <v>30.367000000000004</v>
      </c>
      <c r="M144" s="740">
        <f t="shared" si="66"/>
        <v>0.16411101740397172</v>
      </c>
      <c r="N144" s="739">
        <v>0</v>
      </c>
      <c r="O144" s="740">
        <f t="shared" si="89"/>
        <v>-1</v>
      </c>
      <c r="P144" s="739">
        <v>0</v>
      </c>
      <c r="Q144" s="741"/>
      <c r="R144" s="742">
        <f t="shared" si="86"/>
        <v>0</v>
      </c>
      <c r="S144" s="742"/>
      <c r="T144" s="742"/>
      <c r="U144" s="743">
        <v>0</v>
      </c>
      <c r="V144" s="743">
        <v>0</v>
      </c>
      <c r="W144" s="743">
        <v>0</v>
      </c>
      <c r="X144" s="743">
        <v>0</v>
      </c>
      <c r="Y144" s="743">
        <v>0</v>
      </c>
      <c r="Z144" s="743">
        <v>0</v>
      </c>
      <c r="AA144" s="743">
        <v>0</v>
      </c>
      <c r="AB144" s="743">
        <v>0</v>
      </c>
      <c r="AC144" s="743">
        <v>0</v>
      </c>
      <c r="AD144" s="744">
        <v>0</v>
      </c>
      <c r="AE144" s="744">
        <v>0</v>
      </c>
      <c r="AF144" s="745">
        <v>0</v>
      </c>
      <c r="AG144" s="733">
        <f t="shared" si="71"/>
        <v>0</v>
      </c>
      <c r="AH144" s="208">
        <f t="shared" si="72"/>
        <v>0</v>
      </c>
      <c r="AI144" s="208">
        <f t="shared" si="73"/>
        <v>0</v>
      </c>
      <c r="AJ144" s="208">
        <f t="shared" si="74"/>
        <v>0</v>
      </c>
      <c r="AK144" s="208">
        <f t="shared" si="75"/>
        <v>0</v>
      </c>
      <c r="AL144" s="208">
        <f t="shared" si="76"/>
        <v>0</v>
      </c>
      <c r="AM144" s="680"/>
      <c r="AN144" s="746">
        <f t="shared" si="87"/>
        <v>0</v>
      </c>
      <c r="AO144" s="746">
        <f t="shared" si="87"/>
        <v>0</v>
      </c>
      <c r="AP144" s="746">
        <f t="shared" si="87"/>
        <v>0</v>
      </c>
      <c r="AQ144" s="746">
        <f t="shared" si="87"/>
        <v>0</v>
      </c>
      <c r="AR144" s="746">
        <f t="shared" si="87"/>
        <v>0</v>
      </c>
      <c r="AS144" s="746">
        <f t="shared" si="87"/>
        <v>0</v>
      </c>
      <c r="AT144" s="746">
        <f t="shared" si="87"/>
        <v>0</v>
      </c>
      <c r="AU144" s="746">
        <f t="shared" si="87"/>
        <v>0</v>
      </c>
      <c r="AV144" s="746">
        <f t="shared" si="87"/>
        <v>0</v>
      </c>
      <c r="AW144" s="746">
        <f t="shared" si="87"/>
        <v>0</v>
      </c>
      <c r="AX144" s="746">
        <f t="shared" si="87"/>
        <v>0</v>
      </c>
      <c r="AY144" s="746">
        <f t="shared" si="87"/>
        <v>0</v>
      </c>
      <c r="AZ144" s="733">
        <f t="shared" si="78"/>
        <v>0</v>
      </c>
      <c r="BA144" s="636">
        <f t="shared" si="79"/>
        <v>0</v>
      </c>
      <c r="BB144" s="636">
        <f t="shared" si="80"/>
        <v>0</v>
      </c>
      <c r="BC144" s="636">
        <f t="shared" si="81"/>
        <v>0</v>
      </c>
      <c r="BD144" s="636">
        <f t="shared" si="82"/>
        <v>0</v>
      </c>
      <c r="BE144" s="735">
        <f t="shared" si="83"/>
        <v>0</v>
      </c>
      <c r="BF144" s="680"/>
      <c r="BG144" s="680"/>
      <c r="BH144" s="680"/>
      <c r="BI144" s="680"/>
      <c r="BJ144" s="680"/>
      <c r="BK144" s="680"/>
      <c r="BL144" s="680"/>
      <c r="BM144" s="680"/>
      <c r="BN144" s="680"/>
    </row>
    <row r="145" spans="1:66" ht="24">
      <c r="A145" s="722" t="s">
        <v>301</v>
      </c>
      <c r="B145" s="723" t="s">
        <v>135</v>
      </c>
      <c r="C145" s="754" t="s">
        <v>298</v>
      </c>
      <c r="D145" s="749" t="s">
        <v>492</v>
      </c>
      <c r="E145" s="738" t="s">
        <v>300</v>
      </c>
      <c r="F145" s="739"/>
      <c r="G145" s="739"/>
      <c r="H145" s="739">
        <v>26.634</v>
      </c>
      <c r="I145" s="740">
        <f t="shared" si="65"/>
        <v>0</v>
      </c>
      <c r="J145" s="739">
        <v>28.919000000000004</v>
      </c>
      <c r="K145" s="686"/>
      <c r="L145" s="739">
        <f t="shared" si="88"/>
        <v>28.919000000000004</v>
      </c>
      <c r="M145" s="740">
        <f t="shared" si="66"/>
        <v>8.5792595930014412E-2</v>
      </c>
      <c r="N145" s="739">
        <v>0</v>
      </c>
      <c r="O145" s="740">
        <f t="shared" si="89"/>
        <v>-1</v>
      </c>
      <c r="P145" s="739">
        <v>0</v>
      </c>
      <c r="Q145" s="741"/>
      <c r="R145" s="742">
        <f t="shared" si="86"/>
        <v>0</v>
      </c>
      <c r="S145" s="742"/>
      <c r="T145" s="742"/>
      <c r="U145" s="743">
        <v>0</v>
      </c>
      <c r="V145" s="743">
        <v>0</v>
      </c>
      <c r="W145" s="743">
        <v>0</v>
      </c>
      <c r="X145" s="743">
        <v>0</v>
      </c>
      <c r="Y145" s="743">
        <v>0</v>
      </c>
      <c r="Z145" s="743">
        <v>0</v>
      </c>
      <c r="AA145" s="743">
        <v>0</v>
      </c>
      <c r="AB145" s="743">
        <v>0</v>
      </c>
      <c r="AC145" s="743">
        <v>0</v>
      </c>
      <c r="AD145" s="744">
        <v>0</v>
      </c>
      <c r="AE145" s="744">
        <v>0</v>
      </c>
      <c r="AF145" s="745">
        <v>0</v>
      </c>
      <c r="AG145" s="733">
        <f t="shared" si="71"/>
        <v>0</v>
      </c>
      <c r="AH145" s="208">
        <f t="shared" si="72"/>
        <v>0</v>
      </c>
      <c r="AI145" s="208">
        <f t="shared" si="73"/>
        <v>0</v>
      </c>
      <c r="AJ145" s="208">
        <f t="shared" si="74"/>
        <v>0</v>
      </c>
      <c r="AK145" s="208">
        <f t="shared" si="75"/>
        <v>0</v>
      </c>
      <c r="AL145" s="208">
        <f t="shared" si="76"/>
        <v>0</v>
      </c>
      <c r="AM145" s="680"/>
      <c r="AN145" s="746">
        <f t="shared" si="87"/>
        <v>0</v>
      </c>
      <c r="AO145" s="746">
        <f t="shared" si="87"/>
        <v>0</v>
      </c>
      <c r="AP145" s="746">
        <f t="shared" si="87"/>
        <v>0</v>
      </c>
      <c r="AQ145" s="746">
        <f t="shared" si="87"/>
        <v>0</v>
      </c>
      <c r="AR145" s="746">
        <f t="shared" si="87"/>
        <v>0</v>
      </c>
      <c r="AS145" s="746">
        <f t="shared" si="87"/>
        <v>0</v>
      </c>
      <c r="AT145" s="746">
        <f t="shared" si="87"/>
        <v>0</v>
      </c>
      <c r="AU145" s="746">
        <f t="shared" si="87"/>
        <v>0</v>
      </c>
      <c r="AV145" s="746">
        <f t="shared" si="87"/>
        <v>0</v>
      </c>
      <c r="AW145" s="746">
        <f t="shared" si="87"/>
        <v>0</v>
      </c>
      <c r="AX145" s="746">
        <f t="shared" si="87"/>
        <v>0</v>
      </c>
      <c r="AY145" s="746">
        <f t="shared" si="87"/>
        <v>0</v>
      </c>
      <c r="AZ145" s="733">
        <f t="shared" si="78"/>
        <v>0</v>
      </c>
      <c r="BA145" s="636">
        <f t="shared" si="79"/>
        <v>0</v>
      </c>
      <c r="BB145" s="636">
        <f t="shared" si="80"/>
        <v>0</v>
      </c>
      <c r="BC145" s="636">
        <f t="shared" si="81"/>
        <v>0</v>
      </c>
      <c r="BD145" s="636">
        <f t="shared" si="82"/>
        <v>0</v>
      </c>
      <c r="BE145" s="735">
        <f t="shared" si="83"/>
        <v>0</v>
      </c>
      <c r="BF145" s="680"/>
      <c r="BG145" s="680"/>
      <c r="BH145" s="680"/>
      <c r="BI145" s="680"/>
      <c r="BJ145" s="680"/>
      <c r="BK145" s="680"/>
      <c r="BL145" s="680"/>
      <c r="BM145" s="680"/>
      <c r="BN145" s="680"/>
    </row>
    <row r="146" spans="1:66" ht="24">
      <c r="A146" s="722" t="s">
        <v>303</v>
      </c>
      <c r="B146" s="723" t="s">
        <v>135</v>
      </c>
      <c r="C146" s="754" t="s">
        <v>298</v>
      </c>
      <c r="D146" s="749" t="s">
        <v>493</v>
      </c>
      <c r="E146" s="738" t="s">
        <v>300</v>
      </c>
      <c r="F146" s="739"/>
      <c r="G146" s="739"/>
      <c r="H146" s="739">
        <v>8.56</v>
      </c>
      <c r="I146" s="740">
        <f t="shared" si="65"/>
        <v>0</v>
      </c>
      <c r="J146" s="739">
        <v>13.013999999999999</v>
      </c>
      <c r="K146" s="686"/>
      <c r="L146" s="739">
        <f t="shared" si="88"/>
        <v>13.013999999999999</v>
      </c>
      <c r="M146" s="740">
        <f t="shared" si="66"/>
        <v>0.52032710280373817</v>
      </c>
      <c r="N146" s="739">
        <v>0</v>
      </c>
      <c r="O146" s="740">
        <f t="shared" si="89"/>
        <v>-1</v>
      </c>
      <c r="P146" s="739">
        <v>0</v>
      </c>
      <c r="Q146" s="741"/>
      <c r="R146" s="742">
        <f t="shared" si="86"/>
        <v>0</v>
      </c>
      <c r="S146" s="742"/>
      <c r="T146" s="742"/>
      <c r="U146" s="743">
        <v>0</v>
      </c>
      <c r="V146" s="743">
        <v>0</v>
      </c>
      <c r="W146" s="743">
        <v>0</v>
      </c>
      <c r="X146" s="743">
        <v>0</v>
      </c>
      <c r="Y146" s="743">
        <v>0</v>
      </c>
      <c r="Z146" s="743">
        <v>0</v>
      </c>
      <c r="AA146" s="743">
        <v>0</v>
      </c>
      <c r="AB146" s="743">
        <v>0</v>
      </c>
      <c r="AC146" s="743">
        <v>0</v>
      </c>
      <c r="AD146" s="744">
        <v>0</v>
      </c>
      <c r="AE146" s="744">
        <v>0</v>
      </c>
      <c r="AF146" s="745">
        <v>0</v>
      </c>
      <c r="AG146" s="733">
        <f t="shared" si="71"/>
        <v>0</v>
      </c>
      <c r="AH146" s="208">
        <f t="shared" si="72"/>
        <v>0</v>
      </c>
      <c r="AI146" s="208">
        <f t="shared" si="73"/>
        <v>0</v>
      </c>
      <c r="AJ146" s="208">
        <f t="shared" si="74"/>
        <v>0</v>
      </c>
      <c r="AK146" s="208">
        <f t="shared" si="75"/>
        <v>0</v>
      </c>
      <c r="AL146" s="208">
        <f t="shared" si="76"/>
        <v>0</v>
      </c>
      <c r="AM146" s="680"/>
      <c r="AN146" s="746">
        <f t="shared" si="87"/>
        <v>0</v>
      </c>
      <c r="AO146" s="746">
        <f t="shared" si="87"/>
        <v>0</v>
      </c>
      <c r="AP146" s="746">
        <f t="shared" si="87"/>
        <v>0</v>
      </c>
      <c r="AQ146" s="746">
        <f t="shared" si="87"/>
        <v>0</v>
      </c>
      <c r="AR146" s="746">
        <f t="shared" si="87"/>
        <v>0</v>
      </c>
      <c r="AS146" s="746">
        <f t="shared" si="87"/>
        <v>0</v>
      </c>
      <c r="AT146" s="746">
        <f t="shared" si="87"/>
        <v>0</v>
      </c>
      <c r="AU146" s="746">
        <f t="shared" si="87"/>
        <v>0</v>
      </c>
      <c r="AV146" s="746">
        <f t="shared" si="87"/>
        <v>0</v>
      </c>
      <c r="AW146" s="746">
        <f t="shared" si="87"/>
        <v>0</v>
      </c>
      <c r="AX146" s="746">
        <f t="shared" si="87"/>
        <v>0</v>
      </c>
      <c r="AY146" s="746">
        <f t="shared" si="87"/>
        <v>0</v>
      </c>
      <c r="AZ146" s="733">
        <f t="shared" si="78"/>
        <v>0</v>
      </c>
      <c r="BA146" s="636">
        <f t="shared" si="79"/>
        <v>0</v>
      </c>
      <c r="BB146" s="636">
        <f t="shared" si="80"/>
        <v>0</v>
      </c>
      <c r="BC146" s="636">
        <f t="shared" si="81"/>
        <v>0</v>
      </c>
      <c r="BD146" s="636">
        <f t="shared" si="82"/>
        <v>0</v>
      </c>
      <c r="BE146" s="735">
        <f t="shared" si="83"/>
        <v>0</v>
      </c>
      <c r="BF146" s="680"/>
      <c r="BG146" s="680"/>
      <c r="BH146" s="680"/>
      <c r="BI146" s="680"/>
      <c r="BJ146" s="680"/>
      <c r="BK146" s="680"/>
      <c r="BL146" s="680"/>
      <c r="BM146" s="680"/>
      <c r="BN146" s="680"/>
    </row>
    <row r="147" spans="1:66" ht="48">
      <c r="A147" s="722" t="s">
        <v>308</v>
      </c>
      <c r="B147" s="723" t="s">
        <v>135</v>
      </c>
      <c r="C147" s="754" t="s">
        <v>272</v>
      </c>
      <c r="D147" s="749" t="str">
        <f>+A147</f>
        <v>Next 1 Anti Bacterial Sport Bar White</v>
      </c>
      <c r="E147" s="738" t="s">
        <v>274</v>
      </c>
      <c r="F147" s="739"/>
      <c r="G147" s="739"/>
      <c r="H147" s="739"/>
      <c r="I147" s="740"/>
      <c r="J147" s="739">
        <v>155.40200000000002</v>
      </c>
      <c r="K147" s="686"/>
      <c r="L147" s="739">
        <f t="shared" si="88"/>
        <v>155.40200000000002</v>
      </c>
      <c r="M147" s="740">
        <f t="shared" si="66"/>
        <v>0</v>
      </c>
      <c r="N147" s="739">
        <v>300</v>
      </c>
      <c r="O147" s="740">
        <f t="shared" si="89"/>
        <v>0.93047708523699801</v>
      </c>
      <c r="P147" s="739">
        <v>92810.0597825</v>
      </c>
      <c r="Q147" s="741"/>
      <c r="R147" s="742">
        <f t="shared" si="86"/>
        <v>2.7843017934750001</v>
      </c>
      <c r="S147" s="742"/>
      <c r="T147" s="742"/>
      <c r="U147" s="743"/>
      <c r="V147" s="743"/>
      <c r="W147" s="743">
        <v>100</v>
      </c>
      <c r="X147" s="743"/>
      <c r="Y147" s="743"/>
      <c r="Z147" s="743"/>
      <c r="AA147" s="743">
        <v>100</v>
      </c>
      <c r="AB147" s="743"/>
      <c r="AC147" s="743"/>
      <c r="AD147" s="744"/>
      <c r="AE147" s="743">
        <v>100</v>
      </c>
      <c r="AF147" s="745"/>
      <c r="AG147" s="733">
        <f t="shared" si="71"/>
        <v>0</v>
      </c>
      <c r="AH147" s="208">
        <f t="shared" si="72"/>
        <v>100</v>
      </c>
      <c r="AI147" s="208">
        <f t="shared" si="73"/>
        <v>0</v>
      </c>
      <c r="AJ147" s="208">
        <f t="shared" si="74"/>
        <v>100</v>
      </c>
      <c r="AK147" s="208">
        <f t="shared" si="75"/>
        <v>100</v>
      </c>
      <c r="AL147" s="208">
        <f t="shared" si="76"/>
        <v>300</v>
      </c>
      <c r="AM147" s="680"/>
      <c r="AN147" s="746">
        <f t="shared" si="87"/>
        <v>0</v>
      </c>
      <c r="AO147" s="746">
        <f t="shared" si="87"/>
        <v>0</v>
      </c>
      <c r="AP147" s="746">
        <f t="shared" si="87"/>
        <v>0.9281005978250001</v>
      </c>
      <c r="AQ147" s="746">
        <f t="shared" si="87"/>
        <v>0</v>
      </c>
      <c r="AR147" s="746">
        <f t="shared" si="87"/>
        <v>0</v>
      </c>
      <c r="AS147" s="746">
        <f t="shared" si="87"/>
        <v>0</v>
      </c>
      <c r="AT147" s="746">
        <f t="shared" si="87"/>
        <v>0.9281005978250001</v>
      </c>
      <c r="AU147" s="746">
        <f t="shared" si="87"/>
        <v>0</v>
      </c>
      <c r="AV147" s="746">
        <f t="shared" si="87"/>
        <v>0</v>
      </c>
      <c r="AW147" s="746">
        <f t="shared" si="87"/>
        <v>0</v>
      </c>
      <c r="AX147" s="746">
        <f t="shared" si="87"/>
        <v>0.9281005978250001</v>
      </c>
      <c r="AY147" s="746">
        <f t="shared" si="87"/>
        <v>0</v>
      </c>
      <c r="AZ147" s="733">
        <f t="shared" si="78"/>
        <v>0</v>
      </c>
      <c r="BA147" s="636">
        <f t="shared" si="79"/>
        <v>0.9281005978250001</v>
      </c>
      <c r="BB147" s="636">
        <f t="shared" si="80"/>
        <v>0</v>
      </c>
      <c r="BC147" s="636">
        <f t="shared" si="81"/>
        <v>0.9281005978250001</v>
      </c>
      <c r="BD147" s="636">
        <f t="shared" si="82"/>
        <v>0.9281005978250001</v>
      </c>
      <c r="BE147" s="735">
        <f t="shared" si="83"/>
        <v>2.7843017934750005</v>
      </c>
      <c r="BF147" s="680"/>
      <c r="BG147" s="680"/>
      <c r="BH147" s="680"/>
      <c r="BI147" s="680"/>
      <c r="BJ147" s="680"/>
      <c r="BK147" s="680"/>
      <c r="BL147" s="680"/>
      <c r="BM147" s="680"/>
      <c r="BN147" s="680"/>
    </row>
    <row r="148" spans="1:66" ht="12.75">
      <c r="A148" s="722"/>
      <c r="B148" s="723"/>
      <c r="C148" s="754"/>
      <c r="D148" s="749"/>
      <c r="E148" s="738"/>
      <c r="F148" s="739"/>
      <c r="G148" s="739"/>
      <c r="H148" s="739"/>
      <c r="I148" s="740"/>
      <c r="J148" s="739"/>
      <c r="K148" s="686"/>
      <c r="L148" s="739"/>
      <c r="M148" s="740"/>
      <c r="N148" s="739"/>
      <c r="O148" s="740"/>
      <c r="P148" s="739"/>
      <c r="Q148" s="741"/>
      <c r="R148" s="742">
        <f t="shared" si="86"/>
        <v>0</v>
      </c>
      <c r="S148" s="742"/>
      <c r="T148" s="742"/>
      <c r="U148" s="743"/>
      <c r="V148" s="743"/>
      <c r="W148" s="743"/>
      <c r="X148" s="743"/>
      <c r="Y148" s="743"/>
      <c r="Z148" s="743"/>
      <c r="AA148" s="743"/>
      <c r="AB148" s="743"/>
      <c r="AC148" s="743"/>
      <c r="AD148" s="744"/>
      <c r="AE148" s="744"/>
      <c r="AF148" s="745"/>
      <c r="AG148" s="733">
        <f t="shared" si="71"/>
        <v>0</v>
      </c>
      <c r="AH148" s="208">
        <f t="shared" si="72"/>
        <v>0</v>
      </c>
      <c r="AI148" s="208">
        <f t="shared" si="73"/>
        <v>0</v>
      </c>
      <c r="AJ148" s="208">
        <f t="shared" si="74"/>
        <v>0</v>
      </c>
      <c r="AK148" s="208">
        <f t="shared" si="75"/>
        <v>0</v>
      </c>
      <c r="AL148" s="208">
        <f t="shared" si="76"/>
        <v>0</v>
      </c>
      <c r="AM148" s="680"/>
      <c r="AN148" s="746">
        <f t="shared" si="87"/>
        <v>0</v>
      </c>
      <c r="AO148" s="746">
        <f t="shared" si="87"/>
        <v>0</v>
      </c>
      <c r="AP148" s="746">
        <f t="shared" si="87"/>
        <v>0</v>
      </c>
      <c r="AQ148" s="746">
        <f t="shared" si="87"/>
        <v>0</v>
      </c>
      <c r="AR148" s="746">
        <f t="shared" si="87"/>
        <v>0</v>
      </c>
      <c r="AS148" s="746">
        <f t="shared" si="87"/>
        <v>0</v>
      </c>
      <c r="AT148" s="746">
        <f t="shared" si="87"/>
        <v>0</v>
      </c>
      <c r="AU148" s="746">
        <f t="shared" si="87"/>
        <v>0</v>
      </c>
      <c r="AV148" s="746">
        <f t="shared" si="87"/>
        <v>0</v>
      </c>
      <c r="AW148" s="746">
        <f t="shared" si="87"/>
        <v>0</v>
      </c>
      <c r="AX148" s="746">
        <f t="shared" si="87"/>
        <v>0</v>
      </c>
      <c r="AY148" s="746">
        <f t="shared" si="87"/>
        <v>0</v>
      </c>
      <c r="AZ148" s="733">
        <f t="shared" si="78"/>
        <v>0</v>
      </c>
      <c r="BA148" s="636">
        <f t="shared" si="79"/>
        <v>0</v>
      </c>
      <c r="BB148" s="636">
        <f t="shared" si="80"/>
        <v>0</v>
      </c>
      <c r="BC148" s="636">
        <f t="shared" si="81"/>
        <v>0</v>
      </c>
      <c r="BD148" s="636">
        <f t="shared" si="82"/>
        <v>0</v>
      </c>
      <c r="BE148" s="735">
        <f t="shared" si="83"/>
        <v>0</v>
      </c>
      <c r="BF148" s="680"/>
      <c r="BG148" s="680"/>
      <c r="BH148" s="680"/>
      <c r="BI148" s="680"/>
      <c r="BJ148" s="680"/>
      <c r="BK148" s="680"/>
      <c r="BL148" s="680"/>
      <c r="BM148" s="680"/>
      <c r="BN148" s="680"/>
    </row>
    <row r="149" spans="1:66" ht="12.75">
      <c r="A149" s="722"/>
      <c r="B149" s="723"/>
      <c r="C149" s="754"/>
      <c r="D149" s="749"/>
      <c r="E149" s="738"/>
      <c r="F149" s="739"/>
      <c r="G149" s="739"/>
      <c r="H149" s="739"/>
      <c r="I149" s="740"/>
      <c r="J149" s="739"/>
      <c r="K149" s="686"/>
      <c r="L149" s="739"/>
      <c r="M149" s="740"/>
      <c r="N149" s="739"/>
      <c r="O149" s="740"/>
      <c r="P149" s="739"/>
      <c r="Q149" s="741"/>
      <c r="R149" s="742">
        <f t="shared" si="86"/>
        <v>0</v>
      </c>
      <c r="S149" s="742"/>
      <c r="T149" s="742"/>
      <c r="U149" s="743"/>
      <c r="V149" s="743"/>
      <c r="W149" s="743"/>
      <c r="X149" s="743"/>
      <c r="Y149" s="743"/>
      <c r="Z149" s="743"/>
      <c r="AA149" s="743"/>
      <c r="AB149" s="743"/>
      <c r="AC149" s="743"/>
      <c r="AD149" s="744"/>
      <c r="AE149" s="744"/>
      <c r="AF149" s="745"/>
      <c r="AG149" s="733">
        <f t="shared" si="71"/>
        <v>0</v>
      </c>
      <c r="AH149" s="208">
        <f t="shared" si="72"/>
        <v>0</v>
      </c>
      <c r="AI149" s="208">
        <f t="shared" si="73"/>
        <v>0</v>
      </c>
      <c r="AJ149" s="208">
        <f t="shared" si="74"/>
        <v>0</v>
      </c>
      <c r="AK149" s="208">
        <f t="shared" si="75"/>
        <v>0</v>
      </c>
      <c r="AL149" s="208">
        <f t="shared" si="76"/>
        <v>0</v>
      </c>
      <c r="AM149" s="680"/>
      <c r="AN149" s="746">
        <f t="shared" si="87"/>
        <v>0</v>
      </c>
      <c r="AO149" s="746">
        <f t="shared" si="87"/>
        <v>0</v>
      </c>
      <c r="AP149" s="746">
        <f t="shared" si="87"/>
        <v>0</v>
      </c>
      <c r="AQ149" s="746">
        <f t="shared" si="87"/>
        <v>0</v>
      </c>
      <c r="AR149" s="746">
        <f t="shared" si="87"/>
        <v>0</v>
      </c>
      <c r="AS149" s="746">
        <f t="shared" si="87"/>
        <v>0</v>
      </c>
      <c r="AT149" s="746">
        <f t="shared" si="87"/>
        <v>0</v>
      </c>
      <c r="AU149" s="746">
        <f t="shared" si="87"/>
        <v>0</v>
      </c>
      <c r="AV149" s="746">
        <f t="shared" si="87"/>
        <v>0</v>
      </c>
      <c r="AW149" s="746">
        <f t="shared" si="87"/>
        <v>0</v>
      </c>
      <c r="AX149" s="746">
        <f t="shared" si="87"/>
        <v>0</v>
      </c>
      <c r="AY149" s="746">
        <f t="shared" si="87"/>
        <v>0</v>
      </c>
      <c r="AZ149" s="733">
        <f t="shared" si="78"/>
        <v>0</v>
      </c>
      <c r="BA149" s="636">
        <f t="shared" si="79"/>
        <v>0</v>
      </c>
      <c r="BB149" s="636">
        <f t="shared" si="80"/>
        <v>0</v>
      </c>
      <c r="BC149" s="636">
        <f t="shared" si="81"/>
        <v>0</v>
      </c>
      <c r="BD149" s="636">
        <f t="shared" si="82"/>
        <v>0</v>
      </c>
      <c r="BE149" s="735">
        <f t="shared" si="83"/>
        <v>0</v>
      </c>
      <c r="BF149" s="680"/>
      <c r="BG149" s="680"/>
      <c r="BH149" s="680"/>
      <c r="BI149" s="680"/>
      <c r="BJ149" s="680"/>
      <c r="BK149" s="680"/>
      <c r="BL149" s="680"/>
      <c r="BM149" s="680"/>
      <c r="BN149" s="680"/>
    </row>
    <row r="150" spans="1:66" ht="12.75">
      <c r="A150" s="722"/>
      <c r="B150" s="723"/>
      <c r="C150" s="754"/>
      <c r="D150" s="749"/>
      <c r="E150" s="738"/>
      <c r="F150" s="739"/>
      <c r="G150" s="739"/>
      <c r="H150" s="739"/>
      <c r="I150" s="740"/>
      <c r="J150" s="739"/>
      <c r="K150" s="686"/>
      <c r="L150" s="739"/>
      <c r="M150" s="740"/>
      <c r="N150" s="739"/>
      <c r="O150" s="740"/>
      <c r="P150" s="739"/>
      <c r="Q150" s="741"/>
      <c r="R150" s="742">
        <f t="shared" si="86"/>
        <v>0</v>
      </c>
      <c r="S150" s="742"/>
      <c r="T150" s="742"/>
      <c r="U150" s="743"/>
      <c r="V150" s="743"/>
      <c r="W150" s="743"/>
      <c r="X150" s="743"/>
      <c r="Y150" s="743"/>
      <c r="Z150" s="743"/>
      <c r="AA150" s="743"/>
      <c r="AB150" s="743"/>
      <c r="AC150" s="743"/>
      <c r="AD150" s="744"/>
      <c r="AE150" s="744"/>
      <c r="AF150" s="745"/>
      <c r="AG150" s="733">
        <f t="shared" si="71"/>
        <v>0</v>
      </c>
      <c r="AH150" s="208">
        <f t="shared" si="72"/>
        <v>0</v>
      </c>
      <c r="AI150" s="208">
        <f t="shared" si="73"/>
        <v>0</v>
      </c>
      <c r="AJ150" s="208">
        <f t="shared" si="74"/>
        <v>0</v>
      </c>
      <c r="AK150" s="208">
        <f t="shared" si="75"/>
        <v>0</v>
      </c>
      <c r="AL150" s="208">
        <f t="shared" si="76"/>
        <v>0</v>
      </c>
      <c r="AM150" s="680"/>
      <c r="AN150" s="746">
        <f t="shared" si="87"/>
        <v>0</v>
      </c>
      <c r="AO150" s="746">
        <f t="shared" si="87"/>
        <v>0</v>
      </c>
      <c r="AP150" s="746">
        <f t="shared" si="87"/>
        <v>0</v>
      </c>
      <c r="AQ150" s="746">
        <f t="shared" si="87"/>
        <v>0</v>
      </c>
      <c r="AR150" s="746">
        <f t="shared" si="87"/>
        <v>0</v>
      </c>
      <c r="AS150" s="746">
        <f t="shared" si="87"/>
        <v>0</v>
      </c>
      <c r="AT150" s="746">
        <f t="shared" si="87"/>
        <v>0</v>
      </c>
      <c r="AU150" s="746">
        <f t="shared" si="87"/>
        <v>0</v>
      </c>
      <c r="AV150" s="746">
        <f t="shared" si="87"/>
        <v>0</v>
      </c>
      <c r="AW150" s="746">
        <f t="shared" si="87"/>
        <v>0</v>
      </c>
      <c r="AX150" s="746">
        <f t="shared" si="87"/>
        <v>0</v>
      </c>
      <c r="AY150" s="746">
        <f t="shared" si="87"/>
        <v>0</v>
      </c>
      <c r="AZ150" s="733">
        <f t="shared" si="78"/>
        <v>0</v>
      </c>
      <c r="BA150" s="636">
        <f t="shared" si="79"/>
        <v>0</v>
      </c>
      <c r="BB150" s="636">
        <f t="shared" si="80"/>
        <v>0</v>
      </c>
      <c r="BC150" s="636">
        <f t="shared" si="81"/>
        <v>0</v>
      </c>
      <c r="BD150" s="636">
        <f t="shared" si="82"/>
        <v>0</v>
      </c>
      <c r="BE150" s="735">
        <f t="shared" si="83"/>
        <v>0</v>
      </c>
      <c r="BF150" s="680"/>
      <c r="BG150" s="680"/>
      <c r="BH150" s="680"/>
      <c r="BI150" s="680"/>
      <c r="BJ150" s="680"/>
      <c r="BK150" s="680"/>
      <c r="BL150" s="680"/>
      <c r="BM150" s="680"/>
      <c r="BN150" s="680"/>
    </row>
    <row r="151" spans="1:66" ht="12.75">
      <c r="A151" s="722"/>
      <c r="B151" s="723"/>
      <c r="C151" s="754"/>
      <c r="D151" s="749"/>
      <c r="E151" s="738"/>
      <c r="F151" s="739"/>
      <c r="G151" s="739"/>
      <c r="H151" s="739"/>
      <c r="I151" s="740"/>
      <c r="J151" s="739"/>
      <c r="K151" s="686"/>
      <c r="L151" s="739"/>
      <c r="M151" s="740"/>
      <c r="N151" s="739"/>
      <c r="O151" s="740"/>
      <c r="P151" s="739"/>
      <c r="Q151" s="741"/>
      <c r="R151" s="742">
        <f t="shared" si="86"/>
        <v>0</v>
      </c>
      <c r="S151" s="742"/>
      <c r="T151" s="742"/>
      <c r="U151" s="743"/>
      <c r="V151" s="743"/>
      <c r="W151" s="743"/>
      <c r="X151" s="743"/>
      <c r="Y151" s="743"/>
      <c r="Z151" s="743"/>
      <c r="AA151" s="743"/>
      <c r="AB151" s="743"/>
      <c r="AC151" s="743"/>
      <c r="AD151" s="744"/>
      <c r="AE151" s="744"/>
      <c r="AF151" s="745"/>
      <c r="AG151" s="733">
        <f t="shared" si="71"/>
        <v>0</v>
      </c>
      <c r="AH151" s="208">
        <f t="shared" si="72"/>
        <v>0</v>
      </c>
      <c r="AI151" s="208">
        <f t="shared" si="73"/>
        <v>0</v>
      </c>
      <c r="AJ151" s="208">
        <f t="shared" si="74"/>
        <v>0</v>
      </c>
      <c r="AK151" s="208">
        <f t="shared" si="75"/>
        <v>0</v>
      </c>
      <c r="AL151" s="208">
        <f t="shared" si="76"/>
        <v>0</v>
      </c>
      <c r="AM151" s="680"/>
      <c r="AN151" s="746">
        <f t="shared" si="87"/>
        <v>0</v>
      </c>
      <c r="AO151" s="746">
        <f t="shared" si="87"/>
        <v>0</v>
      </c>
      <c r="AP151" s="746">
        <f t="shared" si="87"/>
        <v>0</v>
      </c>
      <c r="AQ151" s="746">
        <f t="shared" si="87"/>
        <v>0</v>
      </c>
      <c r="AR151" s="746">
        <f t="shared" si="87"/>
        <v>0</v>
      </c>
      <c r="AS151" s="746">
        <f t="shared" si="87"/>
        <v>0</v>
      </c>
      <c r="AT151" s="746">
        <f t="shared" si="87"/>
        <v>0</v>
      </c>
      <c r="AU151" s="746">
        <f t="shared" si="87"/>
        <v>0</v>
      </c>
      <c r="AV151" s="746">
        <f t="shared" si="87"/>
        <v>0</v>
      </c>
      <c r="AW151" s="746">
        <f t="shared" si="87"/>
        <v>0</v>
      </c>
      <c r="AX151" s="746">
        <f t="shared" si="87"/>
        <v>0</v>
      </c>
      <c r="AY151" s="746">
        <f t="shared" si="87"/>
        <v>0</v>
      </c>
      <c r="AZ151" s="733">
        <f t="shared" si="78"/>
        <v>0</v>
      </c>
      <c r="BA151" s="636">
        <f t="shared" si="79"/>
        <v>0</v>
      </c>
      <c r="BB151" s="636">
        <f t="shared" si="80"/>
        <v>0</v>
      </c>
      <c r="BC151" s="636">
        <f t="shared" si="81"/>
        <v>0</v>
      </c>
      <c r="BD151" s="636">
        <f t="shared" si="82"/>
        <v>0</v>
      </c>
      <c r="BE151" s="735">
        <f t="shared" si="83"/>
        <v>0</v>
      </c>
      <c r="BF151" s="680"/>
      <c r="BG151" s="680"/>
      <c r="BH151" s="680"/>
      <c r="BI151" s="680"/>
      <c r="BJ151" s="680"/>
      <c r="BK151" s="680"/>
      <c r="BL151" s="680"/>
      <c r="BM151" s="680"/>
      <c r="BN151" s="680"/>
    </row>
    <row r="152" spans="1:66" ht="12.75">
      <c r="A152" s="722"/>
      <c r="B152" s="723"/>
      <c r="C152" s="754"/>
      <c r="D152" s="749"/>
      <c r="E152" s="738"/>
      <c r="F152" s="739"/>
      <c r="G152" s="739"/>
      <c r="H152" s="739"/>
      <c r="I152" s="740"/>
      <c r="J152" s="739"/>
      <c r="K152" s="686"/>
      <c r="L152" s="739"/>
      <c r="M152" s="740"/>
      <c r="N152" s="739"/>
      <c r="O152" s="740"/>
      <c r="P152" s="739"/>
      <c r="Q152" s="741"/>
      <c r="R152" s="742">
        <f t="shared" si="86"/>
        <v>0</v>
      </c>
      <c r="S152" s="742"/>
      <c r="T152" s="742"/>
      <c r="U152" s="743"/>
      <c r="V152" s="743"/>
      <c r="W152" s="743"/>
      <c r="X152" s="743"/>
      <c r="Y152" s="743"/>
      <c r="Z152" s="743"/>
      <c r="AA152" s="743"/>
      <c r="AB152" s="743"/>
      <c r="AC152" s="743"/>
      <c r="AD152" s="744"/>
      <c r="AE152" s="744"/>
      <c r="AF152" s="745"/>
      <c r="AG152" s="733">
        <f t="shared" si="71"/>
        <v>0</v>
      </c>
      <c r="AH152" s="208">
        <f t="shared" si="72"/>
        <v>0</v>
      </c>
      <c r="AI152" s="208">
        <f t="shared" si="73"/>
        <v>0</v>
      </c>
      <c r="AJ152" s="208">
        <f t="shared" si="74"/>
        <v>0</v>
      </c>
      <c r="AK152" s="208">
        <f t="shared" si="75"/>
        <v>0</v>
      </c>
      <c r="AL152" s="208">
        <f t="shared" si="76"/>
        <v>0</v>
      </c>
      <c r="AM152" s="680"/>
      <c r="AN152" s="746">
        <f t="shared" si="87"/>
        <v>0</v>
      </c>
      <c r="AO152" s="746">
        <f t="shared" si="87"/>
        <v>0</v>
      </c>
      <c r="AP152" s="746">
        <f t="shared" si="87"/>
        <v>0</v>
      </c>
      <c r="AQ152" s="746">
        <f t="shared" si="87"/>
        <v>0</v>
      </c>
      <c r="AR152" s="746">
        <f t="shared" si="87"/>
        <v>0</v>
      </c>
      <c r="AS152" s="746">
        <f t="shared" si="87"/>
        <v>0</v>
      </c>
      <c r="AT152" s="746">
        <f t="shared" si="87"/>
        <v>0</v>
      </c>
      <c r="AU152" s="746">
        <f t="shared" si="87"/>
        <v>0</v>
      </c>
      <c r="AV152" s="746">
        <f t="shared" si="87"/>
        <v>0</v>
      </c>
      <c r="AW152" s="746">
        <f t="shared" si="87"/>
        <v>0</v>
      </c>
      <c r="AX152" s="746">
        <f t="shared" si="87"/>
        <v>0</v>
      </c>
      <c r="AY152" s="746">
        <f t="shared" si="87"/>
        <v>0</v>
      </c>
      <c r="AZ152" s="733">
        <f t="shared" si="78"/>
        <v>0</v>
      </c>
      <c r="BA152" s="636">
        <f t="shared" si="79"/>
        <v>0</v>
      </c>
      <c r="BB152" s="636">
        <f t="shared" si="80"/>
        <v>0</v>
      </c>
      <c r="BC152" s="636">
        <f t="shared" si="81"/>
        <v>0</v>
      </c>
      <c r="BD152" s="636">
        <f t="shared" si="82"/>
        <v>0</v>
      </c>
      <c r="BE152" s="735">
        <f t="shared" si="83"/>
        <v>0</v>
      </c>
      <c r="BF152" s="680"/>
      <c r="BG152" s="680"/>
      <c r="BH152" s="680"/>
      <c r="BI152" s="680"/>
      <c r="BJ152" s="680"/>
      <c r="BK152" s="680"/>
      <c r="BL152" s="680"/>
      <c r="BM152" s="680"/>
      <c r="BN152" s="680"/>
    </row>
    <row r="153" spans="1:66" ht="12.75">
      <c r="A153" s="722"/>
      <c r="B153" s="723"/>
      <c r="C153" s="754"/>
      <c r="D153" s="749"/>
      <c r="E153" s="738"/>
      <c r="F153" s="739"/>
      <c r="G153" s="739"/>
      <c r="H153" s="739"/>
      <c r="I153" s="740"/>
      <c r="J153" s="739"/>
      <c r="K153" s="686"/>
      <c r="L153" s="739"/>
      <c r="M153" s="740"/>
      <c r="N153" s="739"/>
      <c r="O153" s="740"/>
      <c r="P153" s="739"/>
      <c r="Q153" s="741"/>
      <c r="R153" s="742">
        <f t="shared" si="86"/>
        <v>0</v>
      </c>
      <c r="S153" s="742"/>
      <c r="T153" s="742"/>
      <c r="U153" s="743"/>
      <c r="V153" s="743"/>
      <c r="W153" s="743"/>
      <c r="X153" s="743"/>
      <c r="Y153" s="743"/>
      <c r="Z153" s="743"/>
      <c r="AA153" s="743"/>
      <c r="AB153" s="743"/>
      <c r="AC153" s="743"/>
      <c r="AD153" s="744"/>
      <c r="AE153" s="744"/>
      <c r="AF153" s="745"/>
      <c r="AG153" s="733">
        <f t="shared" si="71"/>
        <v>0</v>
      </c>
      <c r="AH153" s="208">
        <f t="shared" si="72"/>
        <v>0</v>
      </c>
      <c r="AI153" s="208">
        <f t="shared" si="73"/>
        <v>0</v>
      </c>
      <c r="AJ153" s="208">
        <f t="shared" si="74"/>
        <v>0</v>
      </c>
      <c r="AK153" s="208">
        <f t="shared" si="75"/>
        <v>0</v>
      </c>
      <c r="AL153" s="208">
        <f t="shared" si="76"/>
        <v>0</v>
      </c>
      <c r="AM153" s="680"/>
      <c r="AN153" s="746">
        <f t="shared" si="87"/>
        <v>0</v>
      </c>
      <c r="AO153" s="746">
        <f t="shared" si="87"/>
        <v>0</v>
      </c>
      <c r="AP153" s="746">
        <f t="shared" si="87"/>
        <v>0</v>
      </c>
      <c r="AQ153" s="746">
        <f t="shared" si="87"/>
        <v>0</v>
      </c>
      <c r="AR153" s="746">
        <f t="shared" si="87"/>
        <v>0</v>
      </c>
      <c r="AS153" s="746">
        <f t="shared" si="87"/>
        <v>0</v>
      </c>
      <c r="AT153" s="746">
        <f t="shared" si="87"/>
        <v>0</v>
      </c>
      <c r="AU153" s="746">
        <f t="shared" si="87"/>
        <v>0</v>
      </c>
      <c r="AV153" s="746">
        <f t="shared" si="87"/>
        <v>0</v>
      </c>
      <c r="AW153" s="746">
        <f t="shared" si="87"/>
        <v>0</v>
      </c>
      <c r="AX153" s="746">
        <f t="shared" si="87"/>
        <v>0</v>
      </c>
      <c r="AY153" s="746">
        <f t="shared" si="87"/>
        <v>0</v>
      </c>
      <c r="AZ153" s="733">
        <f t="shared" si="78"/>
        <v>0</v>
      </c>
      <c r="BA153" s="636">
        <f t="shared" si="79"/>
        <v>0</v>
      </c>
      <c r="BB153" s="636">
        <f t="shared" si="80"/>
        <v>0</v>
      </c>
      <c r="BC153" s="636">
        <f t="shared" si="81"/>
        <v>0</v>
      </c>
      <c r="BD153" s="636">
        <f t="shared" si="82"/>
        <v>0</v>
      </c>
      <c r="BE153" s="735">
        <f t="shared" si="83"/>
        <v>0</v>
      </c>
      <c r="BF153" s="680"/>
      <c r="BG153" s="680"/>
      <c r="BH153" s="680"/>
      <c r="BI153" s="680"/>
      <c r="BJ153" s="680"/>
      <c r="BK153" s="680"/>
      <c r="BL153" s="680"/>
      <c r="BM153" s="680"/>
      <c r="BN153" s="680"/>
    </row>
    <row r="154" spans="1:66" ht="12.75">
      <c r="A154" s="722"/>
      <c r="B154" s="723"/>
      <c r="C154" s="754"/>
      <c r="D154" s="749"/>
      <c r="E154" s="738"/>
      <c r="F154" s="739"/>
      <c r="G154" s="739"/>
      <c r="H154" s="739"/>
      <c r="I154" s="740"/>
      <c r="J154" s="739"/>
      <c r="K154" s="686"/>
      <c r="L154" s="739"/>
      <c r="M154" s="740"/>
      <c r="N154" s="739"/>
      <c r="O154" s="740"/>
      <c r="P154" s="739"/>
      <c r="Q154" s="741"/>
      <c r="R154" s="742">
        <f t="shared" si="86"/>
        <v>0</v>
      </c>
      <c r="S154" s="742"/>
      <c r="T154" s="742"/>
      <c r="U154" s="743"/>
      <c r="V154" s="743"/>
      <c r="W154" s="743"/>
      <c r="X154" s="743"/>
      <c r="Y154" s="743"/>
      <c r="Z154" s="743"/>
      <c r="AA154" s="743"/>
      <c r="AB154" s="743"/>
      <c r="AC154" s="743"/>
      <c r="AD154" s="744"/>
      <c r="AE154" s="744"/>
      <c r="AF154" s="745"/>
      <c r="AG154" s="733">
        <f t="shared" si="71"/>
        <v>0</v>
      </c>
      <c r="AH154" s="208">
        <f t="shared" si="72"/>
        <v>0</v>
      </c>
      <c r="AI154" s="208">
        <f t="shared" si="73"/>
        <v>0</v>
      </c>
      <c r="AJ154" s="208">
        <f t="shared" si="74"/>
        <v>0</v>
      </c>
      <c r="AK154" s="208">
        <f t="shared" si="75"/>
        <v>0</v>
      </c>
      <c r="AL154" s="208">
        <f t="shared" si="76"/>
        <v>0</v>
      </c>
      <c r="AM154" s="680"/>
      <c r="AN154" s="746">
        <f t="shared" si="87"/>
        <v>0</v>
      </c>
      <c r="AO154" s="746">
        <f t="shared" si="87"/>
        <v>0</v>
      </c>
      <c r="AP154" s="746">
        <f t="shared" si="87"/>
        <v>0</v>
      </c>
      <c r="AQ154" s="746">
        <f t="shared" si="87"/>
        <v>0</v>
      </c>
      <c r="AR154" s="746">
        <f t="shared" si="87"/>
        <v>0</v>
      </c>
      <c r="AS154" s="746">
        <f t="shared" si="87"/>
        <v>0</v>
      </c>
      <c r="AT154" s="746">
        <f t="shared" si="87"/>
        <v>0</v>
      </c>
      <c r="AU154" s="746">
        <f t="shared" si="87"/>
        <v>0</v>
      </c>
      <c r="AV154" s="746">
        <f t="shared" si="87"/>
        <v>0</v>
      </c>
      <c r="AW154" s="746">
        <f t="shared" si="87"/>
        <v>0</v>
      </c>
      <c r="AX154" s="746">
        <f t="shared" si="87"/>
        <v>0</v>
      </c>
      <c r="AY154" s="746">
        <f t="shared" si="87"/>
        <v>0</v>
      </c>
      <c r="AZ154" s="733">
        <f t="shared" si="78"/>
        <v>0</v>
      </c>
      <c r="BA154" s="636">
        <f t="shared" si="79"/>
        <v>0</v>
      </c>
      <c r="BB154" s="636">
        <f t="shared" si="80"/>
        <v>0</v>
      </c>
      <c r="BC154" s="636">
        <f t="shared" si="81"/>
        <v>0</v>
      </c>
      <c r="BD154" s="636">
        <f t="shared" si="82"/>
        <v>0</v>
      </c>
      <c r="BE154" s="735">
        <f t="shared" si="83"/>
        <v>0</v>
      </c>
      <c r="BF154" s="680"/>
      <c r="BG154" s="680"/>
      <c r="BH154" s="680"/>
      <c r="BI154" s="680"/>
      <c r="BJ154" s="680"/>
      <c r="BK154" s="680"/>
      <c r="BL154" s="680"/>
      <c r="BM154" s="680"/>
      <c r="BN154" s="680"/>
    </row>
    <row r="155" spans="1:66" ht="12.75">
      <c r="A155" s="722"/>
      <c r="B155" s="723"/>
      <c r="C155" s="754"/>
      <c r="D155" s="749"/>
      <c r="E155" s="738"/>
      <c r="F155" s="739"/>
      <c r="G155" s="739"/>
      <c r="H155" s="739"/>
      <c r="I155" s="740"/>
      <c r="J155" s="739"/>
      <c r="K155" s="686"/>
      <c r="L155" s="739"/>
      <c r="M155" s="740"/>
      <c r="N155" s="739"/>
      <c r="O155" s="740"/>
      <c r="P155" s="739"/>
      <c r="Q155" s="741"/>
      <c r="R155" s="742">
        <f t="shared" si="86"/>
        <v>0</v>
      </c>
      <c r="S155" s="742"/>
      <c r="T155" s="742"/>
      <c r="U155" s="743"/>
      <c r="V155" s="743"/>
      <c r="W155" s="743"/>
      <c r="X155" s="743"/>
      <c r="Y155" s="743"/>
      <c r="Z155" s="743"/>
      <c r="AA155" s="743"/>
      <c r="AB155" s="743"/>
      <c r="AC155" s="743"/>
      <c r="AD155" s="744"/>
      <c r="AE155" s="744"/>
      <c r="AF155" s="745"/>
      <c r="AG155" s="733">
        <f t="shared" si="71"/>
        <v>0</v>
      </c>
      <c r="AH155" s="208">
        <f t="shared" si="72"/>
        <v>0</v>
      </c>
      <c r="AI155" s="208">
        <f t="shared" si="73"/>
        <v>0</v>
      </c>
      <c r="AJ155" s="208">
        <f t="shared" si="74"/>
        <v>0</v>
      </c>
      <c r="AK155" s="208">
        <f t="shared" si="75"/>
        <v>0</v>
      </c>
      <c r="AL155" s="208">
        <f t="shared" si="76"/>
        <v>0</v>
      </c>
      <c r="AM155" s="680"/>
      <c r="AN155" s="746">
        <f t="shared" si="87"/>
        <v>0</v>
      </c>
      <c r="AO155" s="746">
        <f t="shared" si="87"/>
        <v>0</v>
      </c>
      <c r="AP155" s="746">
        <f t="shared" si="87"/>
        <v>0</v>
      </c>
      <c r="AQ155" s="746">
        <f t="shared" si="87"/>
        <v>0</v>
      </c>
      <c r="AR155" s="746">
        <f t="shared" si="87"/>
        <v>0</v>
      </c>
      <c r="AS155" s="746">
        <f t="shared" si="87"/>
        <v>0</v>
      </c>
      <c r="AT155" s="746">
        <f t="shared" si="87"/>
        <v>0</v>
      </c>
      <c r="AU155" s="746">
        <f t="shared" si="87"/>
        <v>0</v>
      </c>
      <c r="AV155" s="746">
        <f t="shared" si="87"/>
        <v>0</v>
      </c>
      <c r="AW155" s="746">
        <f t="shared" si="87"/>
        <v>0</v>
      </c>
      <c r="AX155" s="746">
        <f t="shared" si="87"/>
        <v>0</v>
      </c>
      <c r="AY155" s="746">
        <f t="shared" si="87"/>
        <v>0</v>
      </c>
      <c r="AZ155" s="733">
        <f t="shared" si="78"/>
        <v>0</v>
      </c>
      <c r="BA155" s="636">
        <f t="shared" si="79"/>
        <v>0</v>
      </c>
      <c r="BB155" s="636">
        <f t="shared" si="80"/>
        <v>0</v>
      </c>
      <c r="BC155" s="636">
        <f t="shared" si="81"/>
        <v>0</v>
      </c>
      <c r="BD155" s="636">
        <f t="shared" si="82"/>
        <v>0</v>
      </c>
      <c r="BE155" s="735">
        <f t="shared" si="83"/>
        <v>0</v>
      </c>
      <c r="BF155" s="680"/>
      <c r="BG155" s="680"/>
      <c r="BH155" s="680"/>
      <c r="BI155" s="680"/>
      <c r="BJ155" s="680"/>
      <c r="BK155" s="680"/>
      <c r="BL155" s="680"/>
      <c r="BM155" s="680"/>
      <c r="BN155" s="680"/>
    </row>
    <row r="156" spans="1:66" ht="12.75">
      <c r="A156" s="722"/>
      <c r="B156" s="723"/>
      <c r="C156" s="754"/>
      <c r="D156" s="749"/>
      <c r="E156" s="738"/>
      <c r="F156" s="739"/>
      <c r="G156" s="739"/>
      <c r="H156" s="739"/>
      <c r="I156" s="740"/>
      <c r="J156" s="739"/>
      <c r="K156" s="686"/>
      <c r="L156" s="739"/>
      <c r="M156" s="740"/>
      <c r="N156" s="739"/>
      <c r="O156" s="740"/>
      <c r="P156" s="739"/>
      <c r="Q156" s="741"/>
      <c r="R156" s="742">
        <f t="shared" si="86"/>
        <v>0</v>
      </c>
      <c r="S156" s="742"/>
      <c r="T156" s="742"/>
      <c r="U156" s="743"/>
      <c r="V156" s="743"/>
      <c r="W156" s="743"/>
      <c r="X156" s="743"/>
      <c r="Y156" s="743"/>
      <c r="Z156" s="743"/>
      <c r="AA156" s="743"/>
      <c r="AB156" s="743"/>
      <c r="AC156" s="743"/>
      <c r="AD156" s="744"/>
      <c r="AE156" s="744"/>
      <c r="AF156" s="745"/>
      <c r="AG156" s="733">
        <f t="shared" si="71"/>
        <v>0</v>
      </c>
      <c r="AH156" s="208">
        <f t="shared" si="72"/>
        <v>0</v>
      </c>
      <c r="AI156" s="208">
        <f t="shared" si="73"/>
        <v>0</v>
      </c>
      <c r="AJ156" s="208">
        <f t="shared" si="74"/>
        <v>0</v>
      </c>
      <c r="AK156" s="208">
        <f t="shared" si="75"/>
        <v>0</v>
      </c>
      <c r="AL156" s="208">
        <f t="shared" si="76"/>
        <v>0</v>
      </c>
      <c r="AM156" s="680"/>
      <c r="AN156" s="746">
        <f t="shared" si="87"/>
        <v>0</v>
      </c>
      <c r="AO156" s="746">
        <f t="shared" si="87"/>
        <v>0</v>
      </c>
      <c r="AP156" s="746">
        <f t="shared" si="87"/>
        <v>0</v>
      </c>
      <c r="AQ156" s="746">
        <f t="shared" si="87"/>
        <v>0</v>
      </c>
      <c r="AR156" s="746">
        <f t="shared" si="87"/>
        <v>0</v>
      </c>
      <c r="AS156" s="746">
        <f t="shared" si="87"/>
        <v>0</v>
      </c>
      <c r="AT156" s="746">
        <f t="shared" si="87"/>
        <v>0</v>
      </c>
      <c r="AU156" s="746">
        <f t="shared" si="87"/>
        <v>0</v>
      </c>
      <c r="AV156" s="746">
        <f t="shared" si="87"/>
        <v>0</v>
      </c>
      <c r="AW156" s="746">
        <f t="shared" si="87"/>
        <v>0</v>
      </c>
      <c r="AX156" s="746">
        <f t="shared" si="87"/>
        <v>0</v>
      </c>
      <c r="AY156" s="746">
        <f t="shared" si="87"/>
        <v>0</v>
      </c>
      <c r="AZ156" s="733">
        <f t="shared" si="78"/>
        <v>0</v>
      </c>
      <c r="BA156" s="636">
        <f t="shared" si="79"/>
        <v>0</v>
      </c>
      <c r="BB156" s="636">
        <f t="shared" si="80"/>
        <v>0</v>
      </c>
      <c r="BC156" s="636">
        <f t="shared" si="81"/>
        <v>0</v>
      </c>
      <c r="BD156" s="636">
        <f t="shared" si="82"/>
        <v>0</v>
      </c>
      <c r="BE156" s="735">
        <f t="shared" si="83"/>
        <v>0</v>
      </c>
      <c r="BF156" s="680"/>
      <c r="BG156" s="680"/>
      <c r="BH156" s="680"/>
      <c r="BI156" s="680"/>
      <c r="BJ156" s="680"/>
      <c r="BK156" s="680"/>
      <c r="BL156" s="680"/>
      <c r="BM156" s="680"/>
      <c r="BN156" s="680"/>
    </row>
    <row r="157" spans="1:66" ht="14.25" customHeight="1">
      <c r="A157" s="770"/>
      <c r="B157" s="771"/>
      <c r="C157" s="1096" t="s">
        <v>464</v>
      </c>
      <c r="D157" s="1097"/>
      <c r="E157" s="1097"/>
      <c r="F157" s="772">
        <f>SUM(F139:F143)</f>
        <v>159.42171999999999</v>
      </c>
      <c r="G157" s="772">
        <f>SUM(G139:G147)</f>
        <v>31.306000000000001</v>
      </c>
      <c r="H157" s="772">
        <f>SUM(H139:H147)</f>
        <v>82.194999999999993</v>
      </c>
      <c r="I157" s="773">
        <f>IF(ISERROR((H157-G157)/G157),0,((H157-G157)/G157))</f>
        <v>1.6255350412061584</v>
      </c>
      <c r="J157" s="772">
        <f>SUM(J139:J147)</f>
        <v>239.36600000000004</v>
      </c>
      <c r="K157" s="772">
        <f>SUM(K139:K147)</f>
        <v>0</v>
      </c>
      <c r="L157" s="772">
        <f>SUM(L139:L147)</f>
        <v>239.36600000000004</v>
      </c>
      <c r="M157" s="773">
        <f>IF(ISERROR((L157-H157)/H157),0,((L157-H157)/H157))</f>
        <v>1.9121722732526316</v>
      </c>
      <c r="N157" s="772">
        <f>SUM(N139:N147)</f>
        <v>300</v>
      </c>
      <c r="O157" s="773">
        <f t="shared" ref="O157:O162" si="90">IF(ISERROR((N157-L157)/L157),0,((N157-L157)/L157))</f>
        <v>0.25331082944110672</v>
      </c>
      <c r="P157" s="772"/>
      <c r="Q157" s="741"/>
      <c r="R157" s="774">
        <f>SUM(R139:R147)</f>
        <v>2.7843017934750001</v>
      </c>
      <c r="S157" s="742"/>
      <c r="T157" s="742"/>
      <c r="U157" s="772">
        <f>SUM(U139:U156)</f>
        <v>0</v>
      </c>
      <c r="V157" s="772">
        <f t="shared" ref="V157:AF157" si="91">SUM(V139:V156)</f>
        <v>0</v>
      </c>
      <c r="W157" s="772">
        <f t="shared" si="91"/>
        <v>100</v>
      </c>
      <c r="X157" s="772">
        <f t="shared" si="91"/>
        <v>0</v>
      </c>
      <c r="Y157" s="772">
        <f t="shared" si="91"/>
        <v>0</v>
      </c>
      <c r="Z157" s="772">
        <f t="shared" si="91"/>
        <v>0</v>
      </c>
      <c r="AA157" s="772">
        <f t="shared" si="91"/>
        <v>100</v>
      </c>
      <c r="AB157" s="772">
        <f t="shared" si="91"/>
        <v>0</v>
      </c>
      <c r="AC157" s="772">
        <f t="shared" si="91"/>
        <v>0</v>
      </c>
      <c r="AD157" s="772">
        <f t="shared" si="91"/>
        <v>0</v>
      </c>
      <c r="AE157" s="772">
        <f t="shared" si="91"/>
        <v>100</v>
      </c>
      <c r="AF157" s="772">
        <f t="shared" si="91"/>
        <v>0</v>
      </c>
      <c r="AG157" s="733">
        <f t="shared" si="71"/>
        <v>0</v>
      </c>
      <c r="AH157" s="208">
        <f t="shared" si="72"/>
        <v>100</v>
      </c>
      <c r="AI157" s="208">
        <f t="shared" si="73"/>
        <v>0</v>
      </c>
      <c r="AJ157" s="208">
        <f t="shared" si="74"/>
        <v>100</v>
      </c>
      <c r="AK157" s="208">
        <f t="shared" si="75"/>
        <v>100</v>
      </c>
      <c r="AL157" s="208">
        <f t="shared" si="76"/>
        <v>300</v>
      </c>
      <c r="AM157" s="680"/>
      <c r="AN157" s="774">
        <f>SUM(AN139:AN156)</f>
        <v>0</v>
      </c>
      <c r="AO157" s="774">
        <f t="shared" ref="AO157:AY157" si="92">SUM(AO139:AO156)</f>
        <v>0</v>
      </c>
      <c r="AP157" s="774">
        <f t="shared" si="92"/>
        <v>0.9281005978250001</v>
      </c>
      <c r="AQ157" s="774">
        <f t="shared" si="92"/>
        <v>0</v>
      </c>
      <c r="AR157" s="774">
        <f t="shared" si="92"/>
        <v>0</v>
      </c>
      <c r="AS157" s="774">
        <f t="shared" si="92"/>
        <v>0</v>
      </c>
      <c r="AT157" s="774">
        <f t="shared" si="92"/>
        <v>0.9281005978250001</v>
      </c>
      <c r="AU157" s="774">
        <f t="shared" si="92"/>
        <v>0</v>
      </c>
      <c r="AV157" s="774">
        <f t="shared" si="92"/>
        <v>0</v>
      </c>
      <c r="AW157" s="774">
        <f t="shared" si="92"/>
        <v>0</v>
      </c>
      <c r="AX157" s="774">
        <f t="shared" si="92"/>
        <v>0.9281005978250001</v>
      </c>
      <c r="AY157" s="774">
        <f t="shared" si="92"/>
        <v>0</v>
      </c>
      <c r="AZ157" s="733">
        <f t="shared" si="78"/>
        <v>0</v>
      </c>
      <c r="BA157" s="636">
        <f t="shared" si="79"/>
        <v>0.9281005978250001</v>
      </c>
      <c r="BB157" s="636">
        <f t="shared" si="80"/>
        <v>0</v>
      </c>
      <c r="BC157" s="636">
        <f t="shared" si="81"/>
        <v>0.9281005978250001</v>
      </c>
      <c r="BD157" s="636">
        <f t="shared" si="82"/>
        <v>0.9281005978250001</v>
      </c>
      <c r="BE157" s="735">
        <f t="shared" si="83"/>
        <v>2.7843017934750005</v>
      </c>
      <c r="BF157" s="680"/>
      <c r="BG157" s="680"/>
      <c r="BH157" s="680"/>
      <c r="BI157" s="680"/>
      <c r="BJ157" s="680"/>
      <c r="BK157" s="680"/>
      <c r="BL157" s="680"/>
      <c r="BM157" s="680"/>
      <c r="BN157" s="680"/>
    </row>
    <row r="158" spans="1:66" s="708" customFormat="1" ht="12.95" customHeight="1">
      <c r="A158" s="799"/>
      <c r="B158" s="800" t="s">
        <v>494</v>
      </c>
      <c r="C158" s="750" t="s">
        <v>136</v>
      </c>
      <c r="D158" s="749" t="s">
        <v>495</v>
      </c>
      <c r="E158" s="738"/>
      <c r="F158" s="739"/>
      <c r="G158" s="739">
        <v>0</v>
      </c>
      <c r="H158" s="739">
        <v>0</v>
      </c>
      <c r="I158" s="740">
        <f>IF(ISERROR((H158-G158)/G158),0,((H158-G158)/G158))</f>
        <v>0</v>
      </c>
      <c r="J158" s="739">
        <v>0</v>
      </c>
      <c r="K158" s="686"/>
      <c r="L158" s="781">
        <f>J158+K158</f>
        <v>0</v>
      </c>
      <c r="M158" s="740">
        <f>IF(ISERROR((L158-H158)/H158),0,((L158-H158)/H158))</f>
        <v>0</v>
      </c>
      <c r="N158" s="739">
        <f>SUM(U158:AF158)</f>
        <v>0</v>
      </c>
      <c r="O158" s="740">
        <f t="shared" si="90"/>
        <v>0</v>
      </c>
      <c r="P158" s="739">
        <v>0</v>
      </c>
      <c r="Q158" s="741"/>
      <c r="R158" s="801"/>
      <c r="S158" s="742"/>
      <c r="T158" s="742"/>
      <c r="U158" s="743">
        <v>0</v>
      </c>
      <c r="V158" s="743">
        <v>0</v>
      </c>
      <c r="W158" s="743">
        <v>0</v>
      </c>
      <c r="X158" s="743">
        <v>0</v>
      </c>
      <c r="Y158" s="743">
        <v>0</v>
      </c>
      <c r="Z158" s="743">
        <v>0</v>
      </c>
      <c r="AA158" s="743">
        <v>0</v>
      </c>
      <c r="AB158" s="743">
        <v>0</v>
      </c>
      <c r="AC158" s="743">
        <v>0</v>
      </c>
      <c r="AD158" s="744">
        <v>0</v>
      </c>
      <c r="AE158" s="744">
        <v>0</v>
      </c>
      <c r="AF158" s="745">
        <v>0</v>
      </c>
      <c r="AG158" s="733">
        <f t="shared" si="71"/>
        <v>0</v>
      </c>
      <c r="AH158" s="208">
        <f t="shared" si="72"/>
        <v>0</v>
      </c>
      <c r="AI158" s="208">
        <f t="shared" si="73"/>
        <v>0</v>
      </c>
      <c r="AJ158" s="208">
        <f t="shared" si="74"/>
        <v>0</v>
      </c>
      <c r="AK158" s="208">
        <f t="shared" si="75"/>
        <v>0</v>
      </c>
      <c r="AL158" s="208">
        <f t="shared" si="76"/>
        <v>0</v>
      </c>
      <c r="AM158" s="707"/>
      <c r="AN158" s="746">
        <v>0</v>
      </c>
      <c r="AO158" s="746">
        <v>0</v>
      </c>
      <c r="AP158" s="746">
        <v>0</v>
      </c>
      <c r="AQ158" s="746">
        <v>0</v>
      </c>
      <c r="AR158" s="746">
        <v>0</v>
      </c>
      <c r="AS158" s="746">
        <v>0</v>
      </c>
      <c r="AT158" s="746">
        <v>0</v>
      </c>
      <c r="AU158" s="746">
        <v>0</v>
      </c>
      <c r="AV158" s="746">
        <v>0</v>
      </c>
      <c r="AW158" s="746">
        <v>0</v>
      </c>
      <c r="AX158" s="746">
        <v>0</v>
      </c>
      <c r="AY158" s="746">
        <v>0</v>
      </c>
      <c r="AZ158" s="733">
        <f t="shared" si="78"/>
        <v>0</v>
      </c>
      <c r="BA158" s="636">
        <f t="shared" si="79"/>
        <v>0</v>
      </c>
      <c r="BB158" s="636">
        <f t="shared" si="80"/>
        <v>0</v>
      </c>
      <c r="BC158" s="636">
        <f t="shared" si="81"/>
        <v>0</v>
      </c>
      <c r="BD158" s="636">
        <f t="shared" si="82"/>
        <v>0</v>
      </c>
      <c r="BE158" s="735">
        <f t="shared" si="83"/>
        <v>0</v>
      </c>
      <c r="BF158" s="707"/>
      <c r="BG158" s="707"/>
      <c r="BH158" s="707"/>
      <c r="BI158" s="707"/>
      <c r="BJ158" s="707"/>
      <c r="BK158" s="707"/>
      <c r="BL158" s="707"/>
      <c r="BM158" s="707"/>
      <c r="BN158" s="707"/>
    </row>
    <row r="159" spans="1:66" ht="12.95" customHeight="1">
      <c r="A159" s="799"/>
      <c r="B159" s="800" t="s">
        <v>494</v>
      </c>
      <c r="C159" s="750" t="s">
        <v>485</v>
      </c>
      <c r="D159" s="749" t="s">
        <v>496</v>
      </c>
      <c r="E159" s="738"/>
      <c r="F159" s="739"/>
      <c r="G159" s="739">
        <v>0</v>
      </c>
      <c r="H159" s="739">
        <v>0</v>
      </c>
      <c r="I159" s="740">
        <f t="shared" ref="I159:I185" si="93">IF(ISERROR((H159-G159)/G159),0,((H159-G159)/G159))</f>
        <v>0</v>
      </c>
      <c r="J159" s="739">
        <v>0</v>
      </c>
      <c r="K159" s="686"/>
      <c r="L159" s="781">
        <f>J159+K159</f>
        <v>0</v>
      </c>
      <c r="M159" s="740">
        <f t="shared" ref="M159:M177" si="94">IF(ISERROR((L159-H159)/H159),0,((L159-H159)/H159))</f>
        <v>0</v>
      </c>
      <c r="N159" s="739">
        <f>SUM(U159:AF159)</f>
        <v>0</v>
      </c>
      <c r="O159" s="740">
        <f t="shared" si="90"/>
        <v>0</v>
      </c>
      <c r="P159" s="739">
        <v>0</v>
      </c>
      <c r="Q159" s="741"/>
      <c r="R159" s="742">
        <f t="shared" si="86"/>
        <v>0</v>
      </c>
      <c r="S159" s="742"/>
      <c r="T159" s="742"/>
      <c r="U159" s="743">
        <v>0</v>
      </c>
      <c r="V159" s="743">
        <v>0</v>
      </c>
      <c r="W159" s="743">
        <v>0</v>
      </c>
      <c r="X159" s="743">
        <v>0</v>
      </c>
      <c r="Y159" s="743">
        <v>0</v>
      </c>
      <c r="Z159" s="743">
        <v>0</v>
      </c>
      <c r="AA159" s="743">
        <v>0</v>
      </c>
      <c r="AB159" s="743">
        <v>0</v>
      </c>
      <c r="AC159" s="743">
        <v>0</v>
      </c>
      <c r="AD159" s="744">
        <v>0</v>
      </c>
      <c r="AE159" s="744">
        <v>0</v>
      </c>
      <c r="AF159" s="745">
        <v>0</v>
      </c>
      <c r="AG159" s="733">
        <f t="shared" si="71"/>
        <v>0</v>
      </c>
      <c r="AH159" s="208">
        <f t="shared" si="72"/>
        <v>0</v>
      </c>
      <c r="AI159" s="208">
        <f t="shared" si="73"/>
        <v>0</v>
      </c>
      <c r="AJ159" s="208">
        <f t="shared" si="74"/>
        <v>0</v>
      </c>
      <c r="AK159" s="208">
        <f t="shared" si="75"/>
        <v>0</v>
      </c>
      <c r="AL159" s="208">
        <f t="shared" si="76"/>
        <v>0</v>
      </c>
      <c r="AM159" s="680"/>
      <c r="AN159" s="746">
        <v>0</v>
      </c>
      <c r="AO159" s="746">
        <v>0</v>
      </c>
      <c r="AP159" s="746">
        <v>0</v>
      </c>
      <c r="AQ159" s="746">
        <v>0</v>
      </c>
      <c r="AR159" s="746">
        <v>0</v>
      </c>
      <c r="AS159" s="746">
        <v>0</v>
      </c>
      <c r="AT159" s="746">
        <v>0</v>
      </c>
      <c r="AU159" s="746">
        <v>0</v>
      </c>
      <c r="AV159" s="746">
        <v>0</v>
      </c>
      <c r="AW159" s="746">
        <v>0</v>
      </c>
      <c r="AX159" s="746">
        <v>0</v>
      </c>
      <c r="AY159" s="746">
        <v>0</v>
      </c>
      <c r="AZ159" s="733">
        <f t="shared" si="78"/>
        <v>0</v>
      </c>
      <c r="BA159" s="636">
        <f t="shared" si="79"/>
        <v>0</v>
      </c>
      <c r="BB159" s="636">
        <f t="shared" si="80"/>
        <v>0</v>
      </c>
      <c r="BC159" s="636">
        <f t="shared" si="81"/>
        <v>0</v>
      </c>
      <c r="BD159" s="636">
        <f t="shared" si="82"/>
        <v>0</v>
      </c>
      <c r="BE159" s="735">
        <f t="shared" si="83"/>
        <v>0</v>
      </c>
      <c r="BF159" s="680"/>
      <c r="BG159" s="680"/>
      <c r="BH159" s="680"/>
      <c r="BI159" s="680"/>
      <c r="BJ159" s="680"/>
      <c r="BK159" s="680"/>
      <c r="BL159" s="680"/>
      <c r="BM159" s="680"/>
      <c r="BN159" s="680"/>
    </row>
    <row r="160" spans="1:66" ht="12.95" customHeight="1">
      <c r="A160" s="799"/>
      <c r="B160" s="800" t="s">
        <v>494</v>
      </c>
      <c r="C160" s="753" t="s">
        <v>485</v>
      </c>
      <c r="D160" s="749" t="s">
        <v>495</v>
      </c>
      <c r="E160" s="738"/>
      <c r="F160" s="739"/>
      <c r="G160" s="739">
        <v>0</v>
      </c>
      <c r="H160" s="739">
        <v>0</v>
      </c>
      <c r="I160" s="740">
        <f t="shared" si="93"/>
        <v>0</v>
      </c>
      <c r="J160" s="739">
        <v>0</v>
      </c>
      <c r="K160" s="686"/>
      <c r="L160" s="781">
        <f>J160+K160</f>
        <v>0</v>
      </c>
      <c r="M160" s="740">
        <f t="shared" si="94"/>
        <v>0</v>
      </c>
      <c r="N160" s="739">
        <f>SUM(U160:AF160)</f>
        <v>0</v>
      </c>
      <c r="O160" s="740">
        <f t="shared" si="90"/>
        <v>0</v>
      </c>
      <c r="P160" s="739">
        <v>0</v>
      </c>
      <c r="Q160" s="741"/>
      <c r="R160" s="742">
        <f t="shared" si="86"/>
        <v>0</v>
      </c>
      <c r="S160" s="742"/>
      <c r="T160" s="742"/>
      <c r="U160" s="743">
        <v>0</v>
      </c>
      <c r="V160" s="743">
        <v>0</v>
      </c>
      <c r="W160" s="743">
        <v>0</v>
      </c>
      <c r="X160" s="743">
        <v>0</v>
      </c>
      <c r="Y160" s="743">
        <v>0</v>
      </c>
      <c r="Z160" s="743">
        <v>0</v>
      </c>
      <c r="AA160" s="743">
        <v>0</v>
      </c>
      <c r="AB160" s="743">
        <v>0</v>
      </c>
      <c r="AC160" s="743">
        <v>0</v>
      </c>
      <c r="AD160" s="744">
        <v>0</v>
      </c>
      <c r="AE160" s="744">
        <v>0</v>
      </c>
      <c r="AF160" s="745">
        <v>0</v>
      </c>
      <c r="AG160" s="733">
        <f t="shared" si="71"/>
        <v>0</v>
      </c>
      <c r="AH160" s="208">
        <f t="shared" si="72"/>
        <v>0</v>
      </c>
      <c r="AI160" s="208">
        <f t="shared" si="73"/>
        <v>0</v>
      </c>
      <c r="AJ160" s="208">
        <f t="shared" si="74"/>
        <v>0</v>
      </c>
      <c r="AK160" s="208">
        <f t="shared" si="75"/>
        <v>0</v>
      </c>
      <c r="AL160" s="208">
        <f t="shared" si="76"/>
        <v>0</v>
      </c>
      <c r="AM160" s="680"/>
      <c r="AN160" s="746">
        <v>0</v>
      </c>
      <c r="AO160" s="746">
        <v>0</v>
      </c>
      <c r="AP160" s="746">
        <v>0</v>
      </c>
      <c r="AQ160" s="746">
        <v>0</v>
      </c>
      <c r="AR160" s="746">
        <v>0</v>
      </c>
      <c r="AS160" s="746">
        <v>0</v>
      </c>
      <c r="AT160" s="746">
        <v>0</v>
      </c>
      <c r="AU160" s="746">
        <v>0</v>
      </c>
      <c r="AV160" s="746">
        <v>0</v>
      </c>
      <c r="AW160" s="746">
        <v>0</v>
      </c>
      <c r="AX160" s="746">
        <v>0</v>
      </c>
      <c r="AY160" s="746">
        <v>0</v>
      </c>
      <c r="AZ160" s="733">
        <f t="shared" si="78"/>
        <v>0</v>
      </c>
      <c r="BA160" s="636">
        <f t="shared" si="79"/>
        <v>0</v>
      </c>
      <c r="BB160" s="636">
        <f t="shared" si="80"/>
        <v>0</v>
      </c>
      <c r="BC160" s="636">
        <f t="shared" si="81"/>
        <v>0</v>
      </c>
      <c r="BD160" s="636">
        <f t="shared" si="82"/>
        <v>0</v>
      </c>
      <c r="BE160" s="735">
        <f t="shared" si="83"/>
        <v>0</v>
      </c>
      <c r="BF160" s="680"/>
      <c r="BG160" s="680"/>
      <c r="BH160" s="680"/>
      <c r="BI160" s="680"/>
      <c r="BJ160" s="680"/>
      <c r="BK160" s="680"/>
      <c r="BL160" s="680"/>
      <c r="BM160" s="680"/>
      <c r="BN160" s="680"/>
    </row>
    <row r="161" spans="1:66" ht="12.95" customHeight="1">
      <c r="A161" s="770"/>
      <c r="B161" s="771"/>
      <c r="C161" s="1096" t="s">
        <v>497</v>
      </c>
      <c r="D161" s="1097"/>
      <c r="E161" s="1097"/>
      <c r="F161" s="772">
        <f>SUM(F158:F160)</f>
        <v>0</v>
      </c>
      <c r="G161" s="772">
        <f>SUM(G158:G160)</f>
        <v>0</v>
      </c>
      <c r="H161" s="772">
        <f>SUM(H158:H160)</f>
        <v>0</v>
      </c>
      <c r="I161" s="773">
        <f t="shared" si="93"/>
        <v>0</v>
      </c>
      <c r="J161" s="772">
        <f>SUM(J158:J160)</f>
        <v>0</v>
      </c>
      <c r="K161" s="772">
        <f>SUM(K158:K160)</f>
        <v>0</v>
      </c>
      <c r="L161" s="772">
        <f>SUM(L158:L160)</f>
        <v>0</v>
      </c>
      <c r="M161" s="773">
        <f t="shared" si="94"/>
        <v>0</v>
      </c>
      <c r="N161" s="772">
        <f>SUM(N158:N160)</f>
        <v>0</v>
      </c>
      <c r="O161" s="773">
        <f t="shared" si="90"/>
        <v>0</v>
      </c>
      <c r="P161" s="772">
        <v>0</v>
      </c>
      <c r="Q161" s="741"/>
      <c r="R161" s="774">
        <f>SUM(R158:R160)</f>
        <v>0</v>
      </c>
      <c r="S161" s="742"/>
      <c r="T161" s="742"/>
      <c r="U161" s="772">
        <f t="shared" ref="U161:AF161" si="95">SUM(U158:U160)</f>
        <v>0</v>
      </c>
      <c r="V161" s="772">
        <f t="shared" si="95"/>
        <v>0</v>
      </c>
      <c r="W161" s="772">
        <f t="shared" si="95"/>
        <v>0</v>
      </c>
      <c r="X161" s="772">
        <f t="shared" si="95"/>
        <v>0</v>
      </c>
      <c r="Y161" s="772">
        <f t="shared" si="95"/>
        <v>0</v>
      </c>
      <c r="Z161" s="772">
        <f t="shared" si="95"/>
        <v>0</v>
      </c>
      <c r="AA161" s="772">
        <f t="shared" si="95"/>
        <v>0</v>
      </c>
      <c r="AB161" s="772">
        <f t="shared" si="95"/>
        <v>0</v>
      </c>
      <c r="AC161" s="772">
        <f t="shared" si="95"/>
        <v>0</v>
      </c>
      <c r="AD161" s="772">
        <f t="shared" si="95"/>
        <v>0</v>
      </c>
      <c r="AE161" s="772">
        <f t="shared" si="95"/>
        <v>0</v>
      </c>
      <c r="AF161" s="775">
        <f t="shared" si="95"/>
        <v>0</v>
      </c>
      <c r="AG161" s="733">
        <f t="shared" si="71"/>
        <v>0</v>
      </c>
      <c r="AH161" s="208">
        <f t="shared" si="72"/>
        <v>0</v>
      </c>
      <c r="AI161" s="208">
        <f t="shared" si="73"/>
        <v>0</v>
      </c>
      <c r="AJ161" s="208">
        <f t="shared" si="74"/>
        <v>0</v>
      </c>
      <c r="AK161" s="208">
        <f t="shared" si="75"/>
        <v>0</v>
      </c>
      <c r="AL161" s="208">
        <f t="shared" si="76"/>
        <v>0</v>
      </c>
      <c r="AM161" s="680"/>
      <c r="AN161" s="774">
        <f>SUM(AN158:AN160)</f>
        <v>0</v>
      </c>
      <c r="AO161" s="774">
        <f t="shared" ref="AO161:AY161" si="96">SUM(AO158:AO160)</f>
        <v>0</v>
      </c>
      <c r="AP161" s="774">
        <f t="shared" si="96"/>
        <v>0</v>
      </c>
      <c r="AQ161" s="774">
        <f t="shared" si="96"/>
        <v>0</v>
      </c>
      <c r="AR161" s="774">
        <f t="shared" si="96"/>
        <v>0</v>
      </c>
      <c r="AS161" s="774">
        <f t="shared" si="96"/>
        <v>0</v>
      </c>
      <c r="AT161" s="774">
        <f t="shared" si="96"/>
        <v>0</v>
      </c>
      <c r="AU161" s="774">
        <f t="shared" si="96"/>
        <v>0</v>
      </c>
      <c r="AV161" s="774">
        <f t="shared" si="96"/>
        <v>0</v>
      </c>
      <c r="AW161" s="774">
        <f t="shared" si="96"/>
        <v>0</v>
      </c>
      <c r="AX161" s="774">
        <f t="shared" si="96"/>
        <v>0</v>
      </c>
      <c r="AY161" s="774">
        <f t="shared" si="96"/>
        <v>0</v>
      </c>
      <c r="AZ161" s="733">
        <f t="shared" si="78"/>
        <v>0</v>
      </c>
      <c r="BA161" s="636">
        <f t="shared" si="79"/>
        <v>0</v>
      </c>
      <c r="BB161" s="636">
        <f t="shared" si="80"/>
        <v>0</v>
      </c>
      <c r="BC161" s="636">
        <f t="shared" si="81"/>
        <v>0</v>
      </c>
      <c r="BD161" s="636">
        <f t="shared" si="82"/>
        <v>0</v>
      </c>
      <c r="BE161" s="735">
        <f t="shared" si="83"/>
        <v>0</v>
      </c>
      <c r="BF161" s="680"/>
      <c r="BG161" s="680"/>
      <c r="BH161" s="680"/>
      <c r="BI161" s="680"/>
      <c r="BJ161" s="680"/>
      <c r="BK161" s="680"/>
      <c r="BL161" s="680"/>
      <c r="BM161" s="680"/>
      <c r="BN161" s="680"/>
    </row>
    <row r="162" spans="1:66" ht="12.95" customHeight="1">
      <c r="A162" s="770"/>
      <c r="B162" s="771"/>
      <c r="C162" s="1096" t="s">
        <v>310</v>
      </c>
      <c r="D162" s="1097"/>
      <c r="E162" s="1097"/>
      <c r="F162" s="772">
        <f>+F157+F161</f>
        <v>159.42171999999999</v>
      </c>
      <c r="G162" s="772">
        <f>+G157+G161</f>
        <v>31.306000000000001</v>
      </c>
      <c r="H162" s="772">
        <f>+H157+H161</f>
        <v>82.194999999999993</v>
      </c>
      <c r="I162" s="773">
        <f t="shared" si="93"/>
        <v>1.6255350412061584</v>
      </c>
      <c r="J162" s="772">
        <f>+J157+J161</f>
        <v>239.36600000000004</v>
      </c>
      <c r="K162" s="772">
        <f>+K157+K161</f>
        <v>0</v>
      </c>
      <c r="L162" s="772">
        <f>+L157+L161</f>
        <v>239.36600000000004</v>
      </c>
      <c r="M162" s="773">
        <f t="shared" si="94"/>
        <v>1.9121722732526316</v>
      </c>
      <c r="N162" s="772">
        <f>+N157+N161</f>
        <v>300</v>
      </c>
      <c r="O162" s="773">
        <f t="shared" si="90"/>
        <v>0.25331082944110672</v>
      </c>
      <c r="P162" s="772">
        <v>0</v>
      </c>
      <c r="Q162" s="741"/>
      <c r="R162" s="774">
        <f>+R157+R161</f>
        <v>2.7843017934750001</v>
      </c>
      <c r="S162" s="742"/>
      <c r="T162" s="742"/>
      <c r="U162" s="772">
        <f t="shared" ref="U162:AF162" si="97">+U157+U161</f>
        <v>0</v>
      </c>
      <c r="V162" s="772">
        <f t="shared" si="97"/>
        <v>0</v>
      </c>
      <c r="W162" s="772">
        <f t="shared" si="97"/>
        <v>100</v>
      </c>
      <c r="X162" s="772">
        <f t="shared" si="97"/>
        <v>0</v>
      </c>
      <c r="Y162" s="772">
        <f t="shared" si="97"/>
        <v>0</v>
      </c>
      <c r="Z162" s="772">
        <f t="shared" si="97"/>
        <v>0</v>
      </c>
      <c r="AA162" s="772">
        <f t="shared" si="97"/>
        <v>100</v>
      </c>
      <c r="AB162" s="772">
        <f t="shared" si="97"/>
        <v>0</v>
      </c>
      <c r="AC162" s="772">
        <f t="shared" si="97"/>
        <v>0</v>
      </c>
      <c r="AD162" s="772">
        <f t="shared" si="97"/>
        <v>0</v>
      </c>
      <c r="AE162" s="772">
        <f t="shared" si="97"/>
        <v>100</v>
      </c>
      <c r="AF162" s="775">
        <f t="shared" si="97"/>
        <v>0</v>
      </c>
      <c r="AG162" s="733">
        <f t="shared" si="71"/>
        <v>0</v>
      </c>
      <c r="AH162" s="208">
        <f t="shared" si="72"/>
        <v>100</v>
      </c>
      <c r="AI162" s="208">
        <f t="shared" si="73"/>
        <v>0</v>
      </c>
      <c r="AJ162" s="208">
        <f t="shared" si="74"/>
        <v>100</v>
      </c>
      <c r="AK162" s="208">
        <f t="shared" si="75"/>
        <v>100</v>
      </c>
      <c r="AL162" s="208">
        <f t="shared" si="76"/>
        <v>300</v>
      </c>
      <c r="AM162" s="680"/>
      <c r="AN162" s="774">
        <f>+AN157+AN161</f>
        <v>0</v>
      </c>
      <c r="AO162" s="774">
        <f t="shared" ref="AO162:AY162" si="98">+AO157+AO161</f>
        <v>0</v>
      </c>
      <c r="AP162" s="774">
        <f t="shared" si="98"/>
        <v>0.9281005978250001</v>
      </c>
      <c r="AQ162" s="774">
        <f t="shared" si="98"/>
        <v>0</v>
      </c>
      <c r="AR162" s="774">
        <f t="shared" si="98"/>
        <v>0</v>
      </c>
      <c r="AS162" s="774">
        <f t="shared" si="98"/>
        <v>0</v>
      </c>
      <c r="AT162" s="774">
        <f t="shared" si="98"/>
        <v>0.9281005978250001</v>
      </c>
      <c r="AU162" s="774">
        <f t="shared" si="98"/>
        <v>0</v>
      </c>
      <c r="AV162" s="774">
        <f t="shared" si="98"/>
        <v>0</v>
      </c>
      <c r="AW162" s="774">
        <f t="shared" si="98"/>
        <v>0</v>
      </c>
      <c r="AX162" s="774">
        <f t="shared" si="98"/>
        <v>0.9281005978250001</v>
      </c>
      <c r="AY162" s="774">
        <f t="shared" si="98"/>
        <v>0</v>
      </c>
      <c r="AZ162" s="733">
        <f t="shared" si="78"/>
        <v>0</v>
      </c>
      <c r="BA162" s="636">
        <f t="shared" si="79"/>
        <v>0.9281005978250001</v>
      </c>
      <c r="BB162" s="636">
        <f t="shared" si="80"/>
        <v>0</v>
      </c>
      <c r="BC162" s="636">
        <f t="shared" si="81"/>
        <v>0.9281005978250001</v>
      </c>
      <c r="BD162" s="636">
        <f t="shared" si="82"/>
        <v>0.9281005978250001</v>
      </c>
      <c r="BE162" s="735">
        <f t="shared" si="83"/>
        <v>2.7843017934750005</v>
      </c>
      <c r="BF162" s="680"/>
      <c r="BG162" s="680"/>
      <c r="BH162" s="680"/>
      <c r="BI162" s="680"/>
      <c r="BJ162" s="680"/>
      <c r="BK162" s="680"/>
      <c r="BL162" s="680"/>
      <c r="BM162" s="680"/>
      <c r="BN162" s="680"/>
    </row>
    <row r="163" spans="1:66" ht="12.95" customHeight="1">
      <c r="A163" s="770"/>
      <c r="B163" s="771"/>
      <c r="C163" s="796"/>
      <c r="D163" s="797"/>
      <c r="E163" s="797"/>
      <c r="F163" s="739"/>
      <c r="G163" s="739"/>
      <c r="H163" s="739"/>
      <c r="I163" s="740">
        <f t="shared" si="93"/>
        <v>0</v>
      </c>
      <c r="J163" s="739">
        <v>0</v>
      </c>
      <c r="K163" s="686"/>
      <c r="L163" s="781"/>
      <c r="M163" s="740">
        <f t="shared" si="94"/>
        <v>0</v>
      </c>
      <c r="N163" s="739"/>
      <c r="O163" s="740"/>
      <c r="P163" s="739"/>
      <c r="Q163" s="741"/>
      <c r="R163" s="742">
        <f t="shared" si="86"/>
        <v>0</v>
      </c>
      <c r="S163" s="742"/>
      <c r="T163" s="742"/>
      <c r="U163" s="743"/>
      <c r="V163" s="743"/>
      <c r="W163" s="743"/>
      <c r="X163" s="743"/>
      <c r="Y163" s="743"/>
      <c r="Z163" s="743"/>
      <c r="AA163" s="743"/>
      <c r="AB163" s="743"/>
      <c r="AC163" s="743"/>
      <c r="AD163" s="744"/>
      <c r="AE163" s="744"/>
      <c r="AF163" s="745"/>
      <c r="AG163" s="733">
        <f t="shared" si="71"/>
        <v>0</v>
      </c>
      <c r="AH163" s="208">
        <f t="shared" si="72"/>
        <v>0</v>
      </c>
      <c r="AI163" s="208">
        <f t="shared" si="73"/>
        <v>0</v>
      </c>
      <c r="AJ163" s="208">
        <f t="shared" si="74"/>
        <v>0</v>
      </c>
      <c r="AK163" s="208">
        <f t="shared" si="75"/>
        <v>0</v>
      </c>
      <c r="AL163" s="208">
        <f t="shared" si="76"/>
        <v>0</v>
      </c>
      <c r="AM163" s="680"/>
      <c r="AN163" s="746">
        <f t="shared" ref="AN163:AY175" si="99">U163*$P163/10^7</f>
        <v>0</v>
      </c>
      <c r="AO163" s="746">
        <f t="shared" si="99"/>
        <v>0</v>
      </c>
      <c r="AP163" s="746">
        <f t="shared" si="99"/>
        <v>0</v>
      </c>
      <c r="AQ163" s="746">
        <f t="shared" si="99"/>
        <v>0</v>
      </c>
      <c r="AR163" s="746">
        <f t="shared" si="99"/>
        <v>0</v>
      </c>
      <c r="AS163" s="746">
        <f t="shared" si="99"/>
        <v>0</v>
      </c>
      <c r="AT163" s="746">
        <f t="shared" si="99"/>
        <v>0</v>
      </c>
      <c r="AU163" s="746">
        <f t="shared" si="99"/>
        <v>0</v>
      </c>
      <c r="AV163" s="746">
        <f t="shared" si="99"/>
        <v>0</v>
      </c>
      <c r="AW163" s="746">
        <f t="shared" si="99"/>
        <v>0</v>
      </c>
      <c r="AX163" s="746">
        <f t="shared" si="99"/>
        <v>0</v>
      </c>
      <c r="AY163" s="746">
        <f t="shared" si="99"/>
        <v>0</v>
      </c>
      <c r="AZ163" s="733">
        <f t="shared" si="78"/>
        <v>0</v>
      </c>
      <c r="BA163" s="636">
        <f t="shared" si="79"/>
        <v>0</v>
      </c>
      <c r="BB163" s="636">
        <f t="shared" si="80"/>
        <v>0</v>
      </c>
      <c r="BC163" s="636">
        <f t="shared" si="81"/>
        <v>0</v>
      </c>
      <c r="BD163" s="636">
        <f t="shared" si="82"/>
        <v>0</v>
      </c>
      <c r="BE163" s="735">
        <f t="shared" si="83"/>
        <v>0</v>
      </c>
      <c r="BF163" s="680"/>
      <c r="BG163" s="680"/>
      <c r="BH163" s="680"/>
      <c r="BI163" s="680"/>
      <c r="BJ163" s="680"/>
      <c r="BK163" s="680"/>
      <c r="BL163" s="680"/>
      <c r="BM163" s="680"/>
      <c r="BN163" s="680"/>
    </row>
    <row r="164" spans="1:66" s="708" customFormat="1" ht="12.95" customHeight="1">
      <c r="A164" s="802" t="s">
        <v>311</v>
      </c>
      <c r="B164" s="803" t="s">
        <v>312</v>
      </c>
      <c r="C164" s="750" t="s">
        <v>313</v>
      </c>
      <c r="D164" s="749" t="s">
        <v>498</v>
      </c>
      <c r="E164" s="804" t="s">
        <v>499</v>
      </c>
      <c r="F164" s="739">
        <v>6149.375</v>
      </c>
      <c r="G164" s="739">
        <v>1557.6349999999998</v>
      </c>
      <c r="H164" s="739">
        <v>9149.1449999999986</v>
      </c>
      <c r="I164" s="740">
        <f t="shared" si="93"/>
        <v>4.8737412808520606</v>
      </c>
      <c r="J164" s="739">
        <v>5655.02</v>
      </c>
      <c r="K164" s="686">
        <v>3800</v>
      </c>
      <c r="L164" s="739">
        <f>J164+K164</f>
        <v>9455.02</v>
      </c>
      <c r="M164" s="740">
        <f t="shared" si="94"/>
        <v>3.3432085730415451E-2</v>
      </c>
      <c r="N164" s="739">
        <v>9500</v>
      </c>
      <c r="O164" s="740">
        <f t="shared" ref="O164:O177" si="100">IF(ISERROR((N164-L164)/L164),0,((N164-L164)/L164))</f>
        <v>4.7572612220809218E-3</v>
      </c>
      <c r="P164" s="739">
        <f>P165-900</f>
        <v>53600</v>
      </c>
      <c r="Q164" s="741"/>
      <c r="R164" s="742">
        <f t="shared" si="86"/>
        <v>50.92</v>
      </c>
      <c r="S164" s="742"/>
      <c r="T164" s="742"/>
      <c r="U164" s="743"/>
      <c r="V164" s="743">
        <v>750</v>
      </c>
      <c r="W164" s="743">
        <v>750</v>
      </c>
      <c r="X164" s="743">
        <v>750</v>
      </c>
      <c r="Y164" s="743">
        <v>750</v>
      </c>
      <c r="Z164" s="743">
        <v>1000</v>
      </c>
      <c r="AA164" s="743">
        <v>1000</v>
      </c>
      <c r="AB164" s="743">
        <v>1000</v>
      </c>
      <c r="AC164" s="743">
        <v>1000</v>
      </c>
      <c r="AD164" s="743">
        <v>1000</v>
      </c>
      <c r="AE164" s="743">
        <v>750</v>
      </c>
      <c r="AF164" s="745">
        <v>750</v>
      </c>
      <c r="AG164" s="733">
        <f t="shared" si="71"/>
        <v>0</v>
      </c>
      <c r="AH164" s="208">
        <f t="shared" si="72"/>
        <v>1500</v>
      </c>
      <c r="AI164" s="208">
        <f t="shared" si="73"/>
        <v>2500</v>
      </c>
      <c r="AJ164" s="208">
        <f t="shared" si="74"/>
        <v>3000</v>
      </c>
      <c r="AK164" s="208">
        <f t="shared" si="75"/>
        <v>2500</v>
      </c>
      <c r="AL164" s="208">
        <f t="shared" si="76"/>
        <v>9500</v>
      </c>
      <c r="AM164" s="707"/>
      <c r="AN164" s="746">
        <f t="shared" si="99"/>
        <v>0</v>
      </c>
      <c r="AO164" s="746">
        <f t="shared" si="99"/>
        <v>4.0199999999999996</v>
      </c>
      <c r="AP164" s="746">
        <f t="shared" si="99"/>
        <v>4.0199999999999996</v>
      </c>
      <c r="AQ164" s="746">
        <f t="shared" si="99"/>
        <v>4.0199999999999996</v>
      </c>
      <c r="AR164" s="746">
        <f t="shared" si="99"/>
        <v>4.0199999999999996</v>
      </c>
      <c r="AS164" s="746">
        <f t="shared" si="99"/>
        <v>5.36</v>
      </c>
      <c r="AT164" s="746">
        <f t="shared" si="99"/>
        <v>5.36</v>
      </c>
      <c r="AU164" s="746">
        <f t="shared" si="99"/>
        <v>5.36</v>
      </c>
      <c r="AV164" s="746">
        <f t="shared" si="99"/>
        <v>5.36</v>
      </c>
      <c r="AW164" s="746">
        <f t="shared" si="99"/>
        <v>5.36</v>
      </c>
      <c r="AX164" s="746">
        <f t="shared" si="99"/>
        <v>4.0199999999999996</v>
      </c>
      <c r="AY164" s="746">
        <f t="shared" si="99"/>
        <v>4.0199999999999996</v>
      </c>
      <c r="AZ164" s="733">
        <f t="shared" si="78"/>
        <v>0</v>
      </c>
      <c r="BA164" s="636">
        <f t="shared" si="79"/>
        <v>8.0399999999999991</v>
      </c>
      <c r="BB164" s="636">
        <f t="shared" si="80"/>
        <v>13.399999999999999</v>
      </c>
      <c r="BC164" s="636">
        <f t="shared" si="81"/>
        <v>16.080000000000002</v>
      </c>
      <c r="BD164" s="636">
        <f t="shared" si="82"/>
        <v>13.399999999999999</v>
      </c>
      <c r="BE164" s="735">
        <f t="shared" si="83"/>
        <v>50.919999999999995</v>
      </c>
      <c r="BF164" s="707"/>
      <c r="BG164" s="707"/>
      <c r="BH164" s="707"/>
      <c r="BI164" s="707"/>
      <c r="BJ164" s="707"/>
      <c r="BK164" s="707"/>
      <c r="BL164" s="707"/>
      <c r="BM164" s="707"/>
      <c r="BN164" s="707"/>
    </row>
    <row r="165" spans="1:66" ht="12.95" customHeight="1">
      <c r="A165" s="802" t="s">
        <v>315</v>
      </c>
      <c r="B165" s="803" t="s">
        <v>312</v>
      </c>
      <c r="C165" s="753" t="s">
        <v>313</v>
      </c>
      <c r="D165" s="749" t="s">
        <v>500</v>
      </c>
      <c r="E165" s="804" t="s">
        <v>501</v>
      </c>
      <c r="F165" s="739">
        <v>7686.4</v>
      </c>
      <c r="G165" s="739">
        <v>6868.1899999999987</v>
      </c>
      <c r="H165" s="739">
        <v>6639.5649999999987</v>
      </c>
      <c r="I165" s="740">
        <f t="shared" si="93"/>
        <v>-3.3287518254445501E-2</v>
      </c>
      <c r="J165" s="739">
        <v>3337.1900000000014</v>
      </c>
      <c r="K165" s="686">
        <v>1370</v>
      </c>
      <c r="L165" s="739">
        <f>J165+K165</f>
        <v>4707.1900000000014</v>
      </c>
      <c r="M165" s="740">
        <f t="shared" si="94"/>
        <v>-0.29103939791236288</v>
      </c>
      <c r="N165" s="739">
        <v>6000</v>
      </c>
      <c r="O165" s="740">
        <f t="shared" si="100"/>
        <v>0.27464580779615827</v>
      </c>
      <c r="P165" s="739">
        <f>54500</f>
        <v>54500</v>
      </c>
      <c r="Q165" s="741"/>
      <c r="R165" s="742">
        <f t="shared" si="86"/>
        <v>32.700000000000003</v>
      </c>
      <c r="S165" s="742"/>
      <c r="T165" s="742"/>
      <c r="U165" s="743">
        <v>750</v>
      </c>
      <c r="V165" s="743">
        <v>250</v>
      </c>
      <c r="W165" s="743">
        <v>250</v>
      </c>
      <c r="X165" s="743">
        <v>500</v>
      </c>
      <c r="Y165" s="743">
        <v>500</v>
      </c>
      <c r="Z165" s="743">
        <v>500</v>
      </c>
      <c r="AA165" s="743">
        <v>500</v>
      </c>
      <c r="AB165" s="743">
        <v>500</v>
      </c>
      <c r="AC165" s="743">
        <v>500</v>
      </c>
      <c r="AD165" s="743">
        <v>500</v>
      </c>
      <c r="AE165" s="743">
        <v>750</v>
      </c>
      <c r="AF165" s="743">
        <v>500</v>
      </c>
      <c r="AG165" s="733">
        <f t="shared" si="71"/>
        <v>0</v>
      </c>
      <c r="AH165" s="208">
        <f t="shared" si="72"/>
        <v>1250</v>
      </c>
      <c r="AI165" s="208">
        <f t="shared" si="73"/>
        <v>1500</v>
      </c>
      <c r="AJ165" s="208">
        <f t="shared" si="74"/>
        <v>1500</v>
      </c>
      <c r="AK165" s="208">
        <f t="shared" si="75"/>
        <v>1750</v>
      </c>
      <c r="AL165" s="208">
        <f t="shared" si="76"/>
        <v>6000</v>
      </c>
      <c r="AM165" s="680"/>
      <c r="AN165" s="746">
        <f t="shared" si="99"/>
        <v>4.0875000000000004</v>
      </c>
      <c r="AO165" s="746">
        <f t="shared" si="99"/>
        <v>1.3625</v>
      </c>
      <c r="AP165" s="746">
        <f t="shared" si="99"/>
        <v>1.3625</v>
      </c>
      <c r="AQ165" s="746">
        <f t="shared" si="99"/>
        <v>2.7250000000000001</v>
      </c>
      <c r="AR165" s="746">
        <f t="shared" si="99"/>
        <v>2.7250000000000001</v>
      </c>
      <c r="AS165" s="746">
        <f t="shared" si="99"/>
        <v>2.7250000000000001</v>
      </c>
      <c r="AT165" s="746">
        <f t="shared" si="99"/>
        <v>2.7250000000000001</v>
      </c>
      <c r="AU165" s="746">
        <f t="shared" si="99"/>
        <v>2.7250000000000001</v>
      </c>
      <c r="AV165" s="746">
        <f t="shared" si="99"/>
        <v>2.7250000000000001</v>
      </c>
      <c r="AW165" s="746">
        <f t="shared" si="99"/>
        <v>2.7250000000000001</v>
      </c>
      <c r="AX165" s="746">
        <f t="shared" si="99"/>
        <v>4.0875000000000004</v>
      </c>
      <c r="AY165" s="746">
        <f t="shared" si="99"/>
        <v>2.7250000000000001</v>
      </c>
      <c r="AZ165" s="733">
        <f t="shared" si="78"/>
        <v>0</v>
      </c>
      <c r="BA165" s="636">
        <f t="shared" si="79"/>
        <v>6.8125</v>
      </c>
      <c r="BB165" s="636">
        <f t="shared" si="80"/>
        <v>8.1750000000000007</v>
      </c>
      <c r="BC165" s="636">
        <f t="shared" si="81"/>
        <v>8.1750000000000007</v>
      </c>
      <c r="BD165" s="636">
        <f t="shared" si="82"/>
        <v>9.5374999999999996</v>
      </c>
      <c r="BE165" s="735">
        <f t="shared" si="83"/>
        <v>32.700000000000003</v>
      </c>
      <c r="BF165" s="680"/>
      <c r="BG165" s="680"/>
      <c r="BH165" s="680"/>
      <c r="BI165" s="680"/>
      <c r="BJ165" s="680"/>
      <c r="BK165" s="680"/>
      <c r="BL165" s="680"/>
      <c r="BM165" s="680"/>
      <c r="BN165" s="680"/>
    </row>
    <row r="166" spans="1:66" ht="12.95" customHeight="1">
      <c r="A166" s="802" t="s">
        <v>319</v>
      </c>
      <c r="B166" s="803" t="s">
        <v>312</v>
      </c>
      <c r="C166" s="754" t="s">
        <v>49</v>
      </c>
      <c r="D166" s="749" t="s">
        <v>320</v>
      </c>
      <c r="E166" s="804"/>
      <c r="F166" s="739">
        <v>0</v>
      </c>
      <c r="G166" s="739">
        <v>0</v>
      </c>
      <c r="H166" s="739">
        <v>0</v>
      </c>
      <c r="I166" s="740">
        <f t="shared" si="93"/>
        <v>0</v>
      </c>
      <c r="J166" s="739">
        <v>100.2</v>
      </c>
      <c r="K166" s="686"/>
      <c r="L166" s="739">
        <f>J166+K166</f>
        <v>100.2</v>
      </c>
      <c r="M166" s="740">
        <f t="shared" si="94"/>
        <v>0</v>
      </c>
      <c r="N166" s="739">
        <v>2000</v>
      </c>
      <c r="O166" s="740">
        <f t="shared" si="100"/>
        <v>18.960079840319359</v>
      </c>
      <c r="P166" s="739">
        <f>P164</f>
        <v>53600</v>
      </c>
      <c r="Q166" s="741"/>
      <c r="R166" s="742">
        <f t="shared" si="86"/>
        <v>10.72</v>
      </c>
      <c r="S166" s="742"/>
      <c r="T166" s="742"/>
      <c r="U166" s="743"/>
      <c r="V166" s="743">
        <v>250</v>
      </c>
      <c r="W166" s="743">
        <v>250</v>
      </c>
      <c r="X166" s="743"/>
      <c r="Y166" s="743"/>
      <c r="Z166" s="743"/>
      <c r="AA166" s="743">
        <v>250</v>
      </c>
      <c r="AB166" s="743">
        <v>250</v>
      </c>
      <c r="AC166" s="743">
        <v>250</v>
      </c>
      <c r="AD166" s="743">
        <v>250</v>
      </c>
      <c r="AE166" s="743">
        <v>250</v>
      </c>
      <c r="AF166" s="743">
        <v>250</v>
      </c>
      <c r="AG166" s="733">
        <f t="shared" si="71"/>
        <v>0</v>
      </c>
      <c r="AH166" s="208">
        <f t="shared" si="72"/>
        <v>500</v>
      </c>
      <c r="AI166" s="208">
        <f t="shared" si="73"/>
        <v>0</v>
      </c>
      <c r="AJ166" s="208">
        <f t="shared" si="74"/>
        <v>750</v>
      </c>
      <c r="AK166" s="208">
        <f t="shared" si="75"/>
        <v>750</v>
      </c>
      <c r="AL166" s="208">
        <f t="shared" si="76"/>
        <v>2000</v>
      </c>
      <c r="AM166" s="680"/>
      <c r="AN166" s="746">
        <f t="shared" si="99"/>
        <v>0</v>
      </c>
      <c r="AO166" s="746">
        <f t="shared" si="99"/>
        <v>1.34</v>
      </c>
      <c r="AP166" s="746">
        <f t="shared" si="99"/>
        <v>1.34</v>
      </c>
      <c r="AQ166" s="746">
        <f t="shared" si="99"/>
        <v>0</v>
      </c>
      <c r="AR166" s="746">
        <f t="shared" si="99"/>
        <v>0</v>
      </c>
      <c r="AS166" s="746">
        <f t="shared" si="99"/>
        <v>0</v>
      </c>
      <c r="AT166" s="746">
        <f t="shared" si="99"/>
        <v>1.34</v>
      </c>
      <c r="AU166" s="746">
        <f t="shared" si="99"/>
        <v>1.34</v>
      </c>
      <c r="AV166" s="746">
        <f t="shared" si="99"/>
        <v>1.34</v>
      </c>
      <c r="AW166" s="746">
        <f t="shared" si="99"/>
        <v>1.34</v>
      </c>
      <c r="AX166" s="746">
        <f t="shared" si="99"/>
        <v>1.34</v>
      </c>
      <c r="AY166" s="746">
        <f t="shared" si="99"/>
        <v>1.34</v>
      </c>
      <c r="AZ166" s="733">
        <f t="shared" si="78"/>
        <v>0</v>
      </c>
      <c r="BA166" s="636">
        <f t="shared" si="79"/>
        <v>2.68</v>
      </c>
      <c r="BB166" s="636">
        <f t="shared" si="80"/>
        <v>0</v>
      </c>
      <c r="BC166" s="636">
        <f t="shared" si="81"/>
        <v>4.0200000000000005</v>
      </c>
      <c r="BD166" s="636">
        <f t="shared" si="82"/>
        <v>4.0200000000000005</v>
      </c>
      <c r="BE166" s="735">
        <f t="shared" si="83"/>
        <v>10.720000000000002</v>
      </c>
      <c r="BF166" s="680"/>
      <c r="BG166" s="680"/>
      <c r="BH166" s="680"/>
      <c r="BI166" s="680"/>
      <c r="BJ166" s="680"/>
      <c r="BK166" s="680"/>
      <c r="BL166" s="680"/>
      <c r="BM166" s="680"/>
      <c r="BN166" s="680"/>
    </row>
    <row r="167" spans="1:66" ht="12.95" customHeight="1">
      <c r="A167" s="802" t="s">
        <v>502</v>
      </c>
      <c r="B167" s="803" t="s">
        <v>312</v>
      </c>
      <c r="C167" s="754" t="s">
        <v>216</v>
      </c>
      <c r="D167" s="749" t="s">
        <v>503</v>
      </c>
      <c r="E167" s="804"/>
      <c r="F167" s="739"/>
      <c r="G167" s="739"/>
      <c r="H167" s="739"/>
      <c r="I167" s="740"/>
      <c r="J167" s="739"/>
      <c r="K167" s="686"/>
      <c r="L167" s="739"/>
      <c r="M167" s="740"/>
      <c r="N167" s="739">
        <v>2400</v>
      </c>
      <c r="O167" s="740"/>
      <c r="P167" s="739">
        <v>50000</v>
      </c>
      <c r="Q167" s="741"/>
      <c r="R167" s="742">
        <f t="shared" si="86"/>
        <v>12</v>
      </c>
      <c r="S167" s="742"/>
      <c r="T167" s="742"/>
      <c r="U167" s="743"/>
      <c r="V167" s="743"/>
      <c r="W167" s="743">
        <v>300</v>
      </c>
      <c r="X167" s="743"/>
      <c r="Y167" s="743">
        <v>300</v>
      </c>
      <c r="Z167" s="743">
        <v>300</v>
      </c>
      <c r="AA167" s="743">
        <v>300</v>
      </c>
      <c r="AB167" s="743">
        <v>300</v>
      </c>
      <c r="AC167" s="743">
        <v>300</v>
      </c>
      <c r="AD167" s="743">
        <v>300</v>
      </c>
      <c r="AE167" s="743">
        <v>300</v>
      </c>
      <c r="AF167" s="745"/>
      <c r="AG167" s="733">
        <f t="shared" si="71"/>
        <v>0</v>
      </c>
      <c r="AH167" s="208">
        <f t="shared" si="72"/>
        <v>300</v>
      </c>
      <c r="AI167" s="208">
        <f t="shared" si="73"/>
        <v>600</v>
      </c>
      <c r="AJ167" s="208">
        <f t="shared" si="74"/>
        <v>900</v>
      </c>
      <c r="AK167" s="208">
        <f t="shared" si="75"/>
        <v>600</v>
      </c>
      <c r="AL167" s="208">
        <f t="shared" si="76"/>
        <v>2400</v>
      </c>
      <c r="AM167" s="680"/>
      <c r="AN167" s="746">
        <f t="shared" si="99"/>
        <v>0</v>
      </c>
      <c r="AO167" s="746">
        <f t="shared" si="99"/>
        <v>0</v>
      </c>
      <c r="AP167" s="746">
        <f t="shared" si="99"/>
        <v>1.5</v>
      </c>
      <c r="AQ167" s="746">
        <f t="shared" si="99"/>
        <v>0</v>
      </c>
      <c r="AR167" s="746">
        <f t="shared" si="99"/>
        <v>1.5</v>
      </c>
      <c r="AS167" s="746">
        <f t="shared" si="99"/>
        <v>1.5</v>
      </c>
      <c r="AT167" s="746">
        <f t="shared" si="99"/>
        <v>1.5</v>
      </c>
      <c r="AU167" s="746">
        <f t="shared" si="99"/>
        <v>1.5</v>
      </c>
      <c r="AV167" s="746">
        <f t="shared" si="99"/>
        <v>1.5</v>
      </c>
      <c r="AW167" s="746">
        <f t="shared" si="99"/>
        <v>1.5</v>
      </c>
      <c r="AX167" s="746">
        <f t="shared" si="99"/>
        <v>1.5</v>
      </c>
      <c r="AY167" s="746">
        <f t="shared" si="99"/>
        <v>0</v>
      </c>
      <c r="AZ167" s="733">
        <f t="shared" si="78"/>
        <v>0</v>
      </c>
      <c r="BA167" s="636">
        <f t="shared" si="79"/>
        <v>1.5</v>
      </c>
      <c r="BB167" s="636">
        <f t="shared" si="80"/>
        <v>3</v>
      </c>
      <c r="BC167" s="636">
        <f t="shared" si="81"/>
        <v>4.5</v>
      </c>
      <c r="BD167" s="636">
        <f t="shared" si="82"/>
        <v>3</v>
      </c>
      <c r="BE167" s="735">
        <f t="shared" si="83"/>
        <v>12</v>
      </c>
      <c r="BF167" s="680"/>
      <c r="BG167" s="680"/>
      <c r="BH167" s="680"/>
      <c r="BI167" s="680"/>
      <c r="BJ167" s="680"/>
      <c r="BK167" s="680"/>
      <c r="BL167" s="680"/>
      <c r="BM167" s="680"/>
      <c r="BN167" s="680"/>
    </row>
    <row r="168" spans="1:66" ht="12.95" customHeight="1">
      <c r="A168" s="802" t="s">
        <v>333</v>
      </c>
      <c r="B168" s="803" t="s">
        <v>312</v>
      </c>
      <c r="C168" s="754" t="s">
        <v>28</v>
      </c>
      <c r="D168" s="749" t="s">
        <v>504</v>
      </c>
      <c r="E168" s="804"/>
      <c r="F168" s="739">
        <v>1.6</v>
      </c>
      <c r="G168" s="739">
        <v>200.036</v>
      </c>
      <c r="H168" s="739">
        <v>37.770000000000003</v>
      </c>
      <c r="I168" s="740">
        <f t="shared" si="93"/>
        <v>-0.81118398688236115</v>
      </c>
      <c r="J168" s="739">
        <v>32.200000000000003</v>
      </c>
      <c r="K168" s="686"/>
      <c r="L168" s="739">
        <f>J168+K168</f>
        <v>32.200000000000003</v>
      </c>
      <c r="M168" s="740">
        <f t="shared" si="94"/>
        <v>-0.14747153825787662</v>
      </c>
      <c r="N168" s="739">
        <v>500</v>
      </c>
      <c r="O168" s="740">
        <f t="shared" si="100"/>
        <v>14.527950310559005</v>
      </c>
      <c r="P168" s="739">
        <v>70000</v>
      </c>
      <c r="Q168" s="741"/>
      <c r="R168" s="742">
        <f t="shared" si="86"/>
        <v>3.5</v>
      </c>
      <c r="S168" s="742"/>
      <c r="T168" s="742"/>
      <c r="U168" s="743"/>
      <c r="V168" s="743"/>
      <c r="W168" s="743"/>
      <c r="X168" s="743"/>
      <c r="Y168" s="743"/>
      <c r="Z168" s="743">
        <v>250</v>
      </c>
      <c r="AA168" s="743"/>
      <c r="AB168" s="743"/>
      <c r="AC168" s="743"/>
      <c r="AD168" s="743">
        <v>250</v>
      </c>
      <c r="AE168" s="744"/>
      <c r="AF168" s="745"/>
      <c r="AG168" s="733">
        <f t="shared" si="71"/>
        <v>0</v>
      </c>
      <c r="AH168" s="208">
        <f t="shared" si="72"/>
        <v>0</v>
      </c>
      <c r="AI168" s="208">
        <f t="shared" si="73"/>
        <v>250</v>
      </c>
      <c r="AJ168" s="208">
        <f t="shared" si="74"/>
        <v>0</v>
      </c>
      <c r="AK168" s="208">
        <f t="shared" si="75"/>
        <v>250</v>
      </c>
      <c r="AL168" s="208">
        <f t="shared" si="76"/>
        <v>500</v>
      </c>
      <c r="AM168" s="680"/>
      <c r="AN168" s="746">
        <f t="shared" si="99"/>
        <v>0</v>
      </c>
      <c r="AO168" s="746">
        <f t="shared" si="99"/>
        <v>0</v>
      </c>
      <c r="AP168" s="746">
        <f t="shared" si="99"/>
        <v>0</v>
      </c>
      <c r="AQ168" s="746">
        <f t="shared" si="99"/>
        <v>0</v>
      </c>
      <c r="AR168" s="746">
        <f t="shared" si="99"/>
        <v>0</v>
      </c>
      <c r="AS168" s="746">
        <f t="shared" si="99"/>
        <v>1.75</v>
      </c>
      <c r="AT168" s="746">
        <f t="shared" si="99"/>
        <v>0</v>
      </c>
      <c r="AU168" s="746">
        <f t="shared" si="99"/>
        <v>0</v>
      </c>
      <c r="AV168" s="746">
        <f t="shared" si="99"/>
        <v>0</v>
      </c>
      <c r="AW168" s="746">
        <f t="shared" si="99"/>
        <v>1.75</v>
      </c>
      <c r="AX168" s="746">
        <f t="shared" si="99"/>
        <v>0</v>
      </c>
      <c r="AY168" s="746">
        <f t="shared" si="99"/>
        <v>0</v>
      </c>
      <c r="AZ168" s="733">
        <f t="shared" si="78"/>
        <v>0</v>
      </c>
      <c r="BA168" s="636">
        <f t="shared" si="79"/>
        <v>0</v>
      </c>
      <c r="BB168" s="636">
        <f t="shared" si="80"/>
        <v>1.75</v>
      </c>
      <c r="BC168" s="636">
        <f t="shared" si="81"/>
        <v>0</v>
      </c>
      <c r="BD168" s="636">
        <f t="shared" si="82"/>
        <v>1.75</v>
      </c>
      <c r="BE168" s="735">
        <f t="shared" si="83"/>
        <v>3.5</v>
      </c>
      <c r="BF168" s="680"/>
      <c r="BG168" s="680"/>
      <c r="BH168" s="680"/>
      <c r="BI168" s="680"/>
      <c r="BJ168" s="680"/>
      <c r="BK168" s="680"/>
      <c r="BL168" s="680"/>
      <c r="BM168" s="680"/>
      <c r="BN168" s="680"/>
    </row>
    <row r="169" spans="1:66" ht="12.95" customHeight="1">
      <c r="A169" s="770"/>
      <c r="B169" s="771"/>
      <c r="C169" s="1096" t="s">
        <v>323</v>
      </c>
      <c r="D169" s="1097"/>
      <c r="E169" s="1097"/>
      <c r="F169" s="772">
        <f>SUM(F164:F168)</f>
        <v>13837.375</v>
      </c>
      <c r="G169" s="772">
        <f>SUM(G164:G168)</f>
        <v>8625.860999999999</v>
      </c>
      <c r="H169" s="772">
        <f>SUM(H164:H168)</f>
        <v>15826.479999999998</v>
      </c>
      <c r="I169" s="773">
        <f t="shared" si="93"/>
        <v>0.83477104488467868</v>
      </c>
      <c r="J169" s="772">
        <f>SUM(J164:J168)</f>
        <v>9124.6100000000042</v>
      </c>
      <c r="K169" s="772">
        <f>SUM(K164:K168)</f>
        <v>5170</v>
      </c>
      <c r="L169" s="772">
        <f>SUM(L164:L168)</f>
        <v>14294.610000000004</v>
      </c>
      <c r="M169" s="773">
        <f t="shared" si="94"/>
        <v>-9.6791579681647075E-2</v>
      </c>
      <c r="N169" s="772">
        <f>SUM(N164:N168)</f>
        <v>20400</v>
      </c>
      <c r="O169" s="773">
        <f t="shared" si="100"/>
        <v>0.42711133776997023</v>
      </c>
      <c r="P169" s="772">
        <v>0</v>
      </c>
      <c r="Q169" s="741"/>
      <c r="R169" s="774">
        <f>SUM(R164:R168)</f>
        <v>109.84</v>
      </c>
      <c r="S169" s="742"/>
      <c r="T169" s="742"/>
      <c r="U169" s="772">
        <f>SUM(U164:U168)</f>
        <v>750</v>
      </c>
      <c r="V169" s="772">
        <f>SUM(V164:V168)</f>
        <v>1250</v>
      </c>
      <c r="W169" s="772">
        <f>SUM(W164:W168)</f>
        <v>1550</v>
      </c>
      <c r="X169" s="772">
        <f t="shared" ref="X169:AF169" si="101">SUM(X164:X168)</f>
        <v>1250</v>
      </c>
      <c r="Y169" s="772">
        <f t="shared" si="101"/>
        <v>1550</v>
      </c>
      <c r="Z169" s="772">
        <f t="shared" si="101"/>
        <v>2050</v>
      </c>
      <c r="AA169" s="772">
        <f t="shared" si="101"/>
        <v>2050</v>
      </c>
      <c r="AB169" s="772">
        <f t="shared" si="101"/>
        <v>2050</v>
      </c>
      <c r="AC169" s="772">
        <f t="shared" si="101"/>
        <v>2050</v>
      </c>
      <c r="AD169" s="772">
        <f t="shared" si="101"/>
        <v>2300</v>
      </c>
      <c r="AE169" s="772">
        <f t="shared" si="101"/>
        <v>2050</v>
      </c>
      <c r="AF169" s="775">
        <f t="shared" si="101"/>
        <v>1500</v>
      </c>
      <c r="AG169" s="733">
        <f t="shared" si="71"/>
        <v>0</v>
      </c>
      <c r="AH169" s="208">
        <f t="shared" si="72"/>
        <v>3550</v>
      </c>
      <c r="AI169" s="208">
        <f t="shared" si="73"/>
        <v>4850</v>
      </c>
      <c r="AJ169" s="208">
        <f t="shared" si="74"/>
        <v>6150</v>
      </c>
      <c r="AK169" s="208">
        <f t="shared" si="75"/>
        <v>5850</v>
      </c>
      <c r="AL169" s="208">
        <f t="shared" si="76"/>
        <v>20400</v>
      </c>
      <c r="AM169" s="680"/>
      <c r="AN169" s="774">
        <f>SUM(AN164:AN168)</f>
        <v>4.0875000000000004</v>
      </c>
      <c r="AO169" s="774">
        <f t="shared" ref="AO169:AY169" si="102">SUM(AO164:AO168)</f>
        <v>6.7224999999999993</v>
      </c>
      <c r="AP169" s="774">
        <f t="shared" si="102"/>
        <v>8.2225000000000001</v>
      </c>
      <c r="AQ169" s="774">
        <f t="shared" si="102"/>
        <v>6.7449999999999992</v>
      </c>
      <c r="AR169" s="774">
        <f t="shared" si="102"/>
        <v>8.2449999999999992</v>
      </c>
      <c r="AS169" s="774">
        <f t="shared" si="102"/>
        <v>11.335000000000001</v>
      </c>
      <c r="AT169" s="774">
        <f t="shared" si="102"/>
        <v>10.925000000000001</v>
      </c>
      <c r="AU169" s="774">
        <f t="shared" si="102"/>
        <v>10.925000000000001</v>
      </c>
      <c r="AV169" s="774">
        <f t="shared" si="102"/>
        <v>10.925000000000001</v>
      </c>
      <c r="AW169" s="774">
        <f t="shared" si="102"/>
        <v>12.675000000000001</v>
      </c>
      <c r="AX169" s="774">
        <f t="shared" si="102"/>
        <v>10.9475</v>
      </c>
      <c r="AY169" s="774">
        <f t="shared" si="102"/>
        <v>8.0849999999999991</v>
      </c>
      <c r="AZ169" s="733">
        <f t="shared" si="78"/>
        <v>0</v>
      </c>
      <c r="BA169" s="636">
        <f t="shared" si="79"/>
        <v>19.032499999999999</v>
      </c>
      <c r="BB169" s="636">
        <f t="shared" si="80"/>
        <v>26.324999999999999</v>
      </c>
      <c r="BC169" s="636">
        <f t="shared" si="81"/>
        <v>32.775000000000006</v>
      </c>
      <c r="BD169" s="636">
        <f t="shared" si="82"/>
        <v>31.707500000000003</v>
      </c>
      <c r="BE169" s="735">
        <f t="shared" si="83"/>
        <v>109.84</v>
      </c>
      <c r="BF169" s="680"/>
      <c r="BG169" s="680"/>
      <c r="BH169" s="680"/>
      <c r="BI169" s="680"/>
      <c r="BJ169" s="680"/>
      <c r="BK169" s="680"/>
      <c r="BL169" s="680"/>
      <c r="BM169" s="680"/>
      <c r="BN169" s="680"/>
    </row>
    <row r="170" spans="1:66" ht="12.95" customHeight="1">
      <c r="A170" s="802" t="s">
        <v>311</v>
      </c>
      <c r="B170" s="803" t="s">
        <v>312</v>
      </c>
      <c r="C170" s="750" t="s">
        <v>313</v>
      </c>
      <c r="D170" s="749" t="s">
        <v>498</v>
      </c>
      <c r="E170" s="804" t="s">
        <v>499</v>
      </c>
      <c r="F170" s="739">
        <v>0</v>
      </c>
      <c r="G170" s="739"/>
      <c r="H170" s="739"/>
      <c r="I170" s="740">
        <f t="shared" si="93"/>
        <v>0</v>
      </c>
      <c r="J170" s="739"/>
      <c r="K170" s="686"/>
      <c r="L170" s="781">
        <f t="shared" ref="L170:L175" si="103">J170+K170</f>
        <v>0</v>
      </c>
      <c r="M170" s="740">
        <f t="shared" si="94"/>
        <v>0</v>
      </c>
      <c r="N170" s="739">
        <v>0</v>
      </c>
      <c r="O170" s="740">
        <f t="shared" si="100"/>
        <v>0</v>
      </c>
      <c r="P170" s="739">
        <v>0</v>
      </c>
      <c r="Q170" s="741"/>
      <c r="R170" s="742">
        <f t="shared" si="86"/>
        <v>0</v>
      </c>
      <c r="S170" s="742"/>
      <c r="T170" s="742"/>
      <c r="U170" s="743"/>
      <c r="V170" s="743"/>
      <c r="W170" s="743"/>
      <c r="X170" s="743"/>
      <c r="Y170" s="743"/>
      <c r="Z170" s="743"/>
      <c r="AA170" s="743"/>
      <c r="AB170" s="743"/>
      <c r="AC170" s="743"/>
      <c r="AD170" s="744"/>
      <c r="AE170" s="744"/>
      <c r="AF170" s="745"/>
      <c r="AG170" s="733">
        <f t="shared" si="71"/>
        <v>0</v>
      </c>
      <c r="AH170" s="208">
        <f t="shared" si="72"/>
        <v>0</v>
      </c>
      <c r="AI170" s="208">
        <f t="shared" si="73"/>
        <v>0</v>
      </c>
      <c r="AJ170" s="208">
        <f t="shared" si="74"/>
        <v>0</v>
      </c>
      <c r="AK170" s="208">
        <f t="shared" si="75"/>
        <v>0</v>
      </c>
      <c r="AL170" s="208">
        <f t="shared" si="76"/>
        <v>0</v>
      </c>
      <c r="AM170" s="680"/>
      <c r="AN170" s="746">
        <f t="shared" si="99"/>
        <v>0</v>
      </c>
      <c r="AO170" s="746">
        <f t="shared" si="99"/>
        <v>0</v>
      </c>
      <c r="AP170" s="746">
        <f t="shared" si="99"/>
        <v>0</v>
      </c>
      <c r="AQ170" s="746">
        <f t="shared" si="99"/>
        <v>0</v>
      </c>
      <c r="AR170" s="746">
        <f t="shared" si="99"/>
        <v>0</v>
      </c>
      <c r="AS170" s="746">
        <f t="shared" si="99"/>
        <v>0</v>
      </c>
      <c r="AT170" s="746">
        <f t="shared" si="99"/>
        <v>0</v>
      </c>
      <c r="AU170" s="746">
        <f t="shared" si="99"/>
        <v>0</v>
      </c>
      <c r="AV170" s="746">
        <f t="shared" si="99"/>
        <v>0</v>
      </c>
      <c r="AW170" s="746">
        <f t="shared" si="99"/>
        <v>0</v>
      </c>
      <c r="AX170" s="746">
        <f t="shared" si="99"/>
        <v>0</v>
      </c>
      <c r="AY170" s="746">
        <f t="shared" si="99"/>
        <v>0</v>
      </c>
      <c r="AZ170" s="733">
        <f t="shared" si="78"/>
        <v>0</v>
      </c>
      <c r="BA170" s="636">
        <f t="shared" si="79"/>
        <v>0</v>
      </c>
      <c r="BB170" s="636">
        <f t="shared" si="80"/>
        <v>0</v>
      </c>
      <c r="BC170" s="636">
        <f t="shared" si="81"/>
        <v>0</v>
      </c>
      <c r="BD170" s="636">
        <f t="shared" si="82"/>
        <v>0</v>
      </c>
      <c r="BE170" s="735">
        <f t="shared" si="83"/>
        <v>0</v>
      </c>
      <c r="BF170" s="680"/>
      <c r="BG170" s="680"/>
      <c r="BH170" s="680"/>
      <c r="BI170" s="680"/>
      <c r="BJ170" s="680"/>
      <c r="BK170" s="680"/>
      <c r="BL170" s="680"/>
      <c r="BM170" s="680"/>
      <c r="BN170" s="680"/>
    </row>
    <row r="171" spans="1:66" s="708" customFormat="1" ht="12.95" customHeight="1">
      <c r="A171" s="802" t="s">
        <v>315</v>
      </c>
      <c r="B171" s="803" t="s">
        <v>312</v>
      </c>
      <c r="C171" s="753" t="s">
        <v>313</v>
      </c>
      <c r="D171" s="749" t="s">
        <v>500</v>
      </c>
      <c r="E171" s="804" t="s">
        <v>501</v>
      </c>
      <c r="F171" s="739">
        <v>0</v>
      </c>
      <c r="G171" s="739"/>
      <c r="H171" s="739"/>
      <c r="I171" s="740">
        <f t="shared" si="93"/>
        <v>0</v>
      </c>
      <c r="J171" s="739"/>
      <c r="K171" s="686"/>
      <c r="L171" s="739">
        <f t="shared" si="103"/>
        <v>0</v>
      </c>
      <c r="M171" s="740">
        <f t="shared" si="94"/>
        <v>0</v>
      </c>
      <c r="N171" s="739">
        <v>0</v>
      </c>
      <c r="O171" s="740">
        <f t="shared" si="100"/>
        <v>0</v>
      </c>
      <c r="P171" s="739">
        <v>0</v>
      </c>
      <c r="Q171" s="741"/>
      <c r="R171" s="742">
        <f t="shared" si="86"/>
        <v>0</v>
      </c>
      <c r="S171" s="742"/>
      <c r="T171" s="742"/>
      <c r="U171" s="743"/>
      <c r="V171" s="743"/>
      <c r="W171" s="743"/>
      <c r="X171" s="743"/>
      <c r="Y171" s="743"/>
      <c r="Z171" s="743"/>
      <c r="AA171" s="743"/>
      <c r="AB171" s="743"/>
      <c r="AC171" s="743"/>
      <c r="AD171" s="744"/>
      <c r="AE171" s="744"/>
      <c r="AF171" s="745"/>
      <c r="AG171" s="733">
        <f t="shared" si="71"/>
        <v>0</v>
      </c>
      <c r="AH171" s="208">
        <f t="shared" si="72"/>
        <v>0</v>
      </c>
      <c r="AI171" s="208">
        <f t="shared" si="73"/>
        <v>0</v>
      </c>
      <c r="AJ171" s="208">
        <f t="shared" si="74"/>
        <v>0</v>
      </c>
      <c r="AK171" s="208">
        <f t="shared" si="75"/>
        <v>0</v>
      </c>
      <c r="AL171" s="208">
        <f t="shared" si="76"/>
        <v>0</v>
      </c>
      <c r="AM171" s="707"/>
      <c r="AN171" s="746">
        <f t="shared" si="99"/>
        <v>0</v>
      </c>
      <c r="AO171" s="746">
        <f t="shared" si="99"/>
        <v>0</v>
      </c>
      <c r="AP171" s="746">
        <f t="shared" si="99"/>
        <v>0</v>
      </c>
      <c r="AQ171" s="746">
        <f t="shared" si="99"/>
        <v>0</v>
      </c>
      <c r="AR171" s="746">
        <f t="shared" si="99"/>
        <v>0</v>
      </c>
      <c r="AS171" s="746">
        <f t="shared" si="99"/>
        <v>0</v>
      </c>
      <c r="AT171" s="746">
        <f t="shared" si="99"/>
        <v>0</v>
      </c>
      <c r="AU171" s="746">
        <f t="shared" si="99"/>
        <v>0</v>
      </c>
      <c r="AV171" s="746">
        <f t="shared" si="99"/>
        <v>0</v>
      </c>
      <c r="AW171" s="746">
        <f t="shared" si="99"/>
        <v>0</v>
      </c>
      <c r="AX171" s="746">
        <f t="shared" si="99"/>
        <v>0</v>
      </c>
      <c r="AY171" s="746">
        <f t="shared" si="99"/>
        <v>0</v>
      </c>
      <c r="AZ171" s="733">
        <f t="shared" si="78"/>
        <v>0</v>
      </c>
      <c r="BA171" s="636">
        <f t="shared" si="79"/>
        <v>0</v>
      </c>
      <c r="BB171" s="636">
        <f t="shared" si="80"/>
        <v>0</v>
      </c>
      <c r="BC171" s="636">
        <f t="shared" si="81"/>
        <v>0</v>
      </c>
      <c r="BD171" s="636">
        <f t="shared" si="82"/>
        <v>0</v>
      </c>
      <c r="BE171" s="735">
        <f t="shared" si="83"/>
        <v>0</v>
      </c>
      <c r="BF171" s="707"/>
      <c r="BG171" s="707"/>
      <c r="BH171" s="707"/>
      <c r="BI171" s="707"/>
      <c r="BJ171" s="707"/>
      <c r="BK171" s="707"/>
      <c r="BL171" s="707"/>
      <c r="BM171" s="707"/>
      <c r="BN171" s="707"/>
    </row>
    <row r="172" spans="1:66" s="708" customFormat="1" ht="12.75">
      <c r="A172" s="802" t="s">
        <v>328</v>
      </c>
      <c r="B172" s="803" t="s">
        <v>312</v>
      </c>
      <c r="C172" s="754" t="s">
        <v>329</v>
      </c>
      <c r="D172" s="749" t="s">
        <v>505</v>
      </c>
      <c r="E172" s="738"/>
      <c r="F172" s="739">
        <v>672.5</v>
      </c>
      <c r="G172" s="739">
        <v>0</v>
      </c>
      <c r="H172" s="739">
        <v>0</v>
      </c>
      <c r="I172" s="740">
        <f t="shared" si="93"/>
        <v>0</v>
      </c>
      <c r="J172" s="739">
        <v>0</v>
      </c>
      <c r="K172" s="686"/>
      <c r="L172" s="739">
        <f t="shared" si="103"/>
        <v>0</v>
      </c>
      <c r="M172" s="740">
        <f t="shared" si="94"/>
        <v>0</v>
      </c>
      <c r="N172" s="739">
        <v>0</v>
      </c>
      <c r="O172" s="740">
        <f t="shared" si="100"/>
        <v>0</v>
      </c>
      <c r="P172" s="739">
        <v>0</v>
      </c>
      <c r="Q172" s="741"/>
      <c r="R172" s="742">
        <f t="shared" si="86"/>
        <v>0</v>
      </c>
      <c r="S172" s="742"/>
      <c r="T172" s="742"/>
      <c r="U172" s="743"/>
      <c r="V172" s="743"/>
      <c r="W172" s="743"/>
      <c r="X172" s="743"/>
      <c r="Y172" s="743"/>
      <c r="Z172" s="743"/>
      <c r="AA172" s="743"/>
      <c r="AB172" s="743"/>
      <c r="AC172" s="743"/>
      <c r="AD172" s="744"/>
      <c r="AE172" s="744"/>
      <c r="AF172" s="745"/>
      <c r="AG172" s="733">
        <f t="shared" si="71"/>
        <v>0</v>
      </c>
      <c r="AH172" s="208">
        <f t="shared" si="72"/>
        <v>0</v>
      </c>
      <c r="AI172" s="208">
        <f t="shared" si="73"/>
        <v>0</v>
      </c>
      <c r="AJ172" s="208">
        <f t="shared" si="74"/>
        <v>0</v>
      </c>
      <c r="AK172" s="208">
        <f t="shared" si="75"/>
        <v>0</v>
      </c>
      <c r="AL172" s="208">
        <f t="shared" si="76"/>
        <v>0</v>
      </c>
      <c r="AM172" s="707"/>
      <c r="AN172" s="746">
        <f t="shared" si="99"/>
        <v>0</v>
      </c>
      <c r="AO172" s="746">
        <f t="shared" si="99"/>
        <v>0</v>
      </c>
      <c r="AP172" s="746">
        <f t="shared" si="99"/>
        <v>0</v>
      </c>
      <c r="AQ172" s="746">
        <f t="shared" si="99"/>
        <v>0</v>
      </c>
      <c r="AR172" s="746">
        <f t="shared" si="99"/>
        <v>0</v>
      </c>
      <c r="AS172" s="746">
        <f t="shared" si="99"/>
        <v>0</v>
      </c>
      <c r="AT172" s="746">
        <f t="shared" si="99"/>
        <v>0</v>
      </c>
      <c r="AU172" s="746">
        <f t="shared" si="99"/>
        <v>0</v>
      </c>
      <c r="AV172" s="746">
        <f t="shared" si="99"/>
        <v>0</v>
      </c>
      <c r="AW172" s="746">
        <f t="shared" si="99"/>
        <v>0</v>
      </c>
      <c r="AX172" s="746">
        <f t="shared" si="99"/>
        <v>0</v>
      </c>
      <c r="AY172" s="746">
        <f t="shared" si="99"/>
        <v>0</v>
      </c>
      <c r="AZ172" s="733">
        <f t="shared" si="78"/>
        <v>0</v>
      </c>
      <c r="BA172" s="636">
        <f t="shared" si="79"/>
        <v>0</v>
      </c>
      <c r="BB172" s="636">
        <f t="shared" si="80"/>
        <v>0</v>
      </c>
      <c r="BC172" s="636">
        <f t="shared" si="81"/>
        <v>0</v>
      </c>
      <c r="BD172" s="636">
        <f t="shared" si="82"/>
        <v>0</v>
      </c>
      <c r="BE172" s="735">
        <f t="shared" si="83"/>
        <v>0</v>
      </c>
      <c r="BF172" s="707"/>
      <c r="BG172" s="707"/>
      <c r="BH172" s="707"/>
      <c r="BI172" s="707"/>
      <c r="BJ172" s="707"/>
      <c r="BK172" s="707"/>
      <c r="BL172" s="707"/>
      <c r="BM172" s="707"/>
      <c r="BN172" s="707"/>
    </row>
    <row r="173" spans="1:66" ht="12.95" customHeight="1">
      <c r="A173" s="802" t="s">
        <v>333</v>
      </c>
      <c r="B173" s="803" t="s">
        <v>312</v>
      </c>
      <c r="C173" s="754" t="s">
        <v>28</v>
      </c>
      <c r="D173" s="749" t="s">
        <v>312</v>
      </c>
      <c r="E173" s="738"/>
      <c r="F173" s="739">
        <v>320</v>
      </c>
      <c r="G173" s="739">
        <v>469</v>
      </c>
      <c r="H173" s="739">
        <v>90</v>
      </c>
      <c r="I173" s="740">
        <f t="shared" si="93"/>
        <v>-0.8081023454157783</v>
      </c>
      <c r="J173" s="739">
        <v>0</v>
      </c>
      <c r="K173" s="686"/>
      <c r="L173" s="739">
        <f t="shared" si="103"/>
        <v>0</v>
      </c>
      <c r="M173" s="740">
        <f t="shared" si="94"/>
        <v>-1</v>
      </c>
      <c r="N173" s="739">
        <v>0</v>
      </c>
      <c r="O173" s="740">
        <f t="shared" si="100"/>
        <v>0</v>
      </c>
      <c r="P173" s="739">
        <v>0</v>
      </c>
      <c r="Q173" s="741"/>
      <c r="R173" s="742">
        <f t="shared" si="86"/>
        <v>0</v>
      </c>
      <c r="S173" s="742"/>
      <c r="T173" s="742"/>
      <c r="U173" s="743"/>
      <c r="V173" s="743"/>
      <c r="W173" s="743"/>
      <c r="X173" s="743"/>
      <c r="Y173" s="743"/>
      <c r="Z173" s="743"/>
      <c r="AA173" s="743"/>
      <c r="AB173" s="743"/>
      <c r="AC173" s="743"/>
      <c r="AD173" s="744"/>
      <c r="AE173" s="744"/>
      <c r="AF173" s="745"/>
      <c r="AG173" s="733">
        <f t="shared" si="71"/>
        <v>0</v>
      </c>
      <c r="AH173" s="208">
        <f t="shared" si="72"/>
        <v>0</v>
      </c>
      <c r="AI173" s="208">
        <f t="shared" si="73"/>
        <v>0</v>
      </c>
      <c r="AJ173" s="208">
        <f t="shared" si="74"/>
        <v>0</v>
      </c>
      <c r="AK173" s="208">
        <f t="shared" si="75"/>
        <v>0</v>
      </c>
      <c r="AL173" s="208">
        <f t="shared" si="76"/>
        <v>0</v>
      </c>
      <c r="AM173" s="680"/>
      <c r="AN173" s="746">
        <f t="shared" si="99"/>
        <v>0</v>
      </c>
      <c r="AO173" s="746">
        <f t="shared" si="99"/>
        <v>0</v>
      </c>
      <c r="AP173" s="746">
        <f t="shared" si="99"/>
        <v>0</v>
      </c>
      <c r="AQ173" s="746">
        <f t="shared" si="99"/>
        <v>0</v>
      </c>
      <c r="AR173" s="746">
        <f t="shared" si="99"/>
        <v>0</v>
      </c>
      <c r="AS173" s="746">
        <f t="shared" si="99"/>
        <v>0</v>
      </c>
      <c r="AT173" s="746">
        <f t="shared" si="99"/>
        <v>0</v>
      </c>
      <c r="AU173" s="746">
        <f t="shared" si="99"/>
        <v>0</v>
      </c>
      <c r="AV173" s="746">
        <f t="shared" si="99"/>
        <v>0</v>
      </c>
      <c r="AW173" s="746">
        <f t="shared" si="99"/>
        <v>0</v>
      </c>
      <c r="AX173" s="746">
        <f t="shared" si="99"/>
        <v>0</v>
      </c>
      <c r="AY173" s="746">
        <f t="shared" si="99"/>
        <v>0</v>
      </c>
      <c r="AZ173" s="733">
        <f t="shared" si="78"/>
        <v>0</v>
      </c>
      <c r="BA173" s="636">
        <f t="shared" si="79"/>
        <v>0</v>
      </c>
      <c r="BB173" s="636">
        <f t="shared" si="80"/>
        <v>0</v>
      </c>
      <c r="BC173" s="636">
        <f t="shared" si="81"/>
        <v>0</v>
      </c>
      <c r="BD173" s="636">
        <f t="shared" si="82"/>
        <v>0</v>
      </c>
      <c r="BE173" s="735">
        <f t="shared" si="83"/>
        <v>0</v>
      </c>
      <c r="BF173" s="680"/>
      <c r="BG173" s="680"/>
      <c r="BH173" s="680"/>
      <c r="BI173" s="680"/>
      <c r="BJ173" s="680"/>
      <c r="BK173" s="680"/>
      <c r="BL173" s="680"/>
      <c r="BM173" s="680"/>
      <c r="BN173" s="680"/>
    </row>
    <row r="174" spans="1:66" ht="12.95" customHeight="1">
      <c r="A174" s="802" t="s">
        <v>330</v>
      </c>
      <c r="B174" s="803" t="s">
        <v>312</v>
      </c>
      <c r="C174" s="754" t="s">
        <v>72</v>
      </c>
      <c r="D174" s="749" t="s">
        <v>506</v>
      </c>
      <c r="E174" s="738"/>
      <c r="F174" s="739">
        <v>894.80809999999985</v>
      </c>
      <c r="G174" s="739">
        <v>2012.6899999999987</v>
      </c>
      <c r="H174" s="739">
        <v>444.17999999999989</v>
      </c>
      <c r="I174" s="740">
        <f t="shared" si="93"/>
        <v>-0.77931027629689609</v>
      </c>
      <c r="J174" s="739">
        <v>487.82999999999976</v>
      </c>
      <c r="K174" s="686"/>
      <c r="L174" s="739">
        <f t="shared" si="103"/>
        <v>487.82999999999976</v>
      </c>
      <c r="M174" s="740">
        <f t="shared" si="94"/>
        <v>9.827097122788031E-2</v>
      </c>
      <c r="N174" s="739"/>
      <c r="O174" s="740">
        <f t="shared" si="100"/>
        <v>-1</v>
      </c>
      <c r="P174" s="739"/>
      <c r="Q174" s="741"/>
      <c r="R174" s="742">
        <f t="shared" si="86"/>
        <v>0</v>
      </c>
      <c r="S174" s="742"/>
      <c r="T174" s="742"/>
      <c r="U174" s="743"/>
      <c r="V174" s="743"/>
      <c r="W174" s="743"/>
      <c r="X174" s="743"/>
      <c r="Y174" s="743"/>
      <c r="Z174" s="743"/>
      <c r="AA174" s="743"/>
      <c r="AB174" s="743"/>
      <c r="AC174" s="743"/>
      <c r="AD174" s="744"/>
      <c r="AE174" s="744"/>
      <c r="AF174" s="745"/>
      <c r="AG174" s="733">
        <f t="shared" si="71"/>
        <v>0</v>
      </c>
      <c r="AH174" s="208">
        <f t="shared" si="72"/>
        <v>0</v>
      </c>
      <c r="AI174" s="208">
        <f t="shared" si="73"/>
        <v>0</v>
      </c>
      <c r="AJ174" s="208">
        <f t="shared" si="74"/>
        <v>0</v>
      </c>
      <c r="AK174" s="208">
        <f t="shared" si="75"/>
        <v>0</v>
      </c>
      <c r="AL174" s="208">
        <f t="shared" si="76"/>
        <v>0</v>
      </c>
      <c r="AM174" s="680"/>
      <c r="AN174" s="746">
        <f t="shared" si="99"/>
        <v>0</v>
      </c>
      <c r="AO174" s="746">
        <f t="shared" si="99"/>
        <v>0</v>
      </c>
      <c r="AP174" s="746">
        <f t="shared" si="99"/>
        <v>0</v>
      </c>
      <c r="AQ174" s="746">
        <f t="shared" si="99"/>
        <v>0</v>
      </c>
      <c r="AR174" s="746">
        <f t="shared" si="99"/>
        <v>0</v>
      </c>
      <c r="AS174" s="746">
        <f t="shared" si="99"/>
        <v>0</v>
      </c>
      <c r="AT174" s="746">
        <f t="shared" si="99"/>
        <v>0</v>
      </c>
      <c r="AU174" s="746">
        <f t="shared" si="99"/>
        <v>0</v>
      </c>
      <c r="AV174" s="746">
        <f t="shared" si="99"/>
        <v>0</v>
      </c>
      <c r="AW174" s="746">
        <f t="shared" si="99"/>
        <v>0</v>
      </c>
      <c r="AX174" s="746">
        <f t="shared" si="99"/>
        <v>0</v>
      </c>
      <c r="AY174" s="746">
        <f t="shared" si="99"/>
        <v>0</v>
      </c>
      <c r="AZ174" s="733">
        <f t="shared" si="78"/>
        <v>0</v>
      </c>
      <c r="BA174" s="636">
        <f t="shared" si="79"/>
        <v>0</v>
      </c>
      <c r="BB174" s="636">
        <f t="shared" si="80"/>
        <v>0</v>
      </c>
      <c r="BC174" s="636">
        <f t="shared" si="81"/>
        <v>0</v>
      </c>
      <c r="BD174" s="636">
        <f t="shared" si="82"/>
        <v>0</v>
      </c>
      <c r="BE174" s="735">
        <f t="shared" si="83"/>
        <v>0</v>
      </c>
      <c r="BF174" s="680"/>
      <c r="BG174" s="680"/>
      <c r="BH174" s="680"/>
      <c r="BI174" s="680"/>
      <c r="BJ174" s="680"/>
      <c r="BK174" s="680"/>
      <c r="BL174" s="680"/>
      <c r="BM174" s="680"/>
      <c r="BN174" s="680"/>
    </row>
    <row r="175" spans="1:66" s="708" customFormat="1" ht="12.95" customHeight="1">
      <c r="A175" s="802"/>
      <c r="B175" s="803" t="s">
        <v>312</v>
      </c>
      <c r="C175" s="754" t="s">
        <v>334</v>
      </c>
      <c r="D175" s="749" t="s">
        <v>312</v>
      </c>
      <c r="E175" s="738"/>
      <c r="F175" s="739"/>
      <c r="G175" s="739">
        <v>0</v>
      </c>
      <c r="H175" s="739">
        <v>0</v>
      </c>
      <c r="I175" s="740">
        <f t="shared" si="93"/>
        <v>0</v>
      </c>
      <c r="J175" s="739">
        <v>0</v>
      </c>
      <c r="K175" s="686"/>
      <c r="L175" s="781">
        <f t="shared" si="103"/>
        <v>0</v>
      </c>
      <c r="M175" s="740">
        <f t="shared" si="94"/>
        <v>0</v>
      </c>
      <c r="N175" s="739">
        <v>375</v>
      </c>
      <c r="O175" s="740">
        <f t="shared" si="100"/>
        <v>0</v>
      </c>
      <c r="P175" s="739">
        <f>1800*70</f>
        <v>126000</v>
      </c>
      <c r="Q175" s="741"/>
      <c r="R175" s="742">
        <f t="shared" si="86"/>
        <v>4.7249999999999996</v>
      </c>
      <c r="S175" s="742"/>
      <c r="T175" s="742"/>
      <c r="U175" s="743"/>
      <c r="V175" s="743">
        <v>18</v>
      </c>
      <c r="W175" s="743"/>
      <c r="X175" s="743">
        <v>54</v>
      </c>
      <c r="Y175" s="743"/>
      <c r="Z175" s="743">
        <v>54</v>
      </c>
      <c r="AA175" s="743">
        <v>54</v>
      </c>
      <c r="AB175" s="743"/>
      <c r="AC175" s="743">
        <v>54</v>
      </c>
      <c r="AD175" s="743">
        <v>54</v>
      </c>
      <c r="AE175" s="743">
        <v>54</v>
      </c>
      <c r="AF175" s="745">
        <v>33</v>
      </c>
      <c r="AG175" s="733">
        <f t="shared" si="71"/>
        <v>0</v>
      </c>
      <c r="AH175" s="208">
        <f t="shared" si="72"/>
        <v>18</v>
      </c>
      <c r="AI175" s="208">
        <f t="shared" si="73"/>
        <v>108</v>
      </c>
      <c r="AJ175" s="208">
        <f t="shared" si="74"/>
        <v>108</v>
      </c>
      <c r="AK175" s="208">
        <f t="shared" si="75"/>
        <v>141</v>
      </c>
      <c r="AL175" s="208">
        <f t="shared" si="76"/>
        <v>375</v>
      </c>
      <c r="AM175" s="707"/>
      <c r="AN175" s="746">
        <f t="shared" si="99"/>
        <v>0</v>
      </c>
      <c r="AO175" s="746">
        <f t="shared" si="99"/>
        <v>0.2268</v>
      </c>
      <c r="AP175" s="746">
        <f t="shared" si="99"/>
        <v>0</v>
      </c>
      <c r="AQ175" s="746">
        <f t="shared" si="99"/>
        <v>0.6804</v>
      </c>
      <c r="AR175" s="746">
        <f t="shared" si="99"/>
        <v>0</v>
      </c>
      <c r="AS175" s="746">
        <f t="shared" si="99"/>
        <v>0.6804</v>
      </c>
      <c r="AT175" s="746">
        <f t="shared" si="99"/>
        <v>0.6804</v>
      </c>
      <c r="AU175" s="746">
        <f t="shared" si="99"/>
        <v>0</v>
      </c>
      <c r="AV175" s="746">
        <f t="shared" si="99"/>
        <v>0.6804</v>
      </c>
      <c r="AW175" s="746">
        <f t="shared" si="99"/>
        <v>0.6804</v>
      </c>
      <c r="AX175" s="746">
        <f t="shared" si="99"/>
        <v>0.6804</v>
      </c>
      <c r="AY175" s="746">
        <f t="shared" si="99"/>
        <v>0.4158</v>
      </c>
      <c r="AZ175" s="733">
        <f t="shared" si="78"/>
        <v>0</v>
      </c>
      <c r="BA175" s="636">
        <f t="shared" si="79"/>
        <v>0.2268</v>
      </c>
      <c r="BB175" s="636">
        <f t="shared" si="80"/>
        <v>1.3608</v>
      </c>
      <c r="BC175" s="636">
        <f t="shared" si="81"/>
        <v>1.3608</v>
      </c>
      <c r="BD175" s="636">
        <f t="shared" si="82"/>
        <v>1.7766</v>
      </c>
      <c r="BE175" s="735">
        <f t="shared" si="83"/>
        <v>4.7250000000000005</v>
      </c>
      <c r="BF175" s="707"/>
      <c r="BG175" s="707"/>
      <c r="BH175" s="707"/>
      <c r="BI175" s="707"/>
      <c r="BJ175" s="707"/>
      <c r="BK175" s="707"/>
      <c r="BL175" s="707"/>
      <c r="BM175" s="707"/>
      <c r="BN175" s="707"/>
    </row>
    <row r="176" spans="1:66" ht="12.75">
      <c r="A176" s="802"/>
      <c r="B176" s="803"/>
      <c r="C176" s="1096" t="s">
        <v>335</v>
      </c>
      <c r="D176" s="1097"/>
      <c r="E176" s="1097"/>
      <c r="F176" s="772">
        <f>SUM(F170:F175)</f>
        <v>1887.3080999999997</v>
      </c>
      <c r="G176" s="772">
        <f>SUM(G170:G175)</f>
        <v>2481.6899999999987</v>
      </c>
      <c r="H176" s="772">
        <f>SUM(H170:H175)</f>
        <v>534.17999999999984</v>
      </c>
      <c r="I176" s="773">
        <f t="shared" si="93"/>
        <v>-0.78475152013345739</v>
      </c>
      <c r="J176" s="772">
        <f>SUM(J170:J175)</f>
        <v>487.82999999999976</v>
      </c>
      <c r="K176" s="772">
        <f>SUM(K170:K175)</f>
        <v>0</v>
      </c>
      <c r="L176" s="772">
        <f>SUM(L170:L175)</f>
        <v>487.82999999999976</v>
      </c>
      <c r="M176" s="773">
        <f t="shared" si="94"/>
        <v>-8.6768504998315343E-2</v>
      </c>
      <c r="N176" s="772">
        <f>SUM(N170:N175)</f>
        <v>375</v>
      </c>
      <c r="O176" s="773">
        <f t="shared" si="100"/>
        <v>-0.23128958858618742</v>
      </c>
      <c r="P176" s="772">
        <v>0</v>
      </c>
      <c r="Q176" s="741"/>
      <c r="R176" s="774">
        <f>SUM(R170:R175)</f>
        <v>4.7249999999999996</v>
      </c>
      <c r="S176" s="742"/>
      <c r="T176" s="742"/>
      <c r="U176" s="772">
        <f>SUM(U170:U175)</f>
        <v>0</v>
      </c>
      <c r="V176" s="772">
        <f>SUM(V170:V175)</f>
        <v>18</v>
      </c>
      <c r="W176" s="772">
        <f>SUM(W170:W175)</f>
        <v>0</v>
      </c>
      <c r="X176" s="772">
        <f t="shared" ref="X176:AF176" si="104">SUM(X170:X175)</f>
        <v>54</v>
      </c>
      <c r="Y176" s="772">
        <f t="shared" si="104"/>
        <v>0</v>
      </c>
      <c r="Z176" s="772">
        <f t="shared" si="104"/>
        <v>54</v>
      </c>
      <c r="AA176" s="772">
        <f t="shared" si="104"/>
        <v>54</v>
      </c>
      <c r="AB176" s="772">
        <f t="shared" si="104"/>
        <v>0</v>
      </c>
      <c r="AC176" s="772">
        <f t="shared" si="104"/>
        <v>54</v>
      </c>
      <c r="AD176" s="772">
        <f t="shared" si="104"/>
        <v>54</v>
      </c>
      <c r="AE176" s="772">
        <f t="shared" si="104"/>
        <v>54</v>
      </c>
      <c r="AF176" s="775">
        <f t="shared" si="104"/>
        <v>33</v>
      </c>
      <c r="AG176" s="733">
        <f t="shared" si="71"/>
        <v>0</v>
      </c>
      <c r="AH176" s="208">
        <f t="shared" si="72"/>
        <v>18</v>
      </c>
      <c r="AI176" s="208">
        <f t="shared" si="73"/>
        <v>108</v>
      </c>
      <c r="AJ176" s="208">
        <f t="shared" si="74"/>
        <v>108</v>
      </c>
      <c r="AK176" s="208">
        <f t="shared" si="75"/>
        <v>141</v>
      </c>
      <c r="AL176" s="208">
        <f t="shared" si="76"/>
        <v>375</v>
      </c>
      <c r="AM176" s="805"/>
      <c r="AN176" s="774">
        <f>SUM(AN170:AN175)</f>
        <v>0</v>
      </c>
      <c r="AO176" s="774">
        <f t="shared" ref="AO176:AY176" si="105">SUM(AO170:AO175)</f>
        <v>0.2268</v>
      </c>
      <c r="AP176" s="774">
        <f t="shared" si="105"/>
        <v>0</v>
      </c>
      <c r="AQ176" s="774">
        <f t="shared" si="105"/>
        <v>0.6804</v>
      </c>
      <c r="AR176" s="774">
        <f t="shared" si="105"/>
        <v>0</v>
      </c>
      <c r="AS176" s="774">
        <f t="shared" si="105"/>
        <v>0.6804</v>
      </c>
      <c r="AT176" s="774">
        <f t="shared" si="105"/>
        <v>0.6804</v>
      </c>
      <c r="AU176" s="774">
        <f t="shared" si="105"/>
        <v>0</v>
      </c>
      <c r="AV176" s="774">
        <f t="shared" si="105"/>
        <v>0.6804</v>
      </c>
      <c r="AW176" s="774">
        <f t="shared" si="105"/>
        <v>0.6804</v>
      </c>
      <c r="AX176" s="774">
        <f t="shared" si="105"/>
        <v>0.6804</v>
      </c>
      <c r="AY176" s="774">
        <f t="shared" si="105"/>
        <v>0.4158</v>
      </c>
      <c r="AZ176" s="733">
        <f t="shared" si="78"/>
        <v>0</v>
      </c>
      <c r="BA176" s="636">
        <f t="shared" si="79"/>
        <v>0.2268</v>
      </c>
      <c r="BB176" s="636">
        <f t="shared" si="80"/>
        <v>1.3608</v>
      </c>
      <c r="BC176" s="636">
        <f t="shared" si="81"/>
        <v>1.3608</v>
      </c>
      <c r="BD176" s="636">
        <f t="shared" si="82"/>
        <v>1.7766</v>
      </c>
      <c r="BE176" s="735">
        <f t="shared" si="83"/>
        <v>4.7250000000000005</v>
      </c>
      <c r="BF176" s="806"/>
      <c r="BG176" s="806"/>
      <c r="BH176" s="806"/>
      <c r="BI176" s="806"/>
      <c r="BJ176" s="680"/>
      <c r="BK176" s="680"/>
      <c r="BL176" s="680"/>
      <c r="BM176" s="680"/>
      <c r="BN176" s="680"/>
    </row>
    <row r="177" spans="1:66" ht="12.75">
      <c r="A177" s="802"/>
      <c r="B177" s="803"/>
      <c r="C177" s="1096" t="s">
        <v>507</v>
      </c>
      <c r="D177" s="1097"/>
      <c r="E177" s="1097"/>
      <c r="F177" s="772">
        <f>F169+F176</f>
        <v>15724.6831</v>
      </c>
      <c r="G177" s="772">
        <f>G169+G176</f>
        <v>11107.550999999998</v>
      </c>
      <c r="H177" s="772">
        <f>H169+H176</f>
        <v>16360.659999999998</v>
      </c>
      <c r="I177" s="773">
        <f t="shared" si="93"/>
        <v>0.47293134193126835</v>
      </c>
      <c r="J177" s="772">
        <f>J169+J176</f>
        <v>9612.4400000000041</v>
      </c>
      <c r="K177" s="772">
        <f>K169+K176</f>
        <v>5170</v>
      </c>
      <c r="L177" s="772">
        <f>L169+L176</f>
        <v>14782.440000000004</v>
      </c>
      <c r="M177" s="773">
        <f t="shared" si="94"/>
        <v>-9.6464323566408328E-2</v>
      </c>
      <c r="N177" s="772">
        <f>N169+N176</f>
        <v>20775</v>
      </c>
      <c r="O177" s="773">
        <f t="shared" si="100"/>
        <v>0.40538368496675747</v>
      </c>
      <c r="P177" s="772">
        <v>0</v>
      </c>
      <c r="Q177" s="741"/>
      <c r="R177" s="774">
        <f>R169+R176</f>
        <v>114.565</v>
      </c>
      <c r="S177" s="742"/>
      <c r="T177" s="742"/>
      <c r="U177" s="772">
        <f>U169+U176</f>
        <v>750</v>
      </c>
      <c r="V177" s="772">
        <f>V169+V176</f>
        <v>1268</v>
      </c>
      <c r="W177" s="772">
        <f>W169+W176</f>
        <v>1550</v>
      </c>
      <c r="X177" s="772">
        <f t="shared" ref="X177:AF177" si="106">X169+X176</f>
        <v>1304</v>
      </c>
      <c r="Y177" s="772">
        <f t="shared" si="106"/>
        <v>1550</v>
      </c>
      <c r="Z177" s="772">
        <f t="shared" si="106"/>
        <v>2104</v>
      </c>
      <c r="AA177" s="772">
        <f t="shared" si="106"/>
        <v>2104</v>
      </c>
      <c r="AB177" s="772">
        <f t="shared" si="106"/>
        <v>2050</v>
      </c>
      <c r="AC177" s="772">
        <f t="shared" si="106"/>
        <v>2104</v>
      </c>
      <c r="AD177" s="772">
        <f t="shared" si="106"/>
        <v>2354</v>
      </c>
      <c r="AE177" s="772">
        <f t="shared" si="106"/>
        <v>2104</v>
      </c>
      <c r="AF177" s="775">
        <f t="shared" si="106"/>
        <v>1533</v>
      </c>
      <c r="AG177" s="733">
        <f t="shared" si="71"/>
        <v>0</v>
      </c>
      <c r="AH177" s="208">
        <f t="shared" si="72"/>
        <v>3568</v>
      </c>
      <c r="AI177" s="208">
        <f t="shared" si="73"/>
        <v>4958</v>
      </c>
      <c r="AJ177" s="208">
        <f t="shared" si="74"/>
        <v>6258</v>
      </c>
      <c r="AK177" s="208">
        <f t="shared" si="75"/>
        <v>5991</v>
      </c>
      <c r="AL177" s="208">
        <f t="shared" si="76"/>
        <v>20775</v>
      </c>
      <c r="AM177" s="805"/>
      <c r="AN177" s="774">
        <f>AN169+AN176</f>
        <v>4.0875000000000004</v>
      </c>
      <c r="AO177" s="774">
        <f t="shared" ref="AO177:AY177" si="107">AO169+AO176</f>
        <v>6.9492999999999991</v>
      </c>
      <c r="AP177" s="774">
        <f t="shared" si="107"/>
        <v>8.2225000000000001</v>
      </c>
      <c r="AQ177" s="774">
        <f t="shared" si="107"/>
        <v>7.4253999999999989</v>
      </c>
      <c r="AR177" s="774">
        <f t="shared" si="107"/>
        <v>8.2449999999999992</v>
      </c>
      <c r="AS177" s="774">
        <f t="shared" si="107"/>
        <v>12.015400000000001</v>
      </c>
      <c r="AT177" s="774">
        <f t="shared" si="107"/>
        <v>11.605400000000001</v>
      </c>
      <c r="AU177" s="774">
        <f t="shared" si="107"/>
        <v>10.925000000000001</v>
      </c>
      <c r="AV177" s="774">
        <f t="shared" si="107"/>
        <v>11.605400000000001</v>
      </c>
      <c r="AW177" s="774">
        <f t="shared" si="107"/>
        <v>13.355400000000001</v>
      </c>
      <c r="AX177" s="774">
        <f t="shared" si="107"/>
        <v>11.6279</v>
      </c>
      <c r="AY177" s="774">
        <f t="shared" si="107"/>
        <v>8.5007999999999999</v>
      </c>
      <c r="AZ177" s="733">
        <f t="shared" si="78"/>
        <v>0</v>
      </c>
      <c r="BA177" s="636">
        <f t="shared" si="79"/>
        <v>19.2593</v>
      </c>
      <c r="BB177" s="636">
        <f t="shared" si="80"/>
        <v>27.6858</v>
      </c>
      <c r="BC177" s="636">
        <f t="shared" si="81"/>
        <v>34.135800000000003</v>
      </c>
      <c r="BD177" s="636">
        <f t="shared" si="82"/>
        <v>33.484099999999998</v>
      </c>
      <c r="BE177" s="735">
        <f t="shared" si="83"/>
        <v>114.565</v>
      </c>
      <c r="BF177" s="806"/>
      <c r="BG177" s="806"/>
      <c r="BH177" s="806"/>
      <c r="BI177" s="806"/>
      <c r="BJ177" s="680"/>
      <c r="BK177" s="680"/>
      <c r="BL177" s="680"/>
      <c r="BM177" s="680"/>
      <c r="BN177" s="680"/>
    </row>
    <row r="178" spans="1:66" ht="12.75">
      <c r="A178" s="802"/>
      <c r="B178" s="803"/>
      <c r="C178" s="807"/>
      <c r="D178" s="808"/>
      <c r="E178" s="809"/>
      <c r="F178" s="810"/>
      <c r="G178" s="810"/>
      <c r="H178" s="810"/>
      <c r="I178" s="811">
        <f t="shared" si="93"/>
        <v>0</v>
      </c>
      <c r="J178" s="812"/>
      <c r="K178" s="813"/>
      <c r="L178" s="814"/>
      <c r="M178" s="815"/>
      <c r="N178" s="812"/>
      <c r="O178" s="816"/>
      <c r="P178" s="816"/>
      <c r="Q178" s="816"/>
      <c r="R178" s="817">
        <f t="shared" si="86"/>
        <v>0</v>
      </c>
      <c r="S178" s="817"/>
      <c r="T178" s="817"/>
      <c r="U178" s="812"/>
      <c r="V178" s="812"/>
      <c r="W178" s="812"/>
      <c r="X178" s="812"/>
      <c r="Y178" s="812"/>
      <c r="Z178" s="812"/>
      <c r="AA178" s="812"/>
      <c r="AB178" s="812"/>
      <c r="AC178" s="812"/>
      <c r="AD178" s="812"/>
      <c r="AE178" s="812"/>
      <c r="AF178" s="818"/>
      <c r="AG178" s="733">
        <f t="shared" si="71"/>
        <v>0</v>
      </c>
      <c r="AH178" s="208">
        <f t="shared" si="72"/>
        <v>0</v>
      </c>
      <c r="AI178" s="208">
        <f t="shared" si="73"/>
        <v>0</v>
      </c>
      <c r="AJ178" s="208">
        <f t="shared" si="74"/>
        <v>0</v>
      </c>
      <c r="AK178" s="208">
        <f t="shared" si="75"/>
        <v>0</v>
      </c>
      <c r="AL178" s="208">
        <f t="shared" si="76"/>
        <v>0</v>
      </c>
      <c r="AM178" s="805"/>
      <c r="AN178" s="816"/>
      <c r="AO178" s="816"/>
      <c r="AP178" s="816"/>
      <c r="AQ178" s="816"/>
      <c r="AR178" s="816"/>
      <c r="AS178" s="816"/>
      <c r="AT178" s="816"/>
      <c r="AU178" s="816"/>
      <c r="AV178" s="816"/>
      <c r="AW178" s="816"/>
      <c r="AX178" s="816"/>
      <c r="AY178" s="816"/>
      <c r="AZ178" s="733">
        <f t="shared" si="78"/>
        <v>0</v>
      </c>
      <c r="BA178" s="636">
        <f t="shared" si="79"/>
        <v>0</v>
      </c>
      <c r="BB178" s="636">
        <f t="shared" si="80"/>
        <v>0</v>
      </c>
      <c r="BC178" s="636">
        <f t="shared" si="81"/>
        <v>0</v>
      </c>
      <c r="BD178" s="636">
        <f t="shared" si="82"/>
        <v>0</v>
      </c>
      <c r="BE178" s="735">
        <f t="shared" si="83"/>
        <v>0</v>
      </c>
      <c r="BF178" s="806"/>
      <c r="BG178" s="806"/>
      <c r="BH178" s="806"/>
      <c r="BI178" s="806"/>
      <c r="BJ178" s="680"/>
      <c r="BK178" s="680"/>
      <c r="BL178" s="680"/>
      <c r="BM178" s="680"/>
      <c r="BN178" s="680"/>
    </row>
    <row r="179" spans="1:66" ht="12.75">
      <c r="A179" s="802" t="s">
        <v>337</v>
      </c>
      <c r="B179" s="819" t="s">
        <v>337</v>
      </c>
      <c r="C179" s="820"/>
      <c r="D179" s="821" t="s">
        <v>337</v>
      </c>
      <c r="E179" s="822"/>
      <c r="F179" s="823"/>
      <c r="G179" s="823">
        <v>640.29</v>
      </c>
      <c r="H179" s="823">
        <v>916.85</v>
      </c>
      <c r="I179" s="740">
        <f t="shared" si="93"/>
        <v>0.43192928204407388</v>
      </c>
      <c r="J179" s="739">
        <v>427.92</v>
      </c>
      <c r="K179" s="686">
        <v>50</v>
      </c>
      <c r="L179" s="739">
        <f>J179+K179</f>
        <v>477.92</v>
      </c>
      <c r="M179" s="740">
        <f t="shared" ref="M179:M185" si="108">IF(ISERROR((L179-H179)/H179),0,((L179-H179)/H179))</f>
        <v>-0.4787369798767519</v>
      </c>
      <c r="N179" s="739">
        <v>300</v>
      </c>
      <c r="O179" s="740">
        <f t="shared" ref="O179:O185" si="109">IF(ISERROR((N179-L179)/L179),0,((N179-L179)/L179))</f>
        <v>-0.37227987947773689</v>
      </c>
      <c r="P179" s="739">
        <v>20000</v>
      </c>
      <c r="Q179" s="741"/>
      <c r="R179" s="742">
        <f t="shared" si="86"/>
        <v>0.6</v>
      </c>
      <c r="S179" s="742"/>
      <c r="T179" s="742"/>
      <c r="U179" s="743">
        <v>25</v>
      </c>
      <c r="V179" s="743">
        <v>25</v>
      </c>
      <c r="W179" s="743">
        <v>25</v>
      </c>
      <c r="X179" s="743">
        <v>25</v>
      </c>
      <c r="Y179" s="743">
        <v>25</v>
      </c>
      <c r="Z179" s="743">
        <v>25</v>
      </c>
      <c r="AA179" s="743">
        <v>25</v>
      </c>
      <c r="AB179" s="743">
        <v>25</v>
      </c>
      <c r="AC179" s="743">
        <v>25</v>
      </c>
      <c r="AD179" s="743">
        <v>25</v>
      </c>
      <c r="AE179" s="743">
        <v>25</v>
      </c>
      <c r="AF179" s="743">
        <v>25</v>
      </c>
      <c r="AG179" s="733">
        <f t="shared" si="71"/>
        <v>0</v>
      </c>
      <c r="AH179" s="208">
        <f t="shared" si="72"/>
        <v>75</v>
      </c>
      <c r="AI179" s="208">
        <f t="shared" si="73"/>
        <v>75</v>
      </c>
      <c r="AJ179" s="208">
        <f t="shared" si="74"/>
        <v>75</v>
      </c>
      <c r="AK179" s="208">
        <f t="shared" si="75"/>
        <v>75</v>
      </c>
      <c r="AL179" s="208">
        <f t="shared" si="76"/>
        <v>300</v>
      </c>
      <c r="AM179" s="805"/>
      <c r="AN179" s="746">
        <f t="shared" ref="AN179:AY202" si="110">U179*$P179/10^7</f>
        <v>0.05</v>
      </c>
      <c r="AO179" s="746">
        <f t="shared" si="110"/>
        <v>0.05</v>
      </c>
      <c r="AP179" s="746">
        <f t="shared" si="110"/>
        <v>0.05</v>
      </c>
      <c r="AQ179" s="746">
        <f t="shared" si="110"/>
        <v>0.05</v>
      </c>
      <c r="AR179" s="746">
        <f t="shared" si="110"/>
        <v>0.05</v>
      </c>
      <c r="AS179" s="746">
        <f t="shared" si="110"/>
        <v>0.05</v>
      </c>
      <c r="AT179" s="746">
        <f t="shared" si="110"/>
        <v>0.05</v>
      </c>
      <c r="AU179" s="746">
        <f t="shared" si="110"/>
        <v>0.05</v>
      </c>
      <c r="AV179" s="746">
        <f t="shared" si="110"/>
        <v>0.05</v>
      </c>
      <c r="AW179" s="746">
        <f t="shared" si="110"/>
        <v>0.05</v>
      </c>
      <c r="AX179" s="746">
        <f t="shared" si="110"/>
        <v>0.05</v>
      </c>
      <c r="AY179" s="746">
        <f t="shared" si="110"/>
        <v>0.05</v>
      </c>
      <c r="AZ179" s="733">
        <f t="shared" si="78"/>
        <v>0</v>
      </c>
      <c r="BA179" s="636">
        <f t="shared" si="79"/>
        <v>0.15000000000000002</v>
      </c>
      <c r="BB179" s="636">
        <f t="shared" si="80"/>
        <v>0.15000000000000002</v>
      </c>
      <c r="BC179" s="636">
        <f t="shared" si="81"/>
        <v>0.15000000000000002</v>
      </c>
      <c r="BD179" s="636">
        <f t="shared" si="82"/>
        <v>0.15000000000000002</v>
      </c>
      <c r="BE179" s="735">
        <f t="shared" si="83"/>
        <v>0.60000000000000009</v>
      </c>
      <c r="BF179" s="806"/>
      <c r="BG179" s="806"/>
      <c r="BH179" s="806"/>
      <c r="BI179" s="806"/>
      <c r="BJ179" s="680"/>
      <c r="BK179" s="680"/>
      <c r="BL179" s="680"/>
      <c r="BM179" s="680"/>
      <c r="BN179" s="680"/>
    </row>
    <row r="180" spans="1:66" ht="12.75">
      <c r="A180" s="802" t="s">
        <v>339</v>
      </c>
      <c r="B180" s="819" t="s">
        <v>339</v>
      </c>
      <c r="C180" s="820"/>
      <c r="D180" s="821" t="s">
        <v>339</v>
      </c>
      <c r="E180" s="822"/>
      <c r="F180" s="823"/>
      <c r="G180" s="823">
        <v>563.23</v>
      </c>
      <c r="H180" s="823">
        <v>27</v>
      </c>
      <c r="I180" s="740">
        <f t="shared" si="93"/>
        <v>-0.95206221259520973</v>
      </c>
      <c r="J180" s="739">
        <v>0.18</v>
      </c>
      <c r="K180" s="686"/>
      <c r="L180" s="739">
        <f>J180+K180</f>
        <v>0.18</v>
      </c>
      <c r="M180" s="740">
        <f t="shared" si="108"/>
        <v>-0.99333333333333329</v>
      </c>
      <c r="N180" s="739">
        <v>0</v>
      </c>
      <c r="O180" s="740">
        <f t="shared" si="109"/>
        <v>-1</v>
      </c>
      <c r="P180" s="739">
        <v>0</v>
      </c>
      <c r="Q180" s="741"/>
      <c r="R180" s="742">
        <f t="shared" si="86"/>
        <v>0</v>
      </c>
      <c r="S180" s="742"/>
      <c r="T180" s="742"/>
      <c r="U180" s="743"/>
      <c r="V180" s="743"/>
      <c r="W180" s="743"/>
      <c r="X180" s="743"/>
      <c r="Y180" s="743"/>
      <c r="Z180" s="743"/>
      <c r="AA180" s="743"/>
      <c r="AB180" s="743"/>
      <c r="AC180" s="743"/>
      <c r="AD180" s="744"/>
      <c r="AE180" s="744"/>
      <c r="AF180" s="745"/>
      <c r="AG180" s="733">
        <f t="shared" si="71"/>
        <v>0</v>
      </c>
      <c r="AH180" s="208">
        <f t="shared" si="72"/>
        <v>0</v>
      </c>
      <c r="AI180" s="208">
        <f t="shared" si="73"/>
        <v>0</v>
      </c>
      <c r="AJ180" s="208">
        <f t="shared" si="74"/>
        <v>0</v>
      </c>
      <c r="AK180" s="208">
        <f t="shared" si="75"/>
        <v>0</v>
      </c>
      <c r="AL180" s="208">
        <f t="shared" si="76"/>
        <v>0</v>
      </c>
      <c r="AM180" s="805"/>
      <c r="AN180" s="746">
        <f t="shared" si="110"/>
        <v>0</v>
      </c>
      <c r="AO180" s="746">
        <f t="shared" si="110"/>
        <v>0</v>
      </c>
      <c r="AP180" s="746">
        <f t="shared" si="110"/>
        <v>0</v>
      </c>
      <c r="AQ180" s="746">
        <f t="shared" si="110"/>
        <v>0</v>
      </c>
      <c r="AR180" s="746">
        <f t="shared" si="110"/>
        <v>0</v>
      </c>
      <c r="AS180" s="746">
        <f t="shared" si="110"/>
        <v>0</v>
      </c>
      <c r="AT180" s="746">
        <f t="shared" si="110"/>
        <v>0</v>
      </c>
      <c r="AU180" s="746">
        <f t="shared" si="110"/>
        <v>0</v>
      </c>
      <c r="AV180" s="746">
        <f t="shared" si="110"/>
        <v>0</v>
      </c>
      <c r="AW180" s="746">
        <f t="shared" si="110"/>
        <v>0</v>
      </c>
      <c r="AX180" s="746">
        <f t="shared" si="110"/>
        <v>0</v>
      </c>
      <c r="AY180" s="746">
        <f t="shared" si="110"/>
        <v>0</v>
      </c>
      <c r="AZ180" s="733">
        <f t="shared" si="78"/>
        <v>0</v>
      </c>
      <c r="BA180" s="636">
        <f t="shared" si="79"/>
        <v>0</v>
      </c>
      <c r="BB180" s="636">
        <f t="shared" si="80"/>
        <v>0</v>
      </c>
      <c r="BC180" s="636">
        <f t="shared" si="81"/>
        <v>0</v>
      </c>
      <c r="BD180" s="636">
        <f t="shared" si="82"/>
        <v>0</v>
      </c>
      <c r="BE180" s="735">
        <f t="shared" si="83"/>
        <v>0</v>
      </c>
      <c r="BF180" s="806"/>
      <c r="BG180" s="806"/>
      <c r="BH180" s="806"/>
      <c r="BI180" s="806"/>
      <c r="BJ180" s="680"/>
      <c r="BK180" s="680"/>
      <c r="BL180" s="680"/>
      <c r="BM180" s="680"/>
      <c r="BN180" s="680"/>
    </row>
    <row r="181" spans="1:66" ht="22.5">
      <c r="A181" s="802" t="s">
        <v>340</v>
      </c>
      <c r="B181" s="819" t="s">
        <v>340</v>
      </c>
      <c r="C181" s="820"/>
      <c r="D181" s="821" t="s">
        <v>340</v>
      </c>
      <c r="E181" s="822"/>
      <c r="F181" s="823"/>
      <c r="G181" s="823">
        <v>780.12999999999988</v>
      </c>
      <c r="H181" s="823">
        <v>166.63</v>
      </c>
      <c r="I181" s="740">
        <f t="shared" si="93"/>
        <v>-0.78640739363952161</v>
      </c>
      <c r="J181" s="739">
        <v>0</v>
      </c>
      <c r="K181" s="686"/>
      <c r="L181" s="739">
        <f>J181+K181</f>
        <v>0</v>
      </c>
      <c r="M181" s="740">
        <f t="shared" si="108"/>
        <v>-1</v>
      </c>
      <c r="N181" s="739">
        <v>0</v>
      </c>
      <c r="O181" s="740">
        <f t="shared" si="109"/>
        <v>0</v>
      </c>
      <c r="P181" s="739">
        <v>0</v>
      </c>
      <c r="Q181" s="741"/>
      <c r="R181" s="742">
        <f t="shared" si="86"/>
        <v>0</v>
      </c>
      <c r="S181" s="742"/>
      <c r="T181" s="742"/>
      <c r="U181" s="743"/>
      <c r="V181" s="743"/>
      <c r="W181" s="743"/>
      <c r="X181" s="743"/>
      <c r="Y181" s="743"/>
      <c r="Z181" s="743"/>
      <c r="AA181" s="743"/>
      <c r="AB181" s="743"/>
      <c r="AC181" s="743"/>
      <c r="AD181" s="744"/>
      <c r="AE181" s="744"/>
      <c r="AF181" s="745"/>
      <c r="AG181" s="733">
        <f t="shared" si="71"/>
        <v>0</v>
      </c>
      <c r="AH181" s="208">
        <f t="shared" si="72"/>
        <v>0</v>
      </c>
      <c r="AI181" s="208">
        <f t="shared" si="73"/>
        <v>0</v>
      </c>
      <c r="AJ181" s="208">
        <f t="shared" si="74"/>
        <v>0</v>
      </c>
      <c r="AK181" s="208">
        <f t="shared" si="75"/>
        <v>0</v>
      </c>
      <c r="AL181" s="208">
        <f t="shared" si="76"/>
        <v>0</v>
      </c>
      <c r="AM181" s="805"/>
      <c r="AN181" s="746">
        <f t="shared" si="110"/>
        <v>0</v>
      </c>
      <c r="AO181" s="746">
        <f t="shared" si="110"/>
        <v>0</v>
      </c>
      <c r="AP181" s="746">
        <f t="shared" si="110"/>
        <v>0</v>
      </c>
      <c r="AQ181" s="746">
        <f t="shared" si="110"/>
        <v>0</v>
      </c>
      <c r="AR181" s="746">
        <f t="shared" si="110"/>
        <v>0</v>
      </c>
      <c r="AS181" s="746">
        <f t="shared" si="110"/>
        <v>0</v>
      </c>
      <c r="AT181" s="746">
        <f t="shared" si="110"/>
        <v>0</v>
      </c>
      <c r="AU181" s="746">
        <f t="shared" si="110"/>
        <v>0</v>
      </c>
      <c r="AV181" s="746">
        <f t="shared" si="110"/>
        <v>0</v>
      </c>
      <c r="AW181" s="746">
        <f t="shared" si="110"/>
        <v>0</v>
      </c>
      <c r="AX181" s="746">
        <f t="shared" si="110"/>
        <v>0</v>
      </c>
      <c r="AY181" s="746">
        <f t="shared" si="110"/>
        <v>0</v>
      </c>
      <c r="AZ181" s="733">
        <f t="shared" si="78"/>
        <v>0</v>
      </c>
      <c r="BA181" s="636">
        <f t="shared" si="79"/>
        <v>0</v>
      </c>
      <c r="BB181" s="636">
        <f t="shared" si="80"/>
        <v>0</v>
      </c>
      <c r="BC181" s="636">
        <f t="shared" si="81"/>
        <v>0</v>
      </c>
      <c r="BD181" s="636">
        <f t="shared" si="82"/>
        <v>0</v>
      </c>
      <c r="BE181" s="735">
        <f t="shared" si="83"/>
        <v>0</v>
      </c>
      <c r="BF181" s="806"/>
      <c r="BG181" s="806"/>
      <c r="BH181" s="806"/>
      <c r="BI181" s="806"/>
      <c r="BJ181" s="680"/>
      <c r="BK181" s="680"/>
      <c r="BL181" s="680"/>
      <c r="BM181" s="680"/>
      <c r="BN181" s="680"/>
    </row>
    <row r="182" spans="1:66" ht="12.75">
      <c r="A182" s="802" t="s">
        <v>341</v>
      </c>
      <c r="B182" s="819" t="s">
        <v>341</v>
      </c>
      <c r="C182" s="820"/>
      <c r="D182" s="821" t="s">
        <v>341</v>
      </c>
      <c r="E182" s="822"/>
      <c r="F182" s="823"/>
      <c r="G182" s="823">
        <v>1305.8399999999997</v>
      </c>
      <c r="H182" s="823">
        <v>215.89</v>
      </c>
      <c r="I182" s="740">
        <f t="shared" si="93"/>
        <v>-0.83467346688721444</v>
      </c>
      <c r="J182" s="739">
        <v>0</v>
      </c>
      <c r="K182" s="686"/>
      <c r="L182" s="739">
        <f>J182+K182</f>
        <v>0</v>
      </c>
      <c r="M182" s="740">
        <f t="shared" si="108"/>
        <v>-1</v>
      </c>
      <c r="N182" s="739">
        <v>0</v>
      </c>
      <c r="O182" s="740">
        <f t="shared" si="109"/>
        <v>0</v>
      </c>
      <c r="P182" s="739">
        <v>0</v>
      </c>
      <c r="Q182" s="741"/>
      <c r="R182" s="742">
        <f t="shared" si="86"/>
        <v>0</v>
      </c>
      <c r="S182" s="742"/>
      <c r="T182" s="742"/>
      <c r="U182" s="743"/>
      <c r="V182" s="743"/>
      <c r="W182" s="743"/>
      <c r="X182" s="743"/>
      <c r="Y182" s="743"/>
      <c r="Z182" s="743"/>
      <c r="AA182" s="743"/>
      <c r="AB182" s="743"/>
      <c r="AC182" s="743"/>
      <c r="AD182" s="744"/>
      <c r="AE182" s="744"/>
      <c r="AF182" s="745"/>
      <c r="AG182" s="733">
        <f t="shared" si="71"/>
        <v>0</v>
      </c>
      <c r="AH182" s="208">
        <f t="shared" si="72"/>
        <v>0</v>
      </c>
      <c r="AI182" s="208">
        <f t="shared" si="73"/>
        <v>0</v>
      </c>
      <c r="AJ182" s="208">
        <f t="shared" si="74"/>
        <v>0</v>
      </c>
      <c r="AK182" s="208">
        <f t="shared" si="75"/>
        <v>0</v>
      </c>
      <c r="AL182" s="208">
        <f t="shared" si="76"/>
        <v>0</v>
      </c>
      <c r="AM182" s="805"/>
      <c r="AN182" s="746">
        <f t="shared" si="110"/>
        <v>0</v>
      </c>
      <c r="AO182" s="746">
        <f t="shared" si="110"/>
        <v>0</v>
      </c>
      <c r="AP182" s="746">
        <f t="shared" si="110"/>
        <v>0</v>
      </c>
      <c r="AQ182" s="746">
        <f t="shared" si="110"/>
        <v>0</v>
      </c>
      <c r="AR182" s="746">
        <f t="shared" si="110"/>
        <v>0</v>
      </c>
      <c r="AS182" s="746">
        <f t="shared" si="110"/>
        <v>0</v>
      </c>
      <c r="AT182" s="746">
        <f t="shared" si="110"/>
        <v>0</v>
      </c>
      <c r="AU182" s="746">
        <f t="shared" si="110"/>
        <v>0</v>
      </c>
      <c r="AV182" s="746">
        <f t="shared" si="110"/>
        <v>0</v>
      </c>
      <c r="AW182" s="746">
        <f t="shared" si="110"/>
        <v>0</v>
      </c>
      <c r="AX182" s="746">
        <f t="shared" si="110"/>
        <v>0</v>
      </c>
      <c r="AY182" s="746">
        <f t="shared" si="110"/>
        <v>0</v>
      </c>
      <c r="AZ182" s="733">
        <f t="shared" si="78"/>
        <v>0</v>
      </c>
      <c r="BA182" s="636">
        <f t="shared" si="79"/>
        <v>0</v>
      </c>
      <c r="BB182" s="636">
        <f t="shared" si="80"/>
        <v>0</v>
      </c>
      <c r="BC182" s="636">
        <f t="shared" si="81"/>
        <v>0</v>
      </c>
      <c r="BD182" s="636">
        <f t="shared" si="82"/>
        <v>0</v>
      </c>
      <c r="BE182" s="735">
        <f t="shared" si="83"/>
        <v>0</v>
      </c>
      <c r="BF182" s="806"/>
      <c r="BG182" s="806"/>
      <c r="BH182" s="806"/>
      <c r="BI182" s="806"/>
      <c r="BJ182" s="680"/>
      <c r="BK182" s="680"/>
      <c r="BL182" s="680"/>
      <c r="BM182" s="680"/>
      <c r="BN182" s="680"/>
    </row>
    <row r="183" spans="1:66" ht="13.5" thickBot="1">
      <c r="A183" s="802"/>
      <c r="B183" s="824"/>
      <c r="C183" s="1090" t="s">
        <v>508</v>
      </c>
      <c r="D183" s="1088"/>
      <c r="E183" s="1092"/>
      <c r="F183" s="772">
        <f>SUM(F179:F182)</f>
        <v>0</v>
      </c>
      <c r="G183" s="772">
        <f>SUM(G179:G182)</f>
        <v>3289.49</v>
      </c>
      <c r="H183" s="772">
        <f>SUM(H179:H182)</f>
        <v>1326.37</v>
      </c>
      <c r="I183" s="773">
        <f t="shared" si="93"/>
        <v>-0.59678551994382112</v>
      </c>
      <c r="J183" s="772">
        <f>SUM(J179:J182)</f>
        <v>428.1</v>
      </c>
      <c r="K183" s="772">
        <f>SUM(K179:K182)</f>
        <v>50</v>
      </c>
      <c r="L183" s="772">
        <f>SUM(L179:L182)</f>
        <v>478.1</v>
      </c>
      <c r="M183" s="773">
        <f t="shared" si="108"/>
        <v>-0.63954251076245694</v>
      </c>
      <c r="N183" s="772">
        <f>SUM(N179:N182)</f>
        <v>300</v>
      </c>
      <c r="O183" s="773">
        <f t="shared" si="109"/>
        <v>-0.37251620999790841</v>
      </c>
      <c r="P183" s="772">
        <f>SUM(P179:P182)</f>
        <v>20000</v>
      </c>
      <c r="Q183" s="741"/>
      <c r="R183" s="774">
        <f>SUM(R179:R182)</f>
        <v>0.6</v>
      </c>
      <c r="S183" s="742"/>
      <c r="T183" s="742"/>
      <c r="U183" s="772">
        <f>SUM(U179:U182)</f>
        <v>25</v>
      </c>
      <c r="V183" s="772">
        <f>SUM(V179:V182)</f>
        <v>25</v>
      </c>
      <c r="W183" s="772">
        <f>SUM(W179:W182)</f>
        <v>25</v>
      </c>
      <c r="X183" s="772">
        <f t="shared" ref="X183:AF183" si="111">SUM(X179:X182)</f>
        <v>25</v>
      </c>
      <c r="Y183" s="772">
        <f t="shared" si="111"/>
        <v>25</v>
      </c>
      <c r="Z183" s="772">
        <f t="shared" si="111"/>
        <v>25</v>
      </c>
      <c r="AA183" s="772">
        <f t="shared" si="111"/>
        <v>25</v>
      </c>
      <c r="AB183" s="772">
        <f t="shared" si="111"/>
        <v>25</v>
      </c>
      <c r="AC183" s="772">
        <f t="shared" si="111"/>
        <v>25</v>
      </c>
      <c r="AD183" s="772">
        <f t="shared" si="111"/>
        <v>25</v>
      </c>
      <c r="AE183" s="772">
        <f t="shared" si="111"/>
        <v>25</v>
      </c>
      <c r="AF183" s="772">
        <f t="shared" si="111"/>
        <v>25</v>
      </c>
      <c r="AG183" s="733">
        <f t="shared" si="71"/>
        <v>0</v>
      </c>
      <c r="AH183" s="208">
        <f t="shared" si="72"/>
        <v>75</v>
      </c>
      <c r="AI183" s="208">
        <f t="shared" si="73"/>
        <v>75</v>
      </c>
      <c r="AJ183" s="208">
        <f t="shared" si="74"/>
        <v>75</v>
      </c>
      <c r="AK183" s="208">
        <f t="shared" si="75"/>
        <v>75</v>
      </c>
      <c r="AL183" s="208">
        <f t="shared" si="76"/>
        <v>300</v>
      </c>
      <c r="AM183" s="805"/>
      <c r="AN183" s="774">
        <f>SUM(AN179:AN182)</f>
        <v>0.05</v>
      </c>
      <c r="AO183" s="774">
        <f t="shared" ref="AO183:AY183" si="112">SUM(AO179:AO182)</f>
        <v>0.05</v>
      </c>
      <c r="AP183" s="774">
        <f t="shared" si="112"/>
        <v>0.05</v>
      </c>
      <c r="AQ183" s="774">
        <f t="shared" si="112"/>
        <v>0.05</v>
      </c>
      <c r="AR183" s="774">
        <f t="shared" si="112"/>
        <v>0.05</v>
      </c>
      <c r="AS183" s="774">
        <f t="shared" si="112"/>
        <v>0.05</v>
      </c>
      <c r="AT183" s="774">
        <f t="shared" si="112"/>
        <v>0.05</v>
      </c>
      <c r="AU183" s="774">
        <f t="shared" si="112"/>
        <v>0.05</v>
      </c>
      <c r="AV183" s="774">
        <f t="shared" si="112"/>
        <v>0.05</v>
      </c>
      <c r="AW183" s="774">
        <f t="shared" si="112"/>
        <v>0.05</v>
      </c>
      <c r="AX183" s="774">
        <f t="shared" si="112"/>
        <v>0.05</v>
      </c>
      <c r="AY183" s="774">
        <f t="shared" si="112"/>
        <v>0.05</v>
      </c>
      <c r="AZ183" s="733">
        <f t="shared" si="78"/>
        <v>0</v>
      </c>
      <c r="BA183" s="636">
        <f t="shared" si="79"/>
        <v>0.15000000000000002</v>
      </c>
      <c r="BB183" s="636">
        <f t="shared" si="80"/>
        <v>0.15000000000000002</v>
      </c>
      <c r="BC183" s="636">
        <f t="shared" si="81"/>
        <v>0.15000000000000002</v>
      </c>
      <c r="BD183" s="636">
        <f t="shared" si="82"/>
        <v>0.15000000000000002</v>
      </c>
      <c r="BE183" s="735">
        <f t="shared" si="83"/>
        <v>0.60000000000000009</v>
      </c>
      <c r="BF183" s="806"/>
      <c r="BG183" s="806"/>
      <c r="BH183" s="806"/>
      <c r="BI183" s="806"/>
      <c r="BJ183" s="680"/>
      <c r="BK183" s="680"/>
      <c r="BL183" s="680"/>
      <c r="BM183" s="680"/>
      <c r="BN183" s="680"/>
    </row>
    <row r="184" spans="1:66" ht="12.75">
      <c r="A184" s="802"/>
      <c r="B184" s="819"/>
      <c r="C184" s="820"/>
      <c r="D184" s="821"/>
      <c r="E184" s="822"/>
      <c r="F184" s="823"/>
      <c r="G184" s="823"/>
      <c r="H184" s="823"/>
      <c r="I184" s="740">
        <f t="shared" si="93"/>
        <v>0</v>
      </c>
      <c r="J184" s="739"/>
      <c r="K184" s="746"/>
      <c r="L184" s="781">
        <f>J184+K184</f>
        <v>0</v>
      </c>
      <c r="M184" s="740">
        <f t="shared" si="108"/>
        <v>0</v>
      </c>
      <c r="N184" s="739">
        <f>SUM(U184:AF184)</f>
        <v>0</v>
      </c>
      <c r="O184" s="740">
        <f t="shared" si="109"/>
        <v>0</v>
      </c>
      <c r="P184" s="739">
        <v>0</v>
      </c>
      <c r="Q184" s="741"/>
      <c r="R184" s="742">
        <f t="shared" si="86"/>
        <v>0</v>
      </c>
      <c r="S184" s="742"/>
      <c r="T184" s="742"/>
      <c r="U184" s="743">
        <v>0</v>
      </c>
      <c r="V184" s="743">
        <v>0</v>
      </c>
      <c r="W184" s="743">
        <v>0</v>
      </c>
      <c r="X184" s="743">
        <v>0</v>
      </c>
      <c r="Y184" s="743">
        <v>0</v>
      </c>
      <c r="Z184" s="743">
        <v>0</v>
      </c>
      <c r="AA184" s="743">
        <v>0</v>
      </c>
      <c r="AB184" s="743">
        <v>0</v>
      </c>
      <c r="AC184" s="743">
        <v>0</v>
      </c>
      <c r="AD184" s="744">
        <v>0</v>
      </c>
      <c r="AE184" s="744">
        <v>0</v>
      </c>
      <c r="AF184" s="745">
        <v>0</v>
      </c>
      <c r="AG184" s="733">
        <f t="shared" si="71"/>
        <v>0</v>
      </c>
      <c r="AH184" s="208">
        <f t="shared" si="72"/>
        <v>0</v>
      </c>
      <c r="AI184" s="208">
        <f t="shared" si="73"/>
        <v>0</v>
      </c>
      <c r="AJ184" s="208">
        <f t="shared" si="74"/>
        <v>0</v>
      </c>
      <c r="AK184" s="208">
        <f t="shared" si="75"/>
        <v>0</v>
      </c>
      <c r="AL184" s="208">
        <f t="shared" si="76"/>
        <v>0</v>
      </c>
      <c r="AM184" s="805"/>
      <c r="AN184" s="746">
        <f t="shared" si="110"/>
        <v>0</v>
      </c>
      <c r="AO184" s="746">
        <f t="shared" si="110"/>
        <v>0</v>
      </c>
      <c r="AP184" s="746">
        <f t="shared" si="110"/>
        <v>0</v>
      </c>
      <c r="AQ184" s="746">
        <f t="shared" si="110"/>
        <v>0</v>
      </c>
      <c r="AR184" s="746">
        <f t="shared" si="110"/>
        <v>0</v>
      </c>
      <c r="AS184" s="746">
        <f t="shared" si="110"/>
        <v>0</v>
      </c>
      <c r="AT184" s="746">
        <f t="shared" si="110"/>
        <v>0</v>
      </c>
      <c r="AU184" s="746">
        <f t="shared" si="110"/>
        <v>0</v>
      </c>
      <c r="AV184" s="746">
        <f t="shared" si="110"/>
        <v>0</v>
      </c>
      <c r="AW184" s="746">
        <f t="shared" si="110"/>
        <v>0</v>
      </c>
      <c r="AX184" s="746">
        <f t="shared" si="110"/>
        <v>0</v>
      </c>
      <c r="AY184" s="746">
        <f t="shared" si="110"/>
        <v>0</v>
      </c>
      <c r="AZ184" s="733">
        <f t="shared" si="78"/>
        <v>0</v>
      </c>
      <c r="BA184" s="636">
        <f t="shared" si="79"/>
        <v>0</v>
      </c>
      <c r="BB184" s="636">
        <f t="shared" si="80"/>
        <v>0</v>
      </c>
      <c r="BC184" s="636">
        <f t="shared" si="81"/>
        <v>0</v>
      </c>
      <c r="BD184" s="636">
        <f t="shared" si="82"/>
        <v>0</v>
      </c>
      <c r="BE184" s="735">
        <f t="shared" si="83"/>
        <v>0</v>
      </c>
      <c r="BF184" s="806"/>
      <c r="BG184" s="806"/>
      <c r="BH184" s="806"/>
      <c r="BI184" s="806"/>
      <c r="BJ184" s="680"/>
      <c r="BK184" s="680"/>
      <c r="BL184" s="680"/>
      <c r="BM184" s="680"/>
      <c r="BN184" s="680"/>
    </row>
    <row r="185" spans="1:66" ht="12.75">
      <c r="A185" s="802"/>
      <c r="B185" s="803"/>
      <c r="C185" s="825"/>
      <c r="D185" s="826"/>
      <c r="E185" s="822" t="s">
        <v>509</v>
      </c>
      <c r="F185" s="823"/>
      <c r="G185" s="823">
        <v>298.32092</v>
      </c>
      <c r="H185" s="823">
        <v>0</v>
      </c>
      <c r="I185" s="740">
        <f t="shared" si="93"/>
        <v>-1</v>
      </c>
      <c r="J185" s="739">
        <v>0</v>
      </c>
      <c r="K185" s="686"/>
      <c r="L185" s="739">
        <f>J185+K185</f>
        <v>0</v>
      </c>
      <c r="M185" s="740">
        <f t="shared" si="108"/>
        <v>0</v>
      </c>
      <c r="N185" s="739"/>
      <c r="O185" s="740">
        <f t="shared" si="109"/>
        <v>0</v>
      </c>
      <c r="P185" s="739">
        <v>0</v>
      </c>
      <c r="Q185" s="741"/>
      <c r="R185" s="742">
        <f t="shared" si="86"/>
        <v>0</v>
      </c>
      <c r="S185" s="742"/>
      <c r="T185" s="742"/>
      <c r="U185" s="743">
        <v>0</v>
      </c>
      <c r="V185" s="743">
        <v>0</v>
      </c>
      <c r="W185" s="743">
        <v>0</v>
      </c>
      <c r="X185" s="743">
        <v>0</v>
      </c>
      <c r="Y185" s="743">
        <v>0</v>
      </c>
      <c r="Z185" s="743">
        <v>0</v>
      </c>
      <c r="AA185" s="743">
        <v>0</v>
      </c>
      <c r="AB185" s="743">
        <v>0</v>
      </c>
      <c r="AC185" s="743">
        <v>0</v>
      </c>
      <c r="AD185" s="744">
        <v>0</v>
      </c>
      <c r="AE185" s="744">
        <v>0</v>
      </c>
      <c r="AF185" s="745">
        <v>0</v>
      </c>
      <c r="AG185" s="733">
        <f t="shared" si="71"/>
        <v>0</v>
      </c>
      <c r="AH185" s="208">
        <f t="shared" si="72"/>
        <v>0</v>
      </c>
      <c r="AI185" s="208">
        <f t="shared" si="73"/>
        <v>0</v>
      </c>
      <c r="AJ185" s="208">
        <f t="shared" si="74"/>
        <v>0</v>
      </c>
      <c r="AK185" s="208">
        <f t="shared" si="75"/>
        <v>0</v>
      </c>
      <c r="AL185" s="208">
        <f t="shared" si="76"/>
        <v>0</v>
      </c>
      <c r="AM185" s="805"/>
      <c r="AN185" s="746">
        <f t="shared" si="110"/>
        <v>0</v>
      </c>
      <c r="AO185" s="746">
        <f t="shared" si="110"/>
        <v>0</v>
      </c>
      <c r="AP185" s="746">
        <f t="shared" si="110"/>
        <v>0</v>
      </c>
      <c r="AQ185" s="746">
        <f t="shared" si="110"/>
        <v>0</v>
      </c>
      <c r="AR185" s="746">
        <f t="shared" si="110"/>
        <v>0</v>
      </c>
      <c r="AS185" s="746">
        <f t="shared" si="110"/>
        <v>0</v>
      </c>
      <c r="AT185" s="746">
        <f t="shared" si="110"/>
        <v>0</v>
      </c>
      <c r="AU185" s="746">
        <f t="shared" si="110"/>
        <v>0</v>
      </c>
      <c r="AV185" s="746">
        <f t="shared" si="110"/>
        <v>0</v>
      </c>
      <c r="AW185" s="746">
        <f t="shared" si="110"/>
        <v>0</v>
      </c>
      <c r="AX185" s="746">
        <f t="shared" si="110"/>
        <v>0</v>
      </c>
      <c r="AY185" s="746">
        <f t="shared" si="110"/>
        <v>0</v>
      </c>
      <c r="AZ185" s="733">
        <f t="shared" si="78"/>
        <v>0</v>
      </c>
      <c r="BA185" s="636">
        <f t="shared" si="79"/>
        <v>0</v>
      </c>
      <c r="BB185" s="636">
        <f t="shared" si="80"/>
        <v>0</v>
      </c>
      <c r="BC185" s="636">
        <f t="shared" si="81"/>
        <v>0</v>
      </c>
      <c r="BD185" s="636">
        <f t="shared" si="82"/>
        <v>0</v>
      </c>
      <c r="BE185" s="735">
        <f t="shared" si="83"/>
        <v>0</v>
      </c>
      <c r="BF185" s="806"/>
      <c r="BG185" s="806"/>
      <c r="BH185" s="806"/>
      <c r="BI185" s="806"/>
      <c r="BJ185" s="680"/>
      <c r="BK185" s="680"/>
      <c r="BL185" s="680"/>
      <c r="BM185" s="680"/>
      <c r="BN185" s="680"/>
    </row>
    <row r="186" spans="1:66" ht="22.5">
      <c r="A186" s="802" t="s">
        <v>510</v>
      </c>
      <c r="B186" s="803"/>
      <c r="C186" s="825" t="s">
        <v>313</v>
      </c>
      <c r="D186" s="826" t="s">
        <v>73</v>
      </c>
      <c r="E186" s="822" t="str">
        <f>A186</f>
        <v>Dettol Antiseptic Liq 60 ML</v>
      </c>
      <c r="F186" s="823"/>
      <c r="G186" s="823"/>
      <c r="H186" s="823"/>
      <c r="I186" s="740"/>
      <c r="J186" s="739"/>
      <c r="K186" s="686"/>
      <c r="L186" s="739">
        <f t="shared" ref="L186:L191" si="113">J186+K186</f>
        <v>0</v>
      </c>
      <c r="M186" s="740"/>
      <c r="N186" s="768">
        <f>104*0+220</f>
        <v>220</v>
      </c>
      <c r="O186" s="740"/>
      <c r="P186" s="739">
        <v>783015.93929640006</v>
      </c>
      <c r="Q186" s="741"/>
      <c r="R186" s="769">
        <f t="shared" si="86"/>
        <v>17.226350664520801</v>
      </c>
      <c r="S186" s="742"/>
      <c r="T186" s="742"/>
      <c r="U186" s="827">
        <f>$N186*5%</f>
        <v>11</v>
      </c>
      <c r="V186" s="827">
        <f>$N186*5%</f>
        <v>11</v>
      </c>
      <c r="W186" s="827">
        <f>$N186*10%</f>
        <v>22</v>
      </c>
      <c r="X186" s="827">
        <f>$N186*5%</f>
        <v>11</v>
      </c>
      <c r="Y186" s="827">
        <f>$N186*8%</f>
        <v>17.600000000000001</v>
      </c>
      <c r="Z186" s="827">
        <f>$N186*10%</f>
        <v>22</v>
      </c>
      <c r="AA186" s="827">
        <f>$N186*10%</f>
        <v>22</v>
      </c>
      <c r="AB186" s="827">
        <f>$N186*10%</f>
        <v>22</v>
      </c>
      <c r="AC186" s="827">
        <f>$N186*11%</f>
        <v>24.2</v>
      </c>
      <c r="AD186" s="827">
        <f>$N186*11%</f>
        <v>24.2</v>
      </c>
      <c r="AE186" s="827">
        <f>$N186*10%</f>
        <v>22</v>
      </c>
      <c r="AF186" s="827">
        <f>$N186*5%</f>
        <v>11</v>
      </c>
      <c r="AG186" s="733">
        <f t="shared" si="71"/>
        <v>0</v>
      </c>
      <c r="AH186" s="208">
        <f t="shared" si="72"/>
        <v>44</v>
      </c>
      <c r="AI186" s="208">
        <f t="shared" si="73"/>
        <v>50.6</v>
      </c>
      <c r="AJ186" s="208">
        <f t="shared" si="74"/>
        <v>68.2</v>
      </c>
      <c r="AK186" s="208">
        <f t="shared" si="75"/>
        <v>57.2</v>
      </c>
      <c r="AL186" s="208">
        <f t="shared" si="76"/>
        <v>220</v>
      </c>
      <c r="AM186" s="805"/>
      <c r="AN186" s="746">
        <f t="shared" si="110"/>
        <v>0.86131753322603999</v>
      </c>
      <c r="AO186" s="746">
        <f t="shared" si="110"/>
        <v>0.86131753322603999</v>
      </c>
      <c r="AP186" s="746">
        <f t="shared" si="110"/>
        <v>1.72263506645208</v>
      </c>
      <c r="AQ186" s="746">
        <f t="shared" si="110"/>
        <v>0.86131753322603999</v>
      </c>
      <c r="AR186" s="746">
        <f t="shared" si="110"/>
        <v>1.3781080531616641</v>
      </c>
      <c r="AS186" s="746">
        <f t="shared" si="110"/>
        <v>1.72263506645208</v>
      </c>
      <c r="AT186" s="746">
        <f t="shared" si="110"/>
        <v>1.72263506645208</v>
      </c>
      <c r="AU186" s="746">
        <f t="shared" si="110"/>
        <v>1.72263506645208</v>
      </c>
      <c r="AV186" s="746">
        <f t="shared" si="110"/>
        <v>1.8948985730972883</v>
      </c>
      <c r="AW186" s="746">
        <f t="shared" si="110"/>
        <v>1.8948985730972883</v>
      </c>
      <c r="AX186" s="746">
        <f t="shared" si="110"/>
        <v>1.72263506645208</v>
      </c>
      <c r="AY186" s="746">
        <f t="shared" si="110"/>
        <v>0.86131753322603999</v>
      </c>
      <c r="AZ186" s="733">
        <f t="shared" si="78"/>
        <v>0</v>
      </c>
      <c r="BA186" s="636">
        <f t="shared" si="79"/>
        <v>3.44527013290416</v>
      </c>
      <c r="BB186" s="636">
        <f t="shared" si="80"/>
        <v>3.9620606528397841</v>
      </c>
      <c r="BC186" s="636">
        <f t="shared" si="81"/>
        <v>5.3401687060014478</v>
      </c>
      <c r="BD186" s="636">
        <f t="shared" si="82"/>
        <v>4.4788511727754079</v>
      </c>
      <c r="BE186" s="735">
        <f t="shared" si="83"/>
        <v>17.226350664520801</v>
      </c>
      <c r="BF186" s="806"/>
      <c r="BG186" s="806"/>
      <c r="BH186" s="806"/>
      <c r="BI186" s="806"/>
      <c r="BJ186" s="680"/>
      <c r="BK186" s="680"/>
      <c r="BL186" s="680"/>
      <c r="BM186" s="680"/>
      <c r="BN186" s="680"/>
    </row>
    <row r="187" spans="1:66" ht="22.5">
      <c r="A187" s="802" t="s">
        <v>511</v>
      </c>
      <c r="B187" s="803"/>
      <c r="C187" s="825" t="s">
        <v>313</v>
      </c>
      <c r="D187" s="826" t="s">
        <v>73</v>
      </c>
      <c r="E187" s="822" t="str">
        <f t="shared" ref="E187:E210" si="114">A187</f>
        <v>Dettol Antiseptic Liq 110 ML</v>
      </c>
      <c r="F187" s="823"/>
      <c r="G187" s="823"/>
      <c r="H187" s="823"/>
      <c r="I187" s="740"/>
      <c r="J187" s="739"/>
      <c r="K187" s="686"/>
      <c r="L187" s="739">
        <f t="shared" si="113"/>
        <v>0</v>
      </c>
      <c r="M187" s="740"/>
      <c r="N187" s="739">
        <v>0</v>
      </c>
      <c r="O187" s="740"/>
      <c r="P187" s="739"/>
      <c r="Q187" s="741"/>
      <c r="R187" s="742">
        <f t="shared" si="86"/>
        <v>0</v>
      </c>
      <c r="S187" s="742"/>
      <c r="T187" s="742"/>
      <c r="U187" s="743"/>
      <c r="V187" s="743"/>
      <c r="W187" s="743"/>
      <c r="X187" s="743"/>
      <c r="Y187" s="743"/>
      <c r="Z187" s="743"/>
      <c r="AA187" s="743"/>
      <c r="AB187" s="743"/>
      <c r="AC187" s="743"/>
      <c r="AD187" s="744"/>
      <c r="AE187" s="744"/>
      <c r="AF187" s="745"/>
      <c r="AG187" s="733">
        <f t="shared" si="71"/>
        <v>0</v>
      </c>
      <c r="AH187" s="208">
        <f t="shared" si="72"/>
        <v>0</v>
      </c>
      <c r="AI187" s="208">
        <f t="shared" si="73"/>
        <v>0</v>
      </c>
      <c r="AJ187" s="208">
        <f t="shared" si="74"/>
        <v>0</v>
      </c>
      <c r="AK187" s="208">
        <f t="shared" si="75"/>
        <v>0</v>
      </c>
      <c r="AL187" s="208">
        <f t="shared" si="76"/>
        <v>0</v>
      </c>
      <c r="AM187" s="805"/>
      <c r="AN187" s="746">
        <f t="shared" si="110"/>
        <v>0</v>
      </c>
      <c r="AO187" s="746">
        <f t="shared" si="110"/>
        <v>0</v>
      </c>
      <c r="AP187" s="746">
        <f t="shared" si="110"/>
        <v>0</v>
      </c>
      <c r="AQ187" s="746">
        <f t="shared" si="110"/>
        <v>0</v>
      </c>
      <c r="AR187" s="746">
        <f t="shared" si="110"/>
        <v>0</v>
      </c>
      <c r="AS187" s="746">
        <f t="shared" si="110"/>
        <v>0</v>
      </c>
      <c r="AT187" s="746">
        <f t="shared" si="110"/>
        <v>0</v>
      </c>
      <c r="AU187" s="746">
        <f t="shared" si="110"/>
        <v>0</v>
      </c>
      <c r="AV187" s="746">
        <f t="shared" si="110"/>
        <v>0</v>
      </c>
      <c r="AW187" s="746">
        <f t="shared" si="110"/>
        <v>0</v>
      </c>
      <c r="AX187" s="746">
        <f t="shared" si="110"/>
        <v>0</v>
      </c>
      <c r="AY187" s="746">
        <f t="shared" si="110"/>
        <v>0</v>
      </c>
      <c r="AZ187" s="733">
        <f t="shared" si="78"/>
        <v>0</v>
      </c>
      <c r="BA187" s="636">
        <f t="shared" si="79"/>
        <v>0</v>
      </c>
      <c r="BB187" s="636">
        <f t="shared" si="80"/>
        <v>0</v>
      </c>
      <c r="BC187" s="636">
        <f t="shared" si="81"/>
        <v>0</v>
      </c>
      <c r="BD187" s="636">
        <f t="shared" si="82"/>
        <v>0</v>
      </c>
      <c r="BE187" s="735">
        <f t="shared" si="83"/>
        <v>0</v>
      </c>
      <c r="BF187" s="806"/>
      <c r="BG187" s="806"/>
      <c r="BH187" s="806"/>
      <c r="BI187" s="806"/>
      <c r="BJ187" s="680"/>
      <c r="BK187" s="680"/>
      <c r="BL187" s="680"/>
      <c r="BM187" s="680"/>
      <c r="BN187" s="680"/>
    </row>
    <row r="188" spans="1:66" ht="22.5">
      <c r="A188" s="802" t="s">
        <v>512</v>
      </c>
      <c r="B188" s="803"/>
      <c r="C188" s="825" t="s">
        <v>313</v>
      </c>
      <c r="D188" s="826" t="s">
        <v>73</v>
      </c>
      <c r="E188" s="822" t="str">
        <f t="shared" si="114"/>
        <v>Dettol Antiseptic Liq 200 ML</v>
      </c>
      <c r="F188" s="823"/>
      <c r="G188" s="823"/>
      <c r="H188" s="823"/>
      <c r="I188" s="740"/>
      <c r="J188" s="739"/>
      <c r="K188" s="686"/>
      <c r="L188" s="739">
        <f t="shared" si="113"/>
        <v>0</v>
      </c>
      <c r="M188" s="740"/>
      <c r="N188" s="739">
        <f>18</f>
        <v>18</v>
      </c>
      <c r="O188" s="740"/>
      <c r="P188" s="739">
        <v>2335717.9054788649</v>
      </c>
      <c r="Q188" s="741"/>
      <c r="R188" s="742">
        <f t="shared" si="86"/>
        <v>4.2042922298619567</v>
      </c>
      <c r="S188" s="742"/>
      <c r="T188" s="742"/>
      <c r="U188" s="827">
        <f>$N188*5%</f>
        <v>0.9</v>
      </c>
      <c r="V188" s="827">
        <f>$N188*5%</f>
        <v>0.9</v>
      </c>
      <c r="W188" s="827">
        <f>$N188*10%</f>
        <v>1.8</v>
      </c>
      <c r="X188" s="827">
        <f>$N188*5%</f>
        <v>0.9</v>
      </c>
      <c r="Y188" s="827">
        <f>$N188*8%</f>
        <v>1.44</v>
      </c>
      <c r="Z188" s="827">
        <f>$N188*10%</f>
        <v>1.8</v>
      </c>
      <c r="AA188" s="827">
        <f>$N188*10%</f>
        <v>1.8</v>
      </c>
      <c r="AB188" s="827">
        <f>$N188*10%</f>
        <v>1.8</v>
      </c>
      <c r="AC188" s="827">
        <f>$N188*11%</f>
        <v>1.98</v>
      </c>
      <c r="AD188" s="827">
        <f>$N188*11%</f>
        <v>1.98</v>
      </c>
      <c r="AE188" s="827">
        <f>$N188*10%</f>
        <v>1.8</v>
      </c>
      <c r="AF188" s="827">
        <f>$N188*5%</f>
        <v>0.9</v>
      </c>
      <c r="AG188" s="733">
        <f t="shared" si="71"/>
        <v>0</v>
      </c>
      <c r="AH188" s="208">
        <f t="shared" si="72"/>
        <v>3.6</v>
      </c>
      <c r="AI188" s="208">
        <f t="shared" si="73"/>
        <v>4.1399999999999997</v>
      </c>
      <c r="AJ188" s="208">
        <f t="shared" si="74"/>
        <v>5.58</v>
      </c>
      <c r="AK188" s="208">
        <f t="shared" si="75"/>
        <v>4.6800000000000006</v>
      </c>
      <c r="AL188" s="208">
        <f t="shared" si="76"/>
        <v>18</v>
      </c>
      <c r="AM188" s="805"/>
      <c r="AN188" s="746">
        <f t="shared" si="110"/>
        <v>0.21021461149309786</v>
      </c>
      <c r="AO188" s="746">
        <f t="shared" si="110"/>
        <v>0.21021461149309786</v>
      </c>
      <c r="AP188" s="746">
        <f t="shared" si="110"/>
        <v>0.42042922298619573</v>
      </c>
      <c r="AQ188" s="746">
        <f t="shared" si="110"/>
        <v>0.21021461149309786</v>
      </c>
      <c r="AR188" s="746">
        <f t="shared" si="110"/>
        <v>0.3363433783889565</v>
      </c>
      <c r="AS188" s="746">
        <f t="shared" si="110"/>
        <v>0.42042922298619573</v>
      </c>
      <c r="AT188" s="746">
        <f t="shared" si="110"/>
        <v>0.42042922298619573</v>
      </c>
      <c r="AU188" s="746">
        <f t="shared" si="110"/>
        <v>0.42042922298619573</v>
      </c>
      <c r="AV188" s="746">
        <f t="shared" si="110"/>
        <v>0.46247214528481523</v>
      </c>
      <c r="AW188" s="746">
        <f t="shared" si="110"/>
        <v>0.46247214528481523</v>
      </c>
      <c r="AX188" s="746">
        <f t="shared" si="110"/>
        <v>0.42042922298619573</v>
      </c>
      <c r="AY188" s="746">
        <f t="shared" si="110"/>
        <v>0.21021461149309786</v>
      </c>
      <c r="AZ188" s="733">
        <f t="shared" si="78"/>
        <v>0</v>
      </c>
      <c r="BA188" s="636">
        <f t="shared" si="79"/>
        <v>0.84085844597239146</v>
      </c>
      <c r="BB188" s="636">
        <f t="shared" si="80"/>
        <v>0.96698721286825018</v>
      </c>
      <c r="BC188" s="636">
        <f t="shared" si="81"/>
        <v>1.3033305912572066</v>
      </c>
      <c r="BD188" s="636">
        <f t="shared" si="82"/>
        <v>1.0931159797641088</v>
      </c>
      <c r="BE188" s="735">
        <f t="shared" si="83"/>
        <v>4.2042922298619567</v>
      </c>
      <c r="BF188" s="806"/>
      <c r="BG188" s="806"/>
      <c r="BH188" s="806"/>
      <c r="BI188" s="806"/>
      <c r="BJ188" s="680"/>
      <c r="BK188" s="680"/>
      <c r="BL188" s="680"/>
      <c r="BM188" s="680"/>
      <c r="BN188" s="680"/>
    </row>
    <row r="189" spans="1:66" ht="33.75">
      <c r="A189" s="802" t="s">
        <v>513</v>
      </c>
      <c r="B189" s="803"/>
      <c r="C189" s="825" t="s">
        <v>313</v>
      </c>
      <c r="D189" s="826" t="s">
        <v>73</v>
      </c>
      <c r="E189" s="822" t="str">
        <f t="shared" si="114"/>
        <v>DETTOL ANTISEPTIC LIQUID 5 LTR</v>
      </c>
      <c r="F189" s="823"/>
      <c r="G189" s="823"/>
      <c r="H189" s="823"/>
      <c r="I189" s="740"/>
      <c r="J189" s="739"/>
      <c r="K189" s="686"/>
      <c r="L189" s="739">
        <f t="shared" si="113"/>
        <v>0</v>
      </c>
      <c r="M189" s="740"/>
      <c r="N189" s="739">
        <v>0</v>
      </c>
      <c r="O189" s="740"/>
      <c r="P189" s="739"/>
      <c r="Q189" s="741"/>
      <c r="R189" s="742">
        <f t="shared" si="86"/>
        <v>0</v>
      </c>
      <c r="S189" s="742"/>
      <c r="T189" s="742"/>
      <c r="U189" s="743"/>
      <c r="V189" s="743"/>
      <c r="W189" s="743"/>
      <c r="X189" s="743"/>
      <c r="Y189" s="743"/>
      <c r="Z189" s="743"/>
      <c r="AA189" s="743"/>
      <c r="AB189" s="743"/>
      <c r="AC189" s="743"/>
      <c r="AD189" s="744"/>
      <c r="AE189" s="744"/>
      <c r="AF189" s="745"/>
      <c r="AG189" s="733">
        <f t="shared" si="71"/>
        <v>0</v>
      </c>
      <c r="AH189" s="208">
        <f t="shared" si="72"/>
        <v>0</v>
      </c>
      <c r="AI189" s="208">
        <f t="shared" si="73"/>
        <v>0</v>
      </c>
      <c r="AJ189" s="208">
        <f t="shared" si="74"/>
        <v>0</v>
      </c>
      <c r="AK189" s="208">
        <f t="shared" si="75"/>
        <v>0</v>
      </c>
      <c r="AL189" s="208">
        <f t="shared" si="76"/>
        <v>0</v>
      </c>
      <c r="AM189" s="805"/>
      <c r="AN189" s="746">
        <f t="shared" si="110"/>
        <v>0</v>
      </c>
      <c r="AO189" s="746">
        <f t="shared" si="110"/>
        <v>0</v>
      </c>
      <c r="AP189" s="746">
        <f t="shared" si="110"/>
        <v>0</v>
      </c>
      <c r="AQ189" s="746">
        <f t="shared" si="110"/>
        <v>0</v>
      </c>
      <c r="AR189" s="746">
        <f t="shared" si="110"/>
        <v>0</v>
      </c>
      <c r="AS189" s="746">
        <f t="shared" si="110"/>
        <v>0</v>
      </c>
      <c r="AT189" s="746">
        <f t="shared" si="110"/>
        <v>0</v>
      </c>
      <c r="AU189" s="746">
        <f t="shared" si="110"/>
        <v>0</v>
      </c>
      <c r="AV189" s="746">
        <f t="shared" si="110"/>
        <v>0</v>
      </c>
      <c r="AW189" s="746">
        <f t="shared" si="110"/>
        <v>0</v>
      </c>
      <c r="AX189" s="746">
        <f t="shared" si="110"/>
        <v>0</v>
      </c>
      <c r="AY189" s="746">
        <f t="shared" si="110"/>
        <v>0</v>
      </c>
      <c r="AZ189" s="733">
        <f t="shared" si="78"/>
        <v>0</v>
      </c>
      <c r="BA189" s="636">
        <f t="shared" si="79"/>
        <v>0</v>
      </c>
      <c r="BB189" s="636">
        <f t="shared" si="80"/>
        <v>0</v>
      </c>
      <c r="BC189" s="636">
        <f t="shared" si="81"/>
        <v>0</v>
      </c>
      <c r="BD189" s="636">
        <f t="shared" si="82"/>
        <v>0</v>
      </c>
      <c r="BE189" s="735">
        <f t="shared" si="83"/>
        <v>0</v>
      </c>
      <c r="BF189" s="806"/>
      <c r="BG189" s="806"/>
      <c r="BH189" s="806"/>
      <c r="BI189" s="806"/>
      <c r="BJ189" s="680"/>
      <c r="BK189" s="680"/>
      <c r="BL189" s="680"/>
      <c r="BM189" s="680"/>
      <c r="BN189" s="680"/>
    </row>
    <row r="190" spans="1:66" ht="33.75">
      <c r="A190" s="802" t="s">
        <v>514</v>
      </c>
      <c r="B190" s="803"/>
      <c r="C190" s="825" t="s">
        <v>313</v>
      </c>
      <c r="D190" s="826" t="s">
        <v>73</v>
      </c>
      <c r="E190" s="822" t="str">
        <f t="shared" si="114"/>
        <v>Dettol Handsanitzer Liq 50 ML</v>
      </c>
      <c r="F190" s="823"/>
      <c r="G190" s="823"/>
      <c r="H190" s="823"/>
      <c r="I190" s="740"/>
      <c r="J190" s="739"/>
      <c r="K190" s="686"/>
      <c r="L190" s="739">
        <f t="shared" si="113"/>
        <v>0</v>
      </c>
      <c r="M190" s="740"/>
      <c r="N190" s="828">
        <f>46+25.8</f>
        <v>71.8</v>
      </c>
      <c r="O190" s="740"/>
      <c r="P190" s="739">
        <v>1221623.5705311901</v>
      </c>
      <c r="Q190" s="741"/>
      <c r="R190" s="742">
        <f t="shared" si="86"/>
        <v>8.7712572364139447</v>
      </c>
      <c r="S190" s="742"/>
      <c r="T190" s="742"/>
      <c r="U190" s="827">
        <f>N190/12</f>
        <v>5.9833333333333334</v>
      </c>
      <c r="V190" s="827">
        <f>U190</f>
        <v>5.9833333333333334</v>
      </c>
      <c r="W190" s="827">
        <f t="shared" ref="W190:AF190" si="115">V190</f>
        <v>5.9833333333333334</v>
      </c>
      <c r="X190" s="827">
        <f t="shared" si="115"/>
        <v>5.9833333333333334</v>
      </c>
      <c r="Y190" s="827">
        <f t="shared" si="115"/>
        <v>5.9833333333333334</v>
      </c>
      <c r="Z190" s="827">
        <f t="shared" si="115"/>
        <v>5.9833333333333334</v>
      </c>
      <c r="AA190" s="827">
        <f t="shared" si="115"/>
        <v>5.9833333333333334</v>
      </c>
      <c r="AB190" s="827">
        <f t="shared" si="115"/>
        <v>5.9833333333333334</v>
      </c>
      <c r="AC190" s="827">
        <f t="shared" si="115"/>
        <v>5.9833333333333334</v>
      </c>
      <c r="AD190" s="827">
        <f t="shared" si="115"/>
        <v>5.9833333333333334</v>
      </c>
      <c r="AE190" s="827">
        <f t="shared" si="115"/>
        <v>5.9833333333333334</v>
      </c>
      <c r="AF190" s="827">
        <f t="shared" si="115"/>
        <v>5.9833333333333334</v>
      </c>
      <c r="AG190" s="733">
        <f t="shared" si="71"/>
        <v>0</v>
      </c>
      <c r="AH190" s="208">
        <f t="shared" si="72"/>
        <v>17.95</v>
      </c>
      <c r="AI190" s="208">
        <f t="shared" si="73"/>
        <v>17.95</v>
      </c>
      <c r="AJ190" s="208">
        <f t="shared" si="74"/>
        <v>17.95</v>
      </c>
      <c r="AK190" s="208">
        <f t="shared" si="75"/>
        <v>17.95</v>
      </c>
      <c r="AL190" s="208">
        <f t="shared" si="76"/>
        <v>71.8</v>
      </c>
      <c r="AM190" s="805"/>
      <c r="AN190" s="746">
        <f t="shared" si="110"/>
        <v>0.73093810303449547</v>
      </c>
      <c r="AO190" s="746">
        <f t="shared" si="110"/>
        <v>0.73093810303449547</v>
      </c>
      <c r="AP190" s="746">
        <f t="shared" si="110"/>
        <v>0.73093810303449547</v>
      </c>
      <c r="AQ190" s="746">
        <f t="shared" si="110"/>
        <v>0.73093810303449547</v>
      </c>
      <c r="AR190" s="746">
        <f t="shared" si="110"/>
        <v>0.73093810303449547</v>
      </c>
      <c r="AS190" s="746">
        <f t="shared" si="110"/>
        <v>0.73093810303449547</v>
      </c>
      <c r="AT190" s="746">
        <f t="shared" si="110"/>
        <v>0.73093810303449547</v>
      </c>
      <c r="AU190" s="746">
        <f t="shared" si="110"/>
        <v>0.73093810303449547</v>
      </c>
      <c r="AV190" s="746">
        <f t="shared" si="110"/>
        <v>0.73093810303449547</v>
      </c>
      <c r="AW190" s="746">
        <f t="shared" si="110"/>
        <v>0.73093810303449547</v>
      </c>
      <c r="AX190" s="746">
        <f t="shared" si="110"/>
        <v>0.73093810303449547</v>
      </c>
      <c r="AY190" s="746">
        <f t="shared" si="110"/>
        <v>0.73093810303449547</v>
      </c>
      <c r="AZ190" s="733">
        <f t="shared" si="78"/>
        <v>0</v>
      </c>
      <c r="BA190" s="636">
        <f t="shared" si="79"/>
        <v>2.1928143091034862</v>
      </c>
      <c r="BB190" s="636">
        <f t="shared" si="80"/>
        <v>2.1928143091034862</v>
      </c>
      <c r="BC190" s="636">
        <f t="shared" si="81"/>
        <v>2.1928143091034862</v>
      </c>
      <c r="BD190" s="636">
        <f t="shared" si="82"/>
        <v>2.1928143091034862</v>
      </c>
      <c r="BE190" s="735">
        <f t="shared" si="83"/>
        <v>8.7712572364139447</v>
      </c>
      <c r="BF190" s="806"/>
      <c r="BG190" s="806"/>
      <c r="BH190" s="806"/>
      <c r="BI190" s="806"/>
      <c r="BJ190" s="680"/>
      <c r="BK190" s="680"/>
      <c r="BL190" s="680"/>
      <c r="BM190" s="680"/>
      <c r="BN190" s="680"/>
    </row>
    <row r="191" spans="1:66" ht="21.75" customHeight="1">
      <c r="A191" s="802" t="s">
        <v>515</v>
      </c>
      <c r="B191" s="803"/>
      <c r="C191" s="825" t="s">
        <v>313</v>
      </c>
      <c r="D191" s="826" t="s">
        <v>73</v>
      </c>
      <c r="E191" s="822" t="str">
        <f t="shared" si="114"/>
        <v>Dettol Handsanitizer Liq 200 ML</v>
      </c>
      <c r="F191" s="823"/>
      <c r="G191" s="823"/>
      <c r="H191" s="823"/>
      <c r="I191" s="740"/>
      <c r="J191" s="739"/>
      <c r="K191" s="686"/>
      <c r="L191" s="739">
        <f t="shared" si="113"/>
        <v>0</v>
      </c>
      <c r="M191" s="740"/>
      <c r="N191" s="739">
        <v>4</v>
      </c>
      <c r="O191" s="740"/>
      <c r="P191" s="739">
        <v>3719381.9643255631</v>
      </c>
      <c r="Q191" s="741"/>
      <c r="R191" s="742">
        <f t="shared" si="86"/>
        <v>1.4877527857302253</v>
      </c>
      <c r="S191" s="742"/>
      <c r="T191" s="742"/>
      <c r="U191" s="827">
        <f>$N191*5%</f>
        <v>0.2</v>
      </c>
      <c r="V191" s="827">
        <f>$N191*5%</f>
        <v>0.2</v>
      </c>
      <c r="W191" s="827">
        <f>$N191*10%</f>
        <v>0.4</v>
      </c>
      <c r="X191" s="827">
        <f>$N191*5%</f>
        <v>0.2</v>
      </c>
      <c r="Y191" s="827">
        <f>$N191*8%</f>
        <v>0.32</v>
      </c>
      <c r="Z191" s="827">
        <f>$N191*10%</f>
        <v>0.4</v>
      </c>
      <c r="AA191" s="827">
        <f>$N191*10%</f>
        <v>0.4</v>
      </c>
      <c r="AB191" s="827">
        <f>$N191*10%</f>
        <v>0.4</v>
      </c>
      <c r="AC191" s="827">
        <f>$N191*11%</f>
        <v>0.44</v>
      </c>
      <c r="AD191" s="827">
        <f>$N191*11%</f>
        <v>0.44</v>
      </c>
      <c r="AE191" s="827">
        <f>$N191*10%</f>
        <v>0.4</v>
      </c>
      <c r="AF191" s="827">
        <f>$N191*5%</f>
        <v>0.2</v>
      </c>
      <c r="AG191" s="733">
        <f t="shared" si="71"/>
        <v>0</v>
      </c>
      <c r="AH191" s="208">
        <f t="shared" si="72"/>
        <v>0.8</v>
      </c>
      <c r="AI191" s="208">
        <f t="shared" si="73"/>
        <v>0.92</v>
      </c>
      <c r="AJ191" s="208">
        <f t="shared" si="74"/>
        <v>1.24</v>
      </c>
      <c r="AK191" s="208">
        <f t="shared" si="75"/>
        <v>1.04</v>
      </c>
      <c r="AL191" s="208">
        <f t="shared" si="76"/>
        <v>4</v>
      </c>
      <c r="AM191" s="805"/>
      <c r="AN191" s="746">
        <f t="shared" si="110"/>
        <v>7.4387639286511265E-2</v>
      </c>
      <c r="AO191" s="746">
        <f t="shared" si="110"/>
        <v>7.4387639286511265E-2</v>
      </c>
      <c r="AP191" s="746">
        <f t="shared" si="110"/>
        <v>0.14877527857302253</v>
      </c>
      <c r="AQ191" s="746">
        <f t="shared" si="110"/>
        <v>7.4387639286511265E-2</v>
      </c>
      <c r="AR191" s="746">
        <f t="shared" si="110"/>
        <v>0.11902022285841801</v>
      </c>
      <c r="AS191" s="746">
        <f t="shared" si="110"/>
        <v>0.14877527857302253</v>
      </c>
      <c r="AT191" s="746">
        <f t="shared" si="110"/>
        <v>0.14877527857302253</v>
      </c>
      <c r="AU191" s="746">
        <f t="shared" si="110"/>
        <v>0.14877527857302253</v>
      </c>
      <c r="AV191" s="746">
        <f t="shared" si="110"/>
        <v>0.16365280643032476</v>
      </c>
      <c r="AW191" s="746">
        <f t="shared" si="110"/>
        <v>0.16365280643032476</v>
      </c>
      <c r="AX191" s="746">
        <f t="shared" si="110"/>
        <v>0.14877527857302253</v>
      </c>
      <c r="AY191" s="746">
        <f t="shared" si="110"/>
        <v>7.4387639286511265E-2</v>
      </c>
      <c r="AZ191" s="733">
        <f t="shared" si="78"/>
        <v>0</v>
      </c>
      <c r="BA191" s="636">
        <f t="shared" si="79"/>
        <v>0.29755055714604506</v>
      </c>
      <c r="BB191" s="636">
        <f t="shared" si="80"/>
        <v>0.34218314071795181</v>
      </c>
      <c r="BC191" s="636">
        <f t="shared" si="81"/>
        <v>0.46120336357636982</v>
      </c>
      <c r="BD191" s="636">
        <f t="shared" si="82"/>
        <v>0.38681572428985855</v>
      </c>
      <c r="BE191" s="735">
        <f t="shared" si="83"/>
        <v>1.4877527857302253</v>
      </c>
      <c r="BF191" s="806"/>
      <c r="BG191" s="806"/>
      <c r="BH191" s="806"/>
      <c r="BI191" s="806"/>
      <c r="BJ191" s="680"/>
      <c r="BK191" s="680"/>
      <c r="BL191" s="680"/>
      <c r="BM191" s="680"/>
      <c r="BN191" s="680"/>
    </row>
    <row r="192" spans="1:66" ht="12.75">
      <c r="A192" s="802"/>
      <c r="B192" s="803"/>
      <c r="C192" s="825"/>
      <c r="D192" s="826"/>
      <c r="E192" s="822"/>
      <c r="F192" s="823"/>
      <c r="G192" s="823"/>
      <c r="H192" s="823"/>
      <c r="I192" s="740"/>
      <c r="J192" s="739">
        <v>212</v>
      </c>
      <c r="K192" s="755">
        <f>290-J192</f>
        <v>78</v>
      </c>
      <c r="L192" s="739">
        <f>J192+K192</f>
        <v>290</v>
      </c>
      <c r="M192" s="740"/>
      <c r="N192" s="739"/>
      <c r="O192" s="740"/>
      <c r="P192" s="739"/>
      <c r="Q192" s="741"/>
      <c r="R192" s="742">
        <f t="shared" si="86"/>
        <v>0</v>
      </c>
      <c r="S192" s="742"/>
      <c r="T192" s="742"/>
      <c r="U192" s="743"/>
      <c r="V192" s="743"/>
      <c r="W192" s="743"/>
      <c r="X192" s="743"/>
      <c r="Y192" s="743"/>
      <c r="Z192" s="743"/>
      <c r="AA192" s="743"/>
      <c r="AB192" s="743"/>
      <c r="AC192" s="743"/>
      <c r="AD192" s="744"/>
      <c r="AE192" s="744"/>
      <c r="AF192" s="745"/>
      <c r="AG192" s="733">
        <f t="shared" si="71"/>
        <v>0</v>
      </c>
      <c r="AH192" s="208">
        <f t="shared" si="72"/>
        <v>0</v>
      </c>
      <c r="AI192" s="208">
        <f t="shared" si="73"/>
        <v>0</v>
      </c>
      <c r="AJ192" s="208">
        <f t="shared" si="74"/>
        <v>0</v>
      </c>
      <c r="AK192" s="208">
        <f t="shared" si="75"/>
        <v>0</v>
      </c>
      <c r="AL192" s="208">
        <f t="shared" si="76"/>
        <v>0</v>
      </c>
      <c r="AM192" s="805"/>
      <c r="AN192" s="746">
        <f t="shared" si="110"/>
        <v>0</v>
      </c>
      <c r="AO192" s="746">
        <f t="shared" si="110"/>
        <v>0</v>
      </c>
      <c r="AP192" s="746">
        <f t="shared" si="110"/>
        <v>0</v>
      </c>
      <c r="AQ192" s="746">
        <f t="shared" si="110"/>
        <v>0</v>
      </c>
      <c r="AR192" s="746">
        <f t="shared" si="110"/>
        <v>0</v>
      </c>
      <c r="AS192" s="746">
        <f t="shared" si="110"/>
        <v>0</v>
      </c>
      <c r="AT192" s="746">
        <f t="shared" si="110"/>
        <v>0</v>
      </c>
      <c r="AU192" s="746">
        <f t="shared" si="110"/>
        <v>0</v>
      </c>
      <c r="AV192" s="746">
        <f t="shared" si="110"/>
        <v>0</v>
      </c>
      <c r="AW192" s="746">
        <f t="shared" si="110"/>
        <v>0</v>
      </c>
      <c r="AX192" s="746">
        <f t="shared" si="110"/>
        <v>0</v>
      </c>
      <c r="AY192" s="746">
        <f t="shared" si="110"/>
        <v>0</v>
      </c>
      <c r="AZ192" s="733">
        <f t="shared" si="78"/>
        <v>0</v>
      </c>
      <c r="BA192" s="636">
        <f t="shared" si="79"/>
        <v>0</v>
      </c>
      <c r="BB192" s="636">
        <f t="shared" si="80"/>
        <v>0</v>
      </c>
      <c r="BC192" s="636">
        <f t="shared" si="81"/>
        <v>0</v>
      </c>
      <c r="BD192" s="636">
        <f t="shared" si="82"/>
        <v>0</v>
      </c>
      <c r="BE192" s="735">
        <f t="shared" si="83"/>
        <v>0</v>
      </c>
      <c r="BF192" s="806"/>
      <c r="BG192" s="806"/>
      <c r="BH192" s="806"/>
      <c r="BI192" s="806"/>
      <c r="BJ192" s="680"/>
      <c r="BK192" s="680"/>
      <c r="BL192" s="680"/>
      <c r="BM192" s="680"/>
      <c r="BN192" s="680"/>
    </row>
    <row r="193" spans="1:66" s="831" customFormat="1" ht="12.75">
      <c r="A193" s="802"/>
      <c r="B193" s="803"/>
      <c r="C193" s="825"/>
      <c r="D193" s="826"/>
      <c r="E193" s="829"/>
      <c r="F193" s="823"/>
      <c r="G193" s="823"/>
      <c r="H193" s="823"/>
      <c r="I193" s="740"/>
      <c r="J193" s="739"/>
      <c r="K193" s="686"/>
      <c r="L193" s="739"/>
      <c r="M193" s="740"/>
      <c r="N193" s="739"/>
      <c r="O193" s="740"/>
      <c r="P193" s="739"/>
      <c r="Q193" s="741"/>
      <c r="R193" s="742">
        <f t="shared" si="86"/>
        <v>0</v>
      </c>
      <c r="S193" s="742"/>
      <c r="T193" s="742"/>
      <c r="U193" s="743"/>
      <c r="V193" s="743"/>
      <c r="W193" s="743"/>
      <c r="X193" s="743"/>
      <c r="Y193" s="743"/>
      <c r="Z193" s="743"/>
      <c r="AA193" s="743"/>
      <c r="AB193" s="743"/>
      <c r="AC193" s="743"/>
      <c r="AD193" s="744"/>
      <c r="AE193" s="744"/>
      <c r="AF193" s="745"/>
      <c r="AG193" s="733">
        <f t="shared" si="71"/>
        <v>0</v>
      </c>
      <c r="AH193" s="208">
        <f t="shared" si="72"/>
        <v>0</v>
      </c>
      <c r="AI193" s="208">
        <f t="shared" si="73"/>
        <v>0</v>
      </c>
      <c r="AJ193" s="208">
        <f t="shared" si="74"/>
        <v>0</v>
      </c>
      <c r="AK193" s="208">
        <f t="shared" si="75"/>
        <v>0</v>
      </c>
      <c r="AL193" s="208">
        <f t="shared" si="76"/>
        <v>0</v>
      </c>
      <c r="AM193" s="805"/>
      <c r="AN193" s="746">
        <f t="shared" si="110"/>
        <v>0</v>
      </c>
      <c r="AO193" s="746">
        <f t="shared" si="110"/>
        <v>0</v>
      </c>
      <c r="AP193" s="746">
        <f t="shared" si="110"/>
        <v>0</v>
      </c>
      <c r="AQ193" s="746">
        <f t="shared" si="110"/>
        <v>0</v>
      </c>
      <c r="AR193" s="746">
        <f t="shared" si="110"/>
        <v>0</v>
      </c>
      <c r="AS193" s="746">
        <f t="shared" si="110"/>
        <v>0</v>
      </c>
      <c r="AT193" s="746">
        <f t="shared" si="110"/>
        <v>0</v>
      </c>
      <c r="AU193" s="746">
        <f t="shared" si="110"/>
        <v>0</v>
      </c>
      <c r="AV193" s="746">
        <f t="shared" si="110"/>
        <v>0</v>
      </c>
      <c r="AW193" s="746">
        <f t="shared" si="110"/>
        <v>0</v>
      </c>
      <c r="AX193" s="746">
        <f t="shared" si="110"/>
        <v>0</v>
      </c>
      <c r="AY193" s="746">
        <f t="shared" si="110"/>
        <v>0</v>
      </c>
      <c r="AZ193" s="733">
        <f t="shared" si="78"/>
        <v>0</v>
      </c>
      <c r="BA193" s="636">
        <f t="shared" si="79"/>
        <v>0</v>
      </c>
      <c r="BB193" s="636">
        <f t="shared" si="80"/>
        <v>0</v>
      </c>
      <c r="BC193" s="636">
        <f t="shared" si="81"/>
        <v>0</v>
      </c>
      <c r="BD193" s="636">
        <f t="shared" si="82"/>
        <v>0</v>
      </c>
      <c r="BE193" s="735">
        <f t="shared" si="83"/>
        <v>0</v>
      </c>
      <c r="BF193" s="830"/>
      <c r="BG193" s="830"/>
      <c r="BH193" s="830"/>
      <c r="BI193" s="830"/>
      <c r="BJ193" s="690"/>
      <c r="BK193" s="690"/>
      <c r="BL193" s="690"/>
      <c r="BM193" s="690"/>
      <c r="BN193" s="690"/>
    </row>
    <row r="194" spans="1:66" s="831" customFormat="1" ht="12.75">
      <c r="A194" s="802" t="s">
        <v>73</v>
      </c>
      <c r="B194" s="803" t="s">
        <v>73</v>
      </c>
      <c r="C194" s="825" t="s">
        <v>313</v>
      </c>
      <c r="D194" s="826" t="s">
        <v>73</v>
      </c>
      <c r="E194" s="829" t="str">
        <f t="shared" si="114"/>
        <v>RBI</v>
      </c>
      <c r="F194" s="823"/>
      <c r="G194" s="823"/>
      <c r="H194" s="823"/>
      <c r="I194" s="739">
        <f>SUM(I185:I193)</f>
        <v>-1</v>
      </c>
      <c r="J194" s="739">
        <f>SUM(J185:J193)</f>
        <v>212</v>
      </c>
      <c r="K194" s="739">
        <f>SUM(K185:K193)</f>
        <v>78</v>
      </c>
      <c r="L194" s="739">
        <f>SUM(L185:L193)</f>
        <v>290</v>
      </c>
      <c r="M194" s="740"/>
      <c r="N194" s="739">
        <f>SUM(N185:N193)</f>
        <v>313.8</v>
      </c>
      <c r="O194" s="740"/>
      <c r="P194" s="739"/>
      <c r="Q194" s="741"/>
      <c r="R194" s="742">
        <f>SUM(R185:R193)</f>
        <v>31.689652916526928</v>
      </c>
      <c r="S194" s="742"/>
      <c r="T194" s="742"/>
      <c r="U194" s="739">
        <f t="shared" ref="U194:AF194" si="116">SUM(U185:U193)</f>
        <v>18.083333333333332</v>
      </c>
      <c r="V194" s="739">
        <f t="shared" si="116"/>
        <v>18.083333333333332</v>
      </c>
      <c r="W194" s="739">
        <f t="shared" si="116"/>
        <v>30.183333333333334</v>
      </c>
      <c r="X194" s="739">
        <f t="shared" si="116"/>
        <v>18.083333333333332</v>
      </c>
      <c r="Y194" s="739">
        <f t="shared" si="116"/>
        <v>25.343333333333337</v>
      </c>
      <c r="Z194" s="739">
        <f t="shared" si="116"/>
        <v>30.183333333333334</v>
      </c>
      <c r="AA194" s="739">
        <f t="shared" si="116"/>
        <v>30.183333333333334</v>
      </c>
      <c r="AB194" s="739">
        <f t="shared" si="116"/>
        <v>30.183333333333334</v>
      </c>
      <c r="AC194" s="739">
        <f t="shared" si="116"/>
        <v>32.603333333333332</v>
      </c>
      <c r="AD194" s="739">
        <f t="shared" si="116"/>
        <v>32.603333333333332</v>
      </c>
      <c r="AE194" s="739">
        <f t="shared" si="116"/>
        <v>30.183333333333334</v>
      </c>
      <c r="AF194" s="739">
        <f t="shared" si="116"/>
        <v>18.083333333333332</v>
      </c>
      <c r="AG194" s="733">
        <f t="shared" si="71"/>
        <v>0</v>
      </c>
      <c r="AH194" s="208">
        <f t="shared" si="72"/>
        <v>66.349999999999994</v>
      </c>
      <c r="AI194" s="208">
        <f t="shared" si="73"/>
        <v>73.61</v>
      </c>
      <c r="AJ194" s="208">
        <f t="shared" si="74"/>
        <v>92.97</v>
      </c>
      <c r="AK194" s="208">
        <f t="shared" si="75"/>
        <v>80.86999999999999</v>
      </c>
      <c r="AL194" s="208">
        <f t="shared" si="76"/>
        <v>313.79999999999995</v>
      </c>
      <c r="AM194" s="805"/>
      <c r="AN194" s="781">
        <f t="shared" ref="AN194:AY194" si="117">SUM(AN185:AN193)</f>
        <v>1.8768578870401447</v>
      </c>
      <c r="AO194" s="781">
        <f t="shared" si="117"/>
        <v>1.8768578870401447</v>
      </c>
      <c r="AP194" s="781">
        <f t="shared" si="117"/>
        <v>3.0227776710457941</v>
      </c>
      <c r="AQ194" s="781">
        <f t="shared" si="117"/>
        <v>1.8768578870401447</v>
      </c>
      <c r="AR194" s="781">
        <f t="shared" si="117"/>
        <v>2.5644097574435341</v>
      </c>
      <c r="AS194" s="781">
        <f t="shared" si="117"/>
        <v>3.0227776710457941</v>
      </c>
      <c r="AT194" s="781">
        <f t="shared" si="117"/>
        <v>3.0227776710457941</v>
      </c>
      <c r="AU194" s="781">
        <f t="shared" si="117"/>
        <v>3.0227776710457941</v>
      </c>
      <c r="AV194" s="781">
        <f t="shared" si="117"/>
        <v>3.2519616278469239</v>
      </c>
      <c r="AW194" s="781">
        <f t="shared" si="117"/>
        <v>3.2519616278469239</v>
      </c>
      <c r="AX194" s="781">
        <f t="shared" si="117"/>
        <v>3.0227776710457941</v>
      </c>
      <c r="AY194" s="781">
        <f t="shared" si="117"/>
        <v>1.8768578870401447</v>
      </c>
      <c r="AZ194" s="733">
        <f t="shared" si="78"/>
        <v>0</v>
      </c>
      <c r="BA194" s="636">
        <f t="shared" si="79"/>
        <v>6.7764934451260839</v>
      </c>
      <c r="BB194" s="636">
        <f t="shared" si="80"/>
        <v>7.4640453155294733</v>
      </c>
      <c r="BC194" s="636">
        <f t="shared" si="81"/>
        <v>9.2975169699385116</v>
      </c>
      <c r="BD194" s="636">
        <f t="shared" si="82"/>
        <v>8.1515971859328626</v>
      </c>
      <c r="BE194" s="735">
        <f t="shared" si="83"/>
        <v>31.689652916526931</v>
      </c>
      <c r="BF194" s="830"/>
      <c r="BG194" s="830"/>
      <c r="BH194" s="830"/>
      <c r="BI194" s="830"/>
      <c r="BJ194" s="690"/>
      <c r="BK194" s="690"/>
      <c r="BL194" s="690"/>
      <c r="BM194" s="690"/>
      <c r="BN194" s="690"/>
    </row>
    <row r="195" spans="1:66" s="831" customFormat="1" ht="33.75">
      <c r="A195" s="802" t="s">
        <v>516</v>
      </c>
      <c r="B195" s="803"/>
      <c r="C195" s="825" t="s">
        <v>26</v>
      </c>
      <c r="D195" s="826" t="s">
        <v>26</v>
      </c>
      <c r="E195" s="829" t="str">
        <f t="shared" si="114"/>
        <v>C&amp;C FruitEss FaceWash(Apple)20 ml-Chain</v>
      </c>
      <c r="F195" s="823"/>
      <c r="G195" s="823"/>
      <c r="H195" s="823"/>
      <c r="I195" s="740"/>
      <c r="J195" s="739"/>
      <c r="K195" s="686"/>
      <c r="L195" s="739"/>
      <c r="M195" s="740"/>
      <c r="N195" s="739">
        <v>18</v>
      </c>
      <c r="O195" s="740"/>
      <c r="P195" s="739">
        <f>34.56*10^5/12</f>
        <v>288000</v>
      </c>
      <c r="Q195" s="741"/>
      <c r="R195" s="742">
        <f t="shared" si="86"/>
        <v>0.51839999999999997</v>
      </c>
      <c r="S195" s="742"/>
      <c r="T195" s="742"/>
      <c r="U195" s="827">
        <f>N195/12</f>
        <v>1.5</v>
      </c>
      <c r="V195" s="743">
        <f>U195</f>
        <v>1.5</v>
      </c>
      <c r="W195" s="743">
        <f>V195</f>
        <v>1.5</v>
      </c>
      <c r="X195" s="743">
        <f>W195</f>
        <v>1.5</v>
      </c>
      <c r="Y195" s="743">
        <f t="shared" ref="Y195:AF197" si="118">X195</f>
        <v>1.5</v>
      </c>
      <c r="Z195" s="743">
        <f t="shared" si="118"/>
        <v>1.5</v>
      </c>
      <c r="AA195" s="743">
        <f t="shared" si="118"/>
        <v>1.5</v>
      </c>
      <c r="AB195" s="743">
        <f t="shared" si="118"/>
        <v>1.5</v>
      </c>
      <c r="AC195" s="743">
        <f t="shared" si="118"/>
        <v>1.5</v>
      </c>
      <c r="AD195" s="743">
        <f t="shared" si="118"/>
        <v>1.5</v>
      </c>
      <c r="AE195" s="743">
        <f t="shared" si="118"/>
        <v>1.5</v>
      </c>
      <c r="AF195" s="743">
        <f t="shared" si="118"/>
        <v>1.5</v>
      </c>
      <c r="AG195" s="733">
        <f t="shared" si="71"/>
        <v>0</v>
      </c>
      <c r="AH195" s="208">
        <f t="shared" si="72"/>
        <v>4.5</v>
      </c>
      <c r="AI195" s="208">
        <f t="shared" si="73"/>
        <v>4.5</v>
      </c>
      <c r="AJ195" s="208">
        <f t="shared" si="74"/>
        <v>4.5</v>
      </c>
      <c r="AK195" s="208">
        <f t="shared" si="75"/>
        <v>4.5</v>
      </c>
      <c r="AL195" s="208">
        <f t="shared" si="76"/>
        <v>18</v>
      </c>
      <c r="AM195" s="805"/>
      <c r="AN195" s="746">
        <f t="shared" si="110"/>
        <v>4.3200000000000002E-2</v>
      </c>
      <c r="AO195" s="746">
        <f t="shared" si="110"/>
        <v>4.3200000000000002E-2</v>
      </c>
      <c r="AP195" s="746">
        <f t="shared" si="110"/>
        <v>4.3200000000000002E-2</v>
      </c>
      <c r="AQ195" s="746">
        <f t="shared" si="110"/>
        <v>4.3200000000000002E-2</v>
      </c>
      <c r="AR195" s="746">
        <f t="shared" si="110"/>
        <v>4.3200000000000002E-2</v>
      </c>
      <c r="AS195" s="746">
        <f t="shared" si="110"/>
        <v>4.3200000000000002E-2</v>
      </c>
      <c r="AT195" s="746">
        <f t="shared" si="110"/>
        <v>4.3200000000000002E-2</v>
      </c>
      <c r="AU195" s="746">
        <f t="shared" si="110"/>
        <v>4.3200000000000002E-2</v>
      </c>
      <c r="AV195" s="746">
        <f t="shared" si="110"/>
        <v>4.3200000000000002E-2</v>
      </c>
      <c r="AW195" s="746">
        <f t="shared" si="110"/>
        <v>4.3200000000000002E-2</v>
      </c>
      <c r="AX195" s="746">
        <f t="shared" si="110"/>
        <v>4.3200000000000002E-2</v>
      </c>
      <c r="AY195" s="746">
        <f t="shared" si="110"/>
        <v>4.3200000000000002E-2</v>
      </c>
      <c r="AZ195" s="733">
        <f t="shared" si="78"/>
        <v>0</v>
      </c>
      <c r="BA195" s="636">
        <f t="shared" si="79"/>
        <v>0.12959999999999999</v>
      </c>
      <c r="BB195" s="636">
        <f t="shared" si="80"/>
        <v>0.12959999999999999</v>
      </c>
      <c r="BC195" s="636">
        <f t="shared" si="81"/>
        <v>0.12959999999999999</v>
      </c>
      <c r="BD195" s="636">
        <f t="shared" si="82"/>
        <v>0.12959999999999999</v>
      </c>
      <c r="BE195" s="735">
        <f t="shared" si="83"/>
        <v>0.51839999999999997</v>
      </c>
      <c r="BF195" s="830"/>
      <c r="BG195" s="830"/>
      <c r="BH195" s="830"/>
      <c r="BI195" s="830"/>
      <c r="BJ195" s="690"/>
      <c r="BK195" s="690"/>
      <c r="BL195" s="690"/>
      <c r="BM195" s="690"/>
      <c r="BN195" s="690"/>
    </row>
    <row r="196" spans="1:66" s="831" customFormat="1" ht="33.75">
      <c r="A196" s="802" t="s">
        <v>517</v>
      </c>
      <c r="B196" s="803"/>
      <c r="C196" s="825" t="s">
        <v>26</v>
      </c>
      <c r="D196" s="826" t="s">
        <v>26</v>
      </c>
      <c r="E196" s="829" t="str">
        <f t="shared" si="114"/>
        <v>C&amp;C FruitEss FaceWash(Lemon)20 ml-Chain</v>
      </c>
      <c r="F196" s="823"/>
      <c r="G196" s="823"/>
      <c r="H196" s="823"/>
      <c r="I196" s="740"/>
      <c r="J196" s="739"/>
      <c r="K196" s="686"/>
      <c r="L196" s="739"/>
      <c r="M196" s="740"/>
      <c r="N196" s="739">
        <v>18</v>
      </c>
      <c r="O196" s="740"/>
      <c r="P196" s="739">
        <f>34.56*10^5/12</f>
        <v>288000</v>
      </c>
      <c r="Q196" s="741"/>
      <c r="R196" s="742">
        <f t="shared" si="86"/>
        <v>0.51839999999999997</v>
      </c>
      <c r="S196" s="742"/>
      <c r="T196" s="742"/>
      <c r="U196" s="827">
        <f>N196/12</f>
        <v>1.5</v>
      </c>
      <c r="V196" s="743">
        <f>U196</f>
        <v>1.5</v>
      </c>
      <c r="W196" s="743">
        <f t="shared" ref="W196:W205" si="119">V196</f>
        <v>1.5</v>
      </c>
      <c r="X196" s="743">
        <f>W196</f>
        <v>1.5</v>
      </c>
      <c r="Y196" s="743">
        <f t="shared" si="118"/>
        <v>1.5</v>
      </c>
      <c r="Z196" s="743">
        <f t="shared" si="118"/>
        <v>1.5</v>
      </c>
      <c r="AA196" s="743">
        <f t="shared" si="118"/>
        <v>1.5</v>
      </c>
      <c r="AB196" s="743">
        <f t="shared" si="118"/>
        <v>1.5</v>
      </c>
      <c r="AC196" s="743">
        <f t="shared" si="118"/>
        <v>1.5</v>
      </c>
      <c r="AD196" s="743">
        <f t="shared" si="118"/>
        <v>1.5</v>
      </c>
      <c r="AE196" s="743">
        <f t="shared" si="118"/>
        <v>1.5</v>
      </c>
      <c r="AF196" s="743">
        <f t="shared" si="118"/>
        <v>1.5</v>
      </c>
      <c r="AG196" s="733">
        <f t="shared" si="71"/>
        <v>0</v>
      </c>
      <c r="AH196" s="208">
        <f t="shared" si="72"/>
        <v>4.5</v>
      </c>
      <c r="AI196" s="208">
        <f t="shared" si="73"/>
        <v>4.5</v>
      </c>
      <c r="AJ196" s="208">
        <f t="shared" si="74"/>
        <v>4.5</v>
      </c>
      <c r="AK196" s="208">
        <f t="shared" si="75"/>
        <v>4.5</v>
      </c>
      <c r="AL196" s="208">
        <f t="shared" si="76"/>
        <v>18</v>
      </c>
      <c r="AM196" s="805"/>
      <c r="AN196" s="746">
        <f t="shared" si="110"/>
        <v>4.3200000000000002E-2</v>
      </c>
      <c r="AO196" s="746">
        <f t="shared" si="110"/>
        <v>4.3200000000000002E-2</v>
      </c>
      <c r="AP196" s="746">
        <f t="shared" si="110"/>
        <v>4.3200000000000002E-2</v>
      </c>
      <c r="AQ196" s="746">
        <f t="shared" si="110"/>
        <v>4.3200000000000002E-2</v>
      </c>
      <c r="AR196" s="746">
        <f t="shared" si="110"/>
        <v>4.3200000000000002E-2</v>
      </c>
      <c r="AS196" s="746">
        <f t="shared" si="110"/>
        <v>4.3200000000000002E-2</v>
      </c>
      <c r="AT196" s="746">
        <f t="shared" si="110"/>
        <v>4.3200000000000002E-2</v>
      </c>
      <c r="AU196" s="746">
        <f t="shared" si="110"/>
        <v>4.3200000000000002E-2</v>
      </c>
      <c r="AV196" s="746">
        <f t="shared" si="110"/>
        <v>4.3200000000000002E-2</v>
      </c>
      <c r="AW196" s="746">
        <f t="shared" si="110"/>
        <v>4.3200000000000002E-2</v>
      </c>
      <c r="AX196" s="746">
        <f t="shared" si="110"/>
        <v>4.3200000000000002E-2</v>
      </c>
      <c r="AY196" s="746">
        <f t="shared" si="110"/>
        <v>4.3200000000000002E-2</v>
      </c>
      <c r="AZ196" s="733">
        <f t="shared" si="78"/>
        <v>0</v>
      </c>
      <c r="BA196" s="636">
        <f t="shared" si="79"/>
        <v>0.12959999999999999</v>
      </c>
      <c r="BB196" s="636">
        <f t="shared" si="80"/>
        <v>0.12959999999999999</v>
      </c>
      <c r="BC196" s="636">
        <f t="shared" si="81"/>
        <v>0.12959999999999999</v>
      </c>
      <c r="BD196" s="636">
        <f t="shared" si="82"/>
        <v>0.12959999999999999</v>
      </c>
      <c r="BE196" s="735">
        <f t="shared" si="83"/>
        <v>0.51839999999999997</v>
      </c>
      <c r="BF196" s="830"/>
      <c r="BG196" s="830"/>
      <c r="BH196" s="830"/>
      <c r="BI196" s="830"/>
      <c r="BJ196" s="690"/>
      <c r="BK196" s="690"/>
      <c r="BL196" s="690"/>
      <c r="BM196" s="690"/>
      <c r="BN196" s="690"/>
    </row>
    <row r="197" spans="1:66" s="831" customFormat="1" ht="33.75">
      <c r="A197" s="802" t="s">
        <v>518</v>
      </c>
      <c r="B197" s="803"/>
      <c r="C197" s="825" t="s">
        <v>26</v>
      </c>
      <c r="D197" s="826" t="s">
        <v>26</v>
      </c>
      <c r="E197" s="829" t="str">
        <f t="shared" si="114"/>
        <v>C&amp;C FruitEss FaceWash(Berry)20 ml-Chain</v>
      </c>
      <c r="F197" s="823"/>
      <c r="G197" s="823"/>
      <c r="H197" s="823"/>
      <c r="I197" s="740"/>
      <c r="J197" s="739"/>
      <c r="K197" s="686"/>
      <c r="L197" s="739"/>
      <c r="M197" s="740"/>
      <c r="N197" s="832">
        <v>18</v>
      </c>
      <c r="O197" s="740"/>
      <c r="P197" s="739">
        <f>34.56*10^5/12</f>
        <v>288000</v>
      </c>
      <c r="Q197" s="741"/>
      <c r="R197" s="742">
        <f t="shared" si="86"/>
        <v>0.51839999999999997</v>
      </c>
      <c r="S197" s="742"/>
      <c r="T197" s="742"/>
      <c r="U197" s="827">
        <f>N197/12</f>
        <v>1.5</v>
      </c>
      <c r="V197" s="743">
        <f>U197</f>
        <v>1.5</v>
      </c>
      <c r="W197" s="743">
        <f t="shared" si="119"/>
        <v>1.5</v>
      </c>
      <c r="X197" s="743">
        <f>W197</f>
        <v>1.5</v>
      </c>
      <c r="Y197" s="743">
        <f t="shared" si="118"/>
        <v>1.5</v>
      </c>
      <c r="Z197" s="743">
        <f t="shared" si="118"/>
        <v>1.5</v>
      </c>
      <c r="AA197" s="743">
        <f t="shared" si="118"/>
        <v>1.5</v>
      </c>
      <c r="AB197" s="743">
        <f t="shared" si="118"/>
        <v>1.5</v>
      </c>
      <c r="AC197" s="743">
        <f t="shared" si="118"/>
        <v>1.5</v>
      </c>
      <c r="AD197" s="743">
        <f t="shared" si="118"/>
        <v>1.5</v>
      </c>
      <c r="AE197" s="743">
        <f t="shared" si="118"/>
        <v>1.5</v>
      </c>
      <c r="AF197" s="743">
        <f t="shared" si="118"/>
        <v>1.5</v>
      </c>
      <c r="AG197" s="733">
        <f t="shared" si="71"/>
        <v>0</v>
      </c>
      <c r="AH197" s="208">
        <f t="shared" si="72"/>
        <v>4.5</v>
      </c>
      <c r="AI197" s="208">
        <f t="shared" si="73"/>
        <v>4.5</v>
      </c>
      <c r="AJ197" s="208">
        <f t="shared" si="74"/>
        <v>4.5</v>
      </c>
      <c r="AK197" s="208">
        <f t="shared" si="75"/>
        <v>4.5</v>
      </c>
      <c r="AL197" s="208">
        <f t="shared" si="76"/>
        <v>18</v>
      </c>
      <c r="AM197" s="805"/>
      <c r="AN197" s="746">
        <f t="shared" si="110"/>
        <v>4.3200000000000002E-2</v>
      </c>
      <c r="AO197" s="746">
        <f t="shared" si="110"/>
        <v>4.3200000000000002E-2</v>
      </c>
      <c r="AP197" s="746">
        <f t="shared" si="110"/>
        <v>4.3200000000000002E-2</v>
      </c>
      <c r="AQ197" s="746">
        <f t="shared" si="110"/>
        <v>4.3200000000000002E-2</v>
      </c>
      <c r="AR197" s="746">
        <f t="shared" si="110"/>
        <v>4.3200000000000002E-2</v>
      </c>
      <c r="AS197" s="746">
        <f t="shared" si="110"/>
        <v>4.3200000000000002E-2</v>
      </c>
      <c r="AT197" s="746">
        <f t="shared" si="110"/>
        <v>4.3200000000000002E-2</v>
      </c>
      <c r="AU197" s="746">
        <f t="shared" si="110"/>
        <v>4.3200000000000002E-2</v>
      </c>
      <c r="AV197" s="746">
        <f t="shared" si="110"/>
        <v>4.3200000000000002E-2</v>
      </c>
      <c r="AW197" s="746">
        <f t="shared" si="110"/>
        <v>4.3200000000000002E-2</v>
      </c>
      <c r="AX197" s="746">
        <f t="shared" si="110"/>
        <v>4.3200000000000002E-2</v>
      </c>
      <c r="AY197" s="746">
        <f t="shared" si="110"/>
        <v>4.3200000000000002E-2</v>
      </c>
      <c r="AZ197" s="733">
        <f t="shared" si="78"/>
        <v>0</v>
      </c>
      <c r="BA197" s="636">
        <f t="shared" si="79"/>
        <v>0.12959999999999999</v>
      </c>
      <c r="BB197" s="636">
        <f t="shared" si="80"/>
        <v>0.12959999999999999</v>
      </c>
      <c r="BC197" s="636">
        <f t="shared" si="81"/>
        <v>0.12959999999999999</v>
      </c>
      <c r="BD197" s="636">
        <f t="shared" si="82"/>
        <v>0.12959999999999999</v>
      </c>
      <c r="BE197" s="735">
        <f t="shared" si="83"/>
        <v>0.51839999999999997</v>
      </c>
      <c r="BF197" s="830"/>
      <c r="BG197" s="830"/>
      <c r="BH197" s="830"/>
      <c r="BI197" s="830"/>
      <c r="BJ197" s="690"/>
      <c r="BK197" s="690"/>
      <c r="BL197" s="690"/>
      <c r="BM197" s="690"/>
      <c r="BN197" s="690"/>
    </row>
    <row r="198" spans="1:66" s="831" customFormat="1" ht="22.5">
      <c r="A198" s="802" t="s">
        <v>519</v>
      </c>
      <c r="B198" s="803"/>
      <c r="C198" s="825" t="s">
        <v>26</v>
      </c>
      <c r="D198" s="826" t="s">
        <v>26</v>
      </c>
      <c r="E198" s="829" t="str">
        <f t="shared" si="114"/>
        <v xml:space="preserve">C&amp;C Facial Wash 150ml </v>
      </c>
      <c r="F198" s="823"/>
      <c r="G198" s="823"/>
      <c r="H198" s="823"/>
      <c r="I198" s="740"/>
      <c r="J198" s="739"/>
      <c r="K198" s="686"/>
      <c r="L198" s="739"/>
      <c r="M198" s="740"/>
      <c r="N198" s="739"/>
      <c r="O198" s="740"/>
      <c r="P198" s="739"/>
      <c r="Q198" s="741"/>
      <c r="R198" s="739"/>
      <c r="S198" s="742"/>
      <c r="T198" s="742"/>
      <c r="U198" s="743"/>
      <c r="V198" s="743"/>
      <c r="W198" s="743">
        <f t="shared" si="119"/>
        <v>0</v>
      </c>
      <c r="X198" s="743"/>
      <c r="Y198" s="743"/>
      <c r="Z198" s="743"/>
      <c r="AA198" s="743"/>
      <c r="AB198" s="743"/>
      <c r="AC198" s="743"/>
      <c r="AD198" s="743"/>
      <c r="AE198" s="743"/>
      <c r="AF198" s="743"/>
      <c r="AG198" s="733">
        <f t="shared" si="71"/>
        <v>0</v>
      </c>
      <c r="AH198" s="208">
        <f t="shared" si="72"/>
        <v>0</v>
      </c>
      <c r="AI198" s="208">
        <f t="shared" si="73"/>
        <v>0</v>
      </c>
      <c r="AJ198" s="208">
        <f t="shared" si="74"/>
        <v>0</v>
      </c>
      <c r="AK198" s="208">
        <f t="shared" si="75"/>
        <v>0</v>
      </c>
      <c r="AL198" s="208">
        <f t="shared" si="76"/>
        <v>0</v>
      </c>
      <c r="AM198" s="805"/>
      <c r="AN198" s="746">
        <f t="shared" si="110"/>
        <v>0</v>
      </c>
      <c r="AO198" s="746">
        <f t="shared" si="110"/>
        <v>0</v>
      </c>
      <c r="AP198" s="746">
        <f t="shared" si="110"/>
        <v>0</v>
      </c>
      <c r="AQ198" s="746">
        <f t="shared" si="110"/>
        <v>0</v>
      </c>
      <c r="AR198" s="746">
        <f t="shared" si="110"/>
        <v>0</v>
      </c>
      <c r="AS198" s="746">
        <f t="shared" si="110"/>
        <v>0</v>
      </c>
      <c r="AT198" s="746">
        <f t="shared" si="110"/>
        <v>0</v>
      </c>
      <c r="AU198" s="746">
        <f t="shared" si="110"/>
        <v>0</v>
      </c>
      <c r="AV198" s="746">
        <f t="shared" si="110"/>
        <v>0</v>
      </c>
      <c r="AW198" s="746">
        <f t="shared" si="110"/>
        <v>0</v>
      </c>
      <c r="AX198" s="746">
        <f t="shared" si="110"/>
        <v>0</v>
      </c>
      <c r="AY198" s="746">
        <f t="shared" si="110"/>
        <v>0</v>
      </c>
      <c r="AZ198" s="733">
        <f t="shared" si="78"/>
        <v>0</v>
      </c>
      <c r="BA198" s="636">
        <f t="shared" si="79"/>
        <v>0</v>
      </c>
      <c r="BB198" s="636">
        <f t="shared" si="80"/>
        <v>0</v>
      </c>
      <c r="BC198" s="636">
        <f t="shared" si="81"/>
        <v>0</v>
      </c>
      <c r="BD198" s="636">
        <f t="shared" si="82"/>
        <v>0</v>
      </c>
      <c r="BE198" s="735">
        <f t="shared" si="83"/>
        <v>0</v>
      </c>
      <c r="BF198" s="830"/>
      <c r="BG198" s="830"/>
      <c r="BH198" s="830"/>
      <c r="BI198" s="830"/>
      <c r="BJ198" s="690"/>
      <c r="BK198" s="690"/>
      <c r="BL198" s="690"/>
      <c r="BM198" s="690"/>
      <c r="BN198" s="690"/>
    </row>
    <row r="199" spans="1:66" s="831" customFormat="1" ht="22.5">
      <c r="A199" s="802" t="s">
        <v>520</v>
      </c>
      <c r="B199" s="803"/>
      <c r="C199" s="825" t="s">
        <v>26</v>
      </c>
      <c r="D199" s="826" t="s">
        <v>26</v>
      </c>
      <c r="E199" s="829" t="str">
        <f t="shared" si="114"/>
        <v xml:space="preserve">C&amp;C Facial Wash 100ml </v>
      </c>
      <c r="F199" s="823"/>
      <c r="G199" s="823"/>
      <c r="H199" s="823"/>
      <c r="I199" s="740"/>
      <c r="J199" s="739"/>
      <c r="K199" s="686"/>
      <c r="L199" s="739"/>
      <c r="M199" s="740"/>
      <c r="N199" s="739">
        <v>0</v>
      </c>
      <c r="O199" s="740"/>
      <c r="P199" s="739"/>
      <c r="Q199" s="741"/>
      <c r="R199" s="742">
        <f t="shared" si="86"/>
        <v>0</v>
      </c>
      <c r="S199" s="742"/>
      <c r="T199" s="742"/>
      <c r="U199" s="743"/>
      <c r="V199" s="743"/>
      <c r="W199" s="743">
        <f t="shared" si="119"/>
        <v>0</v>
      </c>
      <c r="X199" s="743"/>
      <c r="Y199" s="743"/>
      <c r="Z199" s="743"/>
      <c r="AA199" s="743"/>
      <c r="AB199" s="743"/>
      <c r="AC199" s="743"/>
      <c r="AD199" s="743"/>
      <c r="AE199" s="743"/>
      <c r="AF199" s="743"/>
      <c r="AG199" s="733">
        <f t="shared" si="71"/>
        <v>0</v>
      </c>
      <c r="AH199" s="208">
        <f t="shared" si="72"/>
        <v>0</v>
      </c>
      <c r="AI199" s="208">
        <f t="shared" si="73"/>
        <v>0</v>
      </c>
      <c r="AJ199" s="208">
        <f t="shared" si="74"/>
        <v>0</v>
      </c>
      <c r="AK199" s="208">
        <f t="shared" si="75"/>
        <v>0</v>
      </c>
      <c r="AL199" s="208">
        <f t="shared" si="76"/>
        <v>0</v>
      </c>
      <c r="AM199" s="805"/>
      <c r="AN199" s="746">
        <f t="shared" si="110"/>
        <v>0</v>
      </c>
      <c r="AO199" s="746">
        <f t="shared" si="110"/>
        <v>0</v>
      </c>
      <c r="AP199" s="746">
        <f t="shared" si="110"/>
        <v>0</v>
      </c>
      <c r="AQ199" s="746">
        <f t="shared" si="110"/>
        <v>0</v>
      </c>
      <c r="AR199" s="746">
        <f t="shared" si="110"/>
        <v>0</v>
      </c>
      <c r="AS199" s="746">
        <f t="shared" si="110"/>
        <v>0</v>
      </c>
      <c r="AT199" s="746">
        <f t="shared" si="110"/>
        <v>0</v>
      </c>
      <c r="AU199" s="746">
        <f t="shared" si="110"/>
        <v>0</v>
      </c>
      <c r="AV199" s="746">
        <f t="shared" si="110"/>
        <v>0</v>
      </c>
      <c r="AW199" s="746">
        <f t="shared" si="110"/>
        <v>0</v>
      </c>
      <c r="AX199" s="746">
        <f t="shared" si="110"/>
        <v>0</v>
      </c>
      <c r="AY199" s="746">
        <f t="shared" si="110"/>
        <v>0</v>
      </c>
      <c r="AZ199" s="733">
        <f t="shared" si="78"/>
        <v>0</v>
      </c>
      <c r="BA199" s="636">
        <f t="shared" si="79"/>
        <v>0</v>
      </c>
      <c r="BB199" s="636">
        <f t="shared" si="80"/>
        <v>0</v>
      </c>
      <c r="BC199" s="636">
        <f t="shared" si="81"/>
        <v>0</v>
      </c>
      <c r="BD199" s="636">
        <f t="shared" si="82"/>
        <v>0</v>
      </c>
      <c r="BE199" s="735">
        <f t="shared" si="83"/>
        <v>0</v>
      </c>
      <c r="BF199" s="830"/>
      <c r="BG199" s="830"/>
      <c r="BH199" s="830"/>
      <c r="BI199" s="830"/>
      <c r="BJ199" s="690"/>
      <c r="BK199" s="690"/>
      <c r="BL199" s="690"/>
      <c r="BM199" s="690"/>
      <c r="BN199" s="690"/>
    </row>
    <row r="200" spans="1:66" s="831" customFormat="1" ht="22.5">
      <c r="A200" s="802" t="s">
        <v>521</v>
      </c>
      <c r="B200" s="803"/>
      <c r="C200" s="825" t="s">
        <v>26</v>
      </c>
      <c r="D200" s="826" t="s">
        <v>26</v>
      </c>
      <c r="E200" s="829" t="str">
        <f t="shared" si="114"/>
        <v xml:space="preserve">C&amp;C Facial Wash 50ml </v>
      </c>
      <c r="F200" s="823"/>
      <c r="G200" s="823"/>
      <c r="H200" s="823"/>
      <c r="I200" s="740"/>
      <c r="J200" s="739"/>
      <c r="K200" s="686"/>
      <c r="L200" s="739"/>
      <c r="M200" s="740"/>
      <c r="N200" s="739">
        <v>0</v>
      </c>
      <c r="O200" s="740"/>
      <c r="P200" s="739"/>
      <c r="Q200" s="741"/>
      <c r="R200" s="742">
        <f t="shared" si="86"/>
        <v>0</v>
      </c>
      <c r="S200" s="742"/>
      <c r="T200" s="742"/>
      <c r="U200" s="743"/>
      <c r="V200" s="743"/>
      <c r="W200" s="743">
        <f t="shared" si="119"/>
        <v>0</v>
      </c>
      <c r="X200" s="743"/>
      <c r="Y200" s="743"/>
      <c r="Z200" s="743"/>
      <c r="AA200" s="743"/>
      <c r="AB200" s="743"/>
      <c r="AC200" s="743"/>
      <c r="AD200" s="743"/>
      <c r="AE200" s="743"/>
      <c r="AF200" s="743"/>
      <c r="AG200" s="733">
        <f t="shared" ref="AG200:AG261" si="120">SUM(U200:AF200)-N200</f>
        <v>0</v>
      </c>
      <c r="AH200" s="208">
        <f t="shared" ref="AH200:AH261" si="121">SUM(U200:W200)</f>
        <v>0</v>
      </c>
      <c r="AI200" s="208">
        <f t="shared" ref="AI200:AI261" si="122">SUM(X200:Z200)</f>
        <v>0</v>
      </c>
      <c r="AJ200" s="208">
        <f t="shared" ref="AJ200:AJ261" si="123">SUM(AA200:AC200)</f>
        <v>0</v>
      </c>
      <c r="AK200" s="208">
        <f t="shared" ref="AK200:AK261" si="124">SUM(AD200:AF200)</f>
        <v>0</v>
      </c>
      <c r="AL200" s="208">
        <f t="shared" ref="AL200:AL261" si="125">SUM(AH200:AK200)</f>
        <v>0</v>
      </c>
      <c r="AM200" s="805"/>
      <c r="AN200" s="746">
        <f t="shared" si="110"/>
        <v>0</v>
      </c>
      <c r="AO200" s="746">
        <f t="shared" si="110"/>
        <v>0</v>
      </c>
      <c r="AP200" s="746">
        <f t="shared" si="110"/>
        <v>0</v>
      </c>
      <c r="AQ200" s="746">
        <f t="shared" si="110"/>
        <v>0</v>
      </c>
      <c r="AR200" s="746">
        <f t="shared" si="110"/>
        <v>0</v>
      </c>
      <c r="AS200" s="746">
        <f t="shared" si="110"/>
        <v>0</v>
      </c>
      <c r="AT200" s="746">
        <f t="shared" si="110"/>
        <v>0</v>
      </c>
      <c r="AU200" s="746">
        <f t="shared" si="110"/>
        <v>0</v>
      </c>
      <c r="AV200" s="746">
        <f t="shared" si="110"/>
        <v>0</v>
      </c>
      <c r="AW200" s="746">
        <f t="shared" si="110"/>
        <v>0</v>
      </c>
      <c r="AX200" s="746">
        <f t="shared" si="110"/>
        <v>0</v>
      </c>
      <c r="AY200" s="746">
        <f t="shared" si="110"/>
        <v>0</v>
      </c>
      <c r="AZ200" s="733">
        <f t="shared" ref="AZ200:AZ261" si="126">SUM(AN200:AY200)-R200</f>
        <v>0</v>
      </c>
      <c r="BA200" s="636">
        <f t="shared" ref="BA200:BA261" si="127">SUM(AN200:AP200)</f>
        <v>0</v>
      </c>
      <c r="BB200" s="636">
        <f t="shared" ref="BB200:BB261" si="128">SUM(AQ200:AS200)</f>
        <v>0</v>
      </c>
      <c r="BC200" s="636">
        <f t="shared" ref="BC200:BC261" si="129">SUM(AT200:AV200)</f>
        <v>0</v>
      </c>
      <c r="BD200" s="636">
        <f t="shared" ref="BD200:BD261" si="130">SUM(AW200:AY200)</f>
        <v>0</v>
      </c>
      <c r="BE200" s="735">
        <f t="shared" ref="BE200:BE261" si="131">SUM(BA200:BD200)</f>
        <v>0</v>
      </c>
      <c r="BF200" s="830"/>
      <c r="BG200" s="830"/>
      <c r="BH200" s="830"/>
      <c r="BI200" s="830"/>
      <c r="BJ200" s="690"/>
      <c r="BK200" s="690"/>
      <c r="BL200" s="690"/>
      <c r="BM200" s="690"/>
      <c r="BN200" s="690"/>
    </row>
    <row r="201" spans="1:66" s="831" customFormat="1" ht="22.5">
      <c r="A201" s="802" t="s">
        <v>522</v>
      </c>
      <c r="B201" s="803"/>
      <c r="C201" s="825" t="s">
        <v>26</v>
      </c>
      <c r="D201" s="826" t="s">
        <v>26</v>
      </c>
      <c r="E201" s="829" t="str">
        <f t="shared" si="114"/>
        <v xml:space="preserve">C&amp;C Facial Wash 20ml </v>
      </c>
      <c r="F201" s="823"/>
      <c r="G201" s="823"/>
      <c r="H201" s="823"/>
      <c r="I201" s="740"/>
      <c r="J201" s="739"/>
      <c r="K201" s="686"/>
      <c r="L201" s="739"/>
      <c r="M201" s="740"/>
      <c r="N201" s="739">
        <v>120</v>
      </c>
      <c r="O201" s="740"/>
      <c r="P201" s="739">
        <f>28.44*10^5/12</f>
        <v>237000</v>
      </c>
      <c r="Q201" s="741"/>
      <c r="R201" s="742">
        <f t="shared" si="86"/>
        <v>2.8439999999999999</v>
      </c>
      <c r="S201" s="742"/>
      <c r="T201" s="742"/>
      <c r="U201" s="827">
        <f>N201/12</f>
        <v>10</v>
      </c>
      <c r="V201" s="743">
        <f>U201</f>
        <v>10</v>
      </c>
      <c r="W201" s="743">
        <f t="shared" si="119"/>
        <v>10</v>
      </c>
      <c r="X201" s="743">
        <f>W201</f>
        <v>10</v>
      </c>
      <c r="Y201" s="743">
        <f t="shared" ref="Y201:AF203" si="132">X201</f>
        <v>10</v>
      </c>
      <c r="Z201" s="743">
        <f t="shared" si="132"/>
        <v>10</v>
      </c>
      <c r="AA201" s="743">
        <f t="shared" si="132"/>
        <v>10</v>
      </c>
      <c r="AB201" s="743">
        <f t="shared" si="132"/>
        <v>10</v>
      </c>
      <c r="AC201" s="743">
        <f t="shared" si="132"/>
        <v>10</v>
      </c>
      <c r="AD201" s="743">
        <f t="shared" si="132"/>
        <v>10</v>
      </c>
      <c r="AE201" s="743">
        <f t="shared" si="132"/>
        <v>10</v>
      </c>
      <c r="AF201" s="743">
        <f t="shared" si="132"/>
        <v>10</v>
      </c>
      <c r="AG201" s="733">
        <f t="shared" si="120"/>
        <v>0</v>
      </c>
      <c r="AH201" s="208">
        <f t="shared" si="121"/>
        <v>30</v>
      </c>
      <c r="AI201" s="208">
        <f t="shared" si="122"/>
        <v>30</v>
      </c>
      <c r="AJ201" s="208">
        <f t="shared" si="123"/>
        <v>30</v>
      </c>
      <c r="AK201" s="208">
        <f t="shared" si="124"/>
        <v>30</v>
      </c>
      <c r="AL201" s="208">
        <f t="shared" si="125"/>
        <v>120</v>
      </c>
      <c r="AM201" s="805"/>
      <c r="AN201" s="746">
        <f t="shared" si="110"/>
        <v>0.23699999999999999</v>
      </c>
      <c r="AO201" s="746">
        <f t="shared" si="110"/>
        <v>0.23699999999999999</v>
      </c>
      <c r="AP201" s="746">
        <f t="shared" si="110"/>
        <v>0.23699999999999999</v>
      </c>
      <c r="AQ201" s="746">
        <f t="shared" si="110"/>
        <v>0.23699999999999999</v>
      </c>
      <c r="AR201" s="746">
        <f t="shared" si="110"/>
        <v>0.23699999999999999</v>
      </c>
      <c r="AS201" s="746">
        <f t="shared" si="110"/>
        <v>0.23699999999999999</v>
      </c>
      <c r="AT201" s="746">
        <f t="shared" si="110"/>
        <v>0.23699999999999999</v>
      </c>
      <c r="AU201" s="746">
        <f t="shared" si="110"/>
        <v>0.23699999999999999</v>
      </c>
      <c r="AV201" s="746">
        <f t="shared" si="110"/>
        <v>0.23699999999999999</v>
      </c>
      <c r="AW201" s="746">
        <f t="shared" si="110"/>
        <v>0.23699999999999999</v>
      </c>
      <c r="AX201" s="746">
        <f t="shared" si="110"/>
        <v>0.23699999999999999</v>
      </c>
      <c r="AY201" s="746">
        <f t="shared" si="110"/>
        <v>0.23699999999999999</v>
      </c>
      <c r="AZ201" s="733">
        <f t="shared" si="126"/>
        <v>0</v>
      </c>
      <c r="BA201" s="636">
        <f t="shared" si="127"/>
        <v>0.71099999999999997</v>
      </c>
      <c r="BB201" s="636">
        <f t="shared" si="128"/>
        <v>0.71099999999999997</v>
      </c>
      <c r="BC201" s="636">
        <f t="shared" si="129"/>
        <v>0.71099999999999997</v>
      </c>
      <c r="BD201" s="636">
        <f t="shared" si="130"/>
        <v>0.71099999999999997</v>
      </c>
      <c r="BE201" s="735">
        <f t="shared" si="131"/>
        <v>2.8439999999999999</v>
      </c>
      <c r="BF201" s="830"/>
      <c r="BG201" s="830"/>
      <c r="BH201" s="830"/>
      <c r="BI201" s="830"/>
      <c r="BJ201" s="690"/>
      <c r="BK201" s="690"/>
      <c r="BL201" s="690"/>
      <c r="BM201" s="690"/>
      <c r="BN201" s="690"/>
    </row>
    <row r="202" spans="1:66" s="831" customFormat="1" ht="45">
      <c r="A202" s="802" t="s">
        <v>523</v>
      </c>
      <c r="B202" s="803"/>
      <c r="C202" s="825" t="s">
        <v>26</v>
      </c>
      <c r="D202" s="826" t="s">
        <v>26</v>
      </c>
      <c r="E202" s="829" t="str">
        <f t="shared" si="114"/>
        <v>C&amp;C FacialWash 20 ml Rethink(Chain Pack)10+2 Offer</v>
      </c>
      <c r="F202" s="823"/>
      <c r="G202" s="823"/>
      <c r="H202" s="823"/>
      <c r="I202" s="740"/>
      <c r="J202" s="739"/>
      <c r="K202" s="686"/>
      <c r="L202" s="739"/>
      <c r="M202" s="740"/>
      <c r="N202" s="739">
        <v>120</v>
      </c>
      <c r="O202" s="740"/>
      <c r="P202" s="739">
        <f>28.44*10^5/12</f>
        <v>237000</v>
      </c>
      <c r="Q202" s="741"/>
      <c r="R202" s="742">
        <f t="shared" ref="R202:R246" si="133">+(N202*P202)/10000000</f>
        <v>2.8439999999999999</v>
      </c>
      <c r="S202" s="742"/>
      <c r="T202" s="742"/>
      <c r="U202" s="827">
        <f>N202/12</f>
        <v>10</v>
      </c>
      <c r="V202" s="743">
        <f>U202</f>
        <v>10</v>
      </c>
      <c r="W202" s="743">
        <f t="shared" si="119"/>
        <v>10</v>
      </c>
      <c r="X202" s="743">
        <f>W202</f>
        <v>10</v>
      </c>
      <c r="Y202" s="743">
        <f t="shared" si="132"/>
        <v>10</v>
      </c>
      <c r="Z202" s="743">
        <f t="shared" si="132"/>
        <v>10</v>
      </c>
      <c r="AA202" s="743">
        <f t="shared" si="132"/>
        <v>10</v>
      </c>
      <c r="AB202" s="743">
        <f t="shared" si="132"/>
        <v>10</v>
      </c>
      <c r="AC202" s="743">
        <f t="shared" si="132"/>
        <v>10</v>
      </c>
      <c r="AD202" s="743">
        <f t="shared" si="132"/>
        <v>10</v>
      </c>
      <c r="AE202" s="743">
        <f t="shared" si="132"/>
        <v>10</v>
      </c>
      <c r="AF202" s="743">
        <f t="shared" si="132"/>
        <v>10</v>
      </c>
      <c r="AG202" s="733">
        <f t="shared" si="120"/>
        <v>0</v>
      </c>
      <c r="AH202" s="208">
        <f t="shared" si="121"/>
        <v>30</v>
      </c>
      <c r="AI202" s="208">
        <f t="shared" si="122"/>
        <v>30</v>
      </c>
      <c r="AJ202" s="208">
        <f t="shared" si="123"/>
        <v>30</v>
      </c>
      <c r="AK202" s="208">
        <f t="shared" si="124"/>
        <v>30</v>
      </c>
      <c r="AL202" s="208">
        <f t="shared" si="125"/>
        <v>120</v>
      </c>
      <c r="AM202" s="805"/>
      <c r="AN202" s="746">
        <f t="shared" si="110"/>
        <v>0.23699999999999999</v>
      </c>
      <c r="AO202" s="746">
        <f t="shared" si="110"/>
        <v>0.23699999999999999</v>
      </c>
      <c r="AP202" s="746">
        <f t="shared" si="110"/>
        <v>0.23699999999999999</v>
      </c>
      <c r="AQ202" s="746">
        <f t="shared" ref="AQ202:AY212" si="134">X202*$P202/10^7</f>
        <v>0.23699999999999999</v>
      </c>
      <c r="AR202" s="746">
        <f t="shared" si="134"/>
        <v>0.23699999999999999</v>
      </c>
      <c r="AS202" s="746">
        <f t="shared" si="134"/>
        <v>0.23699999999999999</v>
      </c>
      <c r="AT202" s="746">
        <f t="shared" si="134"/>
        <v>0.23699999999999999</v>
      </c>
      <c r="AU202" s="746">
        <f t="shared" si="134"/>
        <v>0.23699999999999999</v>
      </c>
      <c r="AV202" s="746">
        <f t="shared" si="134"/>
        <v>0.23699999999999999</v>
      </c>
      <c r="AW202" s="746">
        <f t="shared" si="134"/>
        <v>0.23699999999999999</v>
      </c>
      <c r="AX202" s="746">
        <f t="shared" si="134"/>
        <v>0.23699999999999999</v>
      </c>
      <c r="AY202" s="746">
        <f t="shared" si="134"/>
        <v>0.23699999999999999</v>
      </c>
      <c r="AZ202" s="733">
        <f t="shared" si="126"/>
        <v>0</v>
      </c>
      <c r="BA202" s="636">
        <f t="shared" si="127"/>
        <v>0.71099999999999997</v>
      </c>
      <c r="BB202" s="636">
        <f t="shared" si="128"/>
        <v>0.71099999999999997</v>
      </c>
      <c r="BC202" s="636">
        <f t="shared" si="129"/>
        <v>0.71099999999999997</v>
      </c>
      <c r="BD202" s="636">
        <f t="shared" si="130"/>
        <v>0.71099999999999997</v>
      </c>
      <c r="BE202" s="735">
        <f t="shared" si="131"/>
        <v>2.8439999999999999</v>
      </c>
      <c r="BF202" s="830"/>
      <c r="BG202" s="830"/>
      <c r="BH202" s="830"/>
      <c r="BI202" s="830"/>
      <c r="BJ202" s="690"/>
      <c r="BK202" s="690"/>
      <c r="BL202" s="690"/>
      <c r="BM202" s="690"/>
      <c r="BN202" s="690"/>
    </row>
    <row r="203" spans="1:66" s="831" customFormat="1" ht="33.75">
      <c r="A203" s="802" t="s">
        <v>524</v>
      </c>
      <c r="B203" s="803"/>
      <c r="C203" s="825" t="s">
        <v>26</v>
      </c>
      <c r="D203" s="826" t="s">
        <v>26</v>
      </c>
      <c r="E203" s="829" t="str">
        <f t="shared" si="114"/>
        <v>JB OIL 50 ML STANDI POUCH WITH VITAMIN E</v>
      </c>
      <c r="F203" s="823"/>
      <c r="G203" s="823"/>
      <c r="H203" s="823"/>
      <c r="I203" s="740"/>
      <c r="J203" s="739"/>
      <c r="K203" s="686"/>
      <c r="L203" s="739"/>
      <c r="M203" s="740"/>
      <c r="N203" s="739">
        <v>50</v>
      </c>
      <c r="O203" s="740"/>
      <c r="P203" s="739">
        <f>17.64*10^5/12</f>
        <v>147000</v>
      </c>
      <c r="Q203" s="741"/>
      <c r="R203" s="742">
        <f t="shared" si="133"/>
        <v>0.73499999999999999</v>
      </c>
      <c r="S203" s="742"/>
      <c r="T203" s="742"/>
      <c r="U203" s="827">
        <f>N203/12</f>
        <v>4.166666666666667</v>
      </c>
      <c r="V203" s="743">
        <f>U203</f>
        <v>4.166666666666667</v>
      </c>
      <c r="W203" s="743">
        <f t="shared" si="119"/>
        <v>4.166666666666667</v>
      </c>
      <c r="X203" s="743">
        <f>W203</f>
        <v>4.166666666666667</v>
      </c>
      <c r="Y203" s="743">
        <f t="shared" si="132"/>
        <v>4.166666666666667</v>
      </c>
      <c r="Z203" s="743">
        <f t="shared" si="132"/>
        <v>4.166666666666667</v>
      </c>
      <c r="AA203" s="743">
        <f t="shared" si="132"/>
        <v>4.166666666666667</v>
      </c>
      <c r="AB203" s="743">
        <f t="shared" si="132"/>
        <v>4.166666666666667</v>
      </c>
      <c r="AC203" s="743">
        <f t="shared" si="132"/>
        <v>4.166666666666667</v>
      </c>
      <c r="AD203" s="743">
        <f t="shared" si="132"/>
        <v>4.166666666666667</v>
      </c>
      <c r="AE203" s="743">
        <f t="shared" si="132"/>
        <v>4.166666666666667</v>
      </c>
      <c r="AF203" s="743">
        <f t="shared" si="132"/>
        <v>4.166666666666667</v>
      </c>
      <c r="AG203" s="733">
        <f t="shared" si="120"/>
        <v>0</v>
      </c>
      <c r="AH203" s="208">
        <f t="shared" si="121"/>
        <v>12.5</v>
      </c>
      <c r="AI203" s="208">
        <f t="shared" si="122"/>
        <v>12.5</v>
      </c>
      <c r="AJ203" s="208">
        <f t="shared" si="123"/>
        <v>12.5</v>
      </c>
      <c r="AK203" s="208">
        <f t="shared" si="124"/>
        <v>12.5</v>
      </c>
      <c r="AL203" s="208">
        <f t="shared" si="125"/>
        <v>50</v>
      </c>
      <c r="AM203" s="805"/>
      <c r="AN203" s="746">
        <f t="shared" ref="AN203:AY232" si="135">U203*$P203/10^7</f>
        <v>6.1249999999999999E-2</v>
      </c>
      <c r="AO203" s="746">
        <f t="shared" si="135"/>
        <v>6.1249999999999999E-2</v>
      </c>
      <c r="AP203" s="746">
        <f t="shared" si="135"/>
        <v>6.1249999999999999E-2</v>
      </c>
      <c r="AQ203" s="746">
        <f t="shared" si="134"/>
        <v>6.1249999999999999E-2</v>
      </c>
      <c r="AR203" s="746">
        <f t="shared" si="134"/>
        <v>6.1249999999999999E-2</v>
      </c>
      <c r="AS203" s="746">
        <f t="shared" si="134"/>
        <v>6.1249999999999999E-2</v>
      </c>
      <c r="AT203" s="746">
        <f t="shared" si="134"/>
        <v>6.1249999999999999E-2</v>
      </c>
      <c r="AU203" s="746">
        <f t="shared" si="134"/>
        <v>6.1249999999999999E-2</v>
      </c>
      <c r="AV203" s="746">
        <f t="shared" si="134"/>
        <v>6.1249999999999999E-2</v>
      </c>
      <c r="AW203" s="746">
        <f t="shared" si="134"/>
        <v>6.1249999999999999E-2</v>
      </c>
      <c r="AX203" s="746">
        <f t="shared" si="134"/>
        <v>6.1249999999999999E-2</v>
      </c>
      <c r="AY203" s="746">
        <f t="shared" si="134"/>
        <v>6.1249999999999999E-2</v>
      </c>
      <c r="AZ203" s="733">
        <f t="shared" si="126"/>
        <v>0</v>
      </c>
      <c r="BA203" s="636">
        <f t="shared" si="127"/>
        <v>0.18375</v>
      </c>
      <c r="BB203" s="636">
        <f t="shared" si="128"/>
        <v>0.18375</v>
      </c>
      <c r="BC203" s="636">
        <f t="shared" si="129"/>
        <v>0.18375</v>
      </c>
      <c r="BD203" s="636">
        <f t="shared" si="130"/>
        <v>0.18375</v>
      </c>
      <c r="BE203" s="735">
        <f t="shared" si="131"/>
        <v>0.73499999999999999</v>
      </c>
      <c r="BF203" s="830"/>
      <c r="BG203" s="830"/>
      <c r="BH203" s="830"/>
      <c r="BI203" s="830"/>
      <c r="BJ203" s="690"/>
      <c r="BK203" s="690"/>
      <c r="BL203" s="690"/>
      <c r="BM203" s="690"/>
      <c r="BN203" s="690"/>
    </row>
    <row r="204" spans="1:66" s="831" customFormat="1" ht="22.5">
      <c r="A204" s="802" t="s">
        <v>525</v>
      </c>
      <c r="B204" s="803"/>
      <c r="C204" s="825" t="s">
        <v>26</v>
      </c>
      <c r="D204" s="826" t="s">
        <v>26</v>
      </c>
      <c r="E204" s="829" t="str">
        <f t="shared" si="114"/>
        <v>JB Natural Oil  50 ml</v>
      </c>
      <c r="F204" s="823"/>
      <c r="G204" s="823"/>
      <c r="H204" s="823"/>
      <c r="I204" s="740"/>
      <c r="J204" s="739"/>
      <c r="K204" s="686"/>
      <c r="L204" s="739"/>
      <c r="M204" s="740"/>
      <c r="N204" s="739">
        <v>0</v>
      </c>
      <c r="O204" s="740"/>
      <c r="P204" s="739"/>
      <c r="Q204" s="741"/>
      <c r="R204" s="742">
        <f t="shared" si="133"/>
        <v>0</v>
      </c>
      <c r="S204" s="742"/>
      <c r="T204" s="742"/>
      <c r="U204" s="743"/>
      <c r="V204" s="743"/>
      <c r="W204" s="743">
        <f t="shared" si="119"/>
        <v>0</v>
      </c>
      <c r="X204" s="743"/>
      <c r="Y204" s="743"/>
      <c r="Z204" s="743"/>
      <c r="AA204" s="743"/>
      <c r="AB204" s="743"/>
      <c r="AC204" s="743"/>
      <c r="AD204" s="743"/>
      <c r="AE204" s="743"/>
      <c r="AF204" s="743"/>
      <c r="AG204" s="733">
        <f t="shared" si="120"/>
        <v>0</v>
      </c>
      <c r="AH204" s="208">
        <f t="shared" si="121"/>
        <v>0</v>
      </c>
      <c r="AI204" s="208">
        <f t="shared" si="122"/>
        <v>0</v>
      </c>
      <c r="AJ204" s="208">
        <f t="shared" si="123"/>
        <v>0</v>
      </c>
      <c r="AK204" s="208">
        <f t="shared" si="124"/>
        <v>0</v>
      </c>
      <c r="AL204" s="208">
        <f t="shared" si="125"/>
        <v>0</v>
      </c>
      <c r="AM204" s="805"/>
      <c r="AN204" s="746">
        <f t="shared" si="135"/>
        <v>0</v>
      </c>
      <c r="AO204" s="746">
        <f t="shared" si="135"/>
        <v>0</v>
      </c>
      <c r="AP204" s="746">
        <f t="shared" si="135"/>
        <v>0</v>
      </c>
      <c r="AQ204" s="746">
        <f t="shared" si="134"/>
        <v>0</v>
      </c>
      <c r="AR204" s="746">
        <f t="shared" si="134"/>
        <v>0</v>
      </c>
      <c r="AS204" s="746">
        <f t="shared" si="134"/>
        <v>0</v>
      </c>
      <c r="AT204" s="746">
        <f t="shared" si="134"/>
        <v>0</v>
      </c>
      <c r="AU204" s="746">
        <f t="shared" si="134"/>
        <v>0</v>
      </c>
      <c r="AV204" s="746">
        <f t="shared" si="134"/>
        <v>0</v>
      </c>
      <c r="AW204" s="746">
        <f t="shared" si="134"/>
        <v>0</v>
      </c>
      <c r="AX204" s="746">
        <f t="shared" si="134"/>
        <v>0</v>
      </c>
      <c r="AY204" s="746">
        <f t="shared" si="134"/>
        <v>0</v>
      </c>
      <c r="AZ204" s="733">
        <f t="shared" si="126"/>
        <v>0</v>
      </c>
      <c r="BA204" s="636">
        <f t="shared" si="127"/>
        <v>0</v>
      </c>
      <c r="BB204" s="636">
        <f t="shared" si="128"/>
        <v>0</v>
      </c>
      <c r="BC204" s="636">
        <f t="shared" si="129"/>
        <v>0</v>
      </c>
      <c r="BD204" s="636">
        <f t="shared" si="130"/>
        <v>0</v>
      </c>
      <c r="BE204" s="735">
        <f t="shared" si="131"/>
        <v>0</v>
      </c>
      <c r="BF204" s="830"/>
      <c r="BG204" s="830"/>
      <c r="BH204" s="830"/>
      <c r="BI204" s="830"/>
      <c r="BJ204" s="690"/>
      <c r="BK204" s="690"/>
      <c r="BL204" s="690"/>
      <c r="BM204" s="690"/>
      <c r="BN204" s="690"/>
    </row>
    <row r="205" spans="1:66" s="831" customFormat="1" ht="22.5">
      <c r="A205" s="802" t="s">
        <v>526</v>
      </c>
      <c r="B205" s="803"/>
      <c r="C205" s="825" t="s">
        <v>26</v>
      </c>
      <c r="D205" s="826" t="s">
        <v>26</v>
      </c>
      <c r="E205" s="829" t="str">
        <f t="shared" si="114"/>
        <v>JB Natural Oil 100 ml</v>
      </c>
      <c r="F205" s="823"/>
      <c r="G205" s="823"/>
      <c r="H205" s="823"/>
      <c r="I205" s="740"/>
      <c r="J205" s="739"/>
      <c r="K205" s="686"/>
      <c r="L205" s="739"/>
      <c r="M205" s="740"/>
      <c r="N205" s="739">
        <v>4</v>
      </c>
      <c r="O205" s="740"/>
      <c r="P205" s="739">
        <f>53.04*10^5/12</f>
        <v>442000</v>
      </c>
      <c r="Q205" s="741"/>
      <c r="R205" s="742">
        <f t="shared" si="133"/>
        <v>0.17680000000000001</v>
      </c>
      <c r="S205" s="742"/>
      <c r="T205" s="742"/>
      <c r="U205" s="827">
        <f>N205/12</f>
        <v>0.33333333333333331</v>
      </c>
      <c r="V205" s="743">
        <f>U205</f>
        <v>0.33333333333333331</v>
      </c>
      <c r="W205" s="743">
        <f t="shared" si="119"/>
        <v>0.33333333333333331</v>
      </c>
      <c r="X205" s="743">
        <f>W205</f>
        <v>0.33333333333333331</v>
      </c>
      <c r="Y205" s="743">
        <f t="shared" ref="Y205:AF205" si="136">X205</f>
        <v>0.33333333333333331</v>
      </c>
      <c r="Z205" s="743">
        <f t="shared" si="136"/>
        <v>0.33333333333333331</v>
      </c>
      <c r="AA205" s="743">
        <f t="shared" si="136"/>
        <v>0.33333333333333331</v>
      </c>
      <c r="AB205" s="743">
        <f t="shared" si="136"/>
        <v>0.33333333333333331</v>
      </c>
      <c r="AC205" s="743">
        <f t="shared" si="136"/>
        <v>0.33333333333333331</v>
      </c>
      <c r="AD205" s="743">
        <f t="shared" si="136"/>
        <v>0.33333333333333331</v>
      </c>
      <c r="AE205" s="743">
        <f t="shared" si="136"/>
        <v>0.33333333333333331</v>
      </c>
      <c r="AF205" s="743">
        <f t="shared" si="136"/>
        <v>0.33333333333333331</v>
      </c>
      <c r="AG205" s="733">
        <f t="shared" si="120"/>
        <v>0</v>
      </c>
      <c r="AH205" s="208">
        <f t="shared" si="121"/>
        <v>1</v>
      </c>
      <c r="AI205" s="208">
        <f t="shared" si="122"/>
        <v>1</v>
      </c>
      <c r="AJ205" s="208">
        <f t="shared" si="123"/>
        <v>1</v>
      </c>
      <c r="AK205" s="208">
        <f t="shared" si="124"/>
        <v>1</v>
      </c>
      <c r="AL205" s="208">
        <f t="shared" si="125"/>
        <v>4</v>
      </c>
      <c r="AM205" s="805"/>
      <c r="AN205" s="746">
        <f t="shared" si="135"/>
        <v>1.4733333333333331E-2</v>
      </c>
      <c r="AO205" s="746">
        <f t="shared" si="135"/>
        <v>1.4733333333333331E-2</v>
      </c>
      <c r="AP205" s="746">
        <f t="shared" si="135"/>
        <v>1.4733333333333331E-2</v>
      </c>
      <c r="AQ205" s="746">
        <f t="shared" si="134"/>
        <v>1.4733333333333331E-2</v>
      </c>
      <c r="AR205" s="746">
        <f t="shared" si="134"/>
        <v>1.4733333333333331E-2</v>
      </c>
      <c r="AS205" s="746">
        <f t="shared" si="134"/>
        <v>1.4733333333333331E-2</v>
      </c>
      <c r="AT205" s="746">
        <f t="shared" si="134"/>
        <v>1.4733333333333331E-2</v>
      </c>
      <c r="AU205" s="746">
        <f t="shared" si="134"/>
        <v>1.4733333333333331E-2</v>
      </c>
      <c r="AV205" s="746">
        <f t="shared" si="134"/>
        <v>1.4733333333333331E-2</v>
      </c>
      <c r="AW205" s="746">
        <f t="shared" si="134"/>
        <v>1.4733333333333331E-2</v>
      </c>
      <c r="AX205" s="746">
        <f t="shared" si="134"/>
        <v>1.4733333333333331E-2</v>
      </c>
      <c r="AY205" s="746">
        <f t="shared" si="134"/>
        <v>1.4733333333333331E-2</v>
      </c>
      <c r="AZ205" s="733">
        <f t="shared" si="126"/>
        <v>0</v>
      </c>
      <c r="BA205" s="636">
        <f t="shared" si="127"/>
        <v>4.4199999999999989E-2</v>
      </c>
      <c r="BB205" s="636">
        <f t="shared" si="128"/>
        <v>4.4199999999999989E-2</v>
      </c>
      <c r="BC205" s="636">
        <f t="shared" si="129"/>
        <v>4.4199999999999989E-2</v>
      </c>
      <c r="BD205" s="636">
        <f t="shared" si="130"/>
        <v>4.4199999999999989E-2</v>
      </c>
      <c r="BE205" s="735">
        <f t="shared" si="131"/>
        <v>0.17679999999999996</v>
      </c>
      <c r="BF205" s="830"/>
      <c r="BG205" s="830"/>
      <c r="BH205" s="830"/>
      <c r="BI205" s="830"/>
      <c r="BJ205" s="690"/>
      <c r="BK205" s="690"/>
      <c r="BL205" s="690"/>
      <c r="BM205" s="690"/>
      <c r="BN205" s="690"/>
    </row>
    <row r="206" spans="1:66" s="831" customFormat="1" ht="22.5">
      <c r="A206" s="802" t="s">
        <v>527</v>
      </c>
      <c r="B206" s="803"/>
      <c r="C206" s="825" t="s">
        <v>26</v>
      </c>
      <c r="D206" s="826" t="s">
        <v>26</v>
      </c>
      <c r="E206" s="829" t="str">
        <f t="shared" si="114"/>
        <v>JB NMT Shampoo 20 ml  LCO</v>
      </c>
      <c r="F206" s="823"/>
      <c r="G206" s="823"/>
      <c r="H206" s="823"/>
      <c r="I206" s="740"/>
      <c r="J206" s="739"/>
      <c r="K206" s="686"/>
      <c r="L206" s="739"/>
      <c r="M206" s="740"/>
      <c r="N206" s="739">
        <v>0</v>
      </c>
      <c r="O206" s="740"/>
      <c r="P206" s="739"/>
      <c r="Q206" s="741"/>
      <c r="R206" s="742">
        <f t="shared" si="133"/>
        <v>0</v>
      </c>
      <c r="S206" s="742"/>
      <c r="T206" s="742"/>
      <c r="U206" s="743"/>
      <c r="V206" s="743"/>
      <c r="W206" s="743"/>
      <c r="X206" s="743"/>
      <c r="Y206" s="743"/>
      <c r="Z206" s="743"/>
      <c r="AA206" s="743"/>
      <c r="AB206" s="743"/>
      <c r="AC206" s="743"/>
      <c r="AD206" s="743"/>
      <c r="AE206" s="743"/>
      <c r="AF206" s="743"/>
      <c r="AG206" s="733">
        <f t="shared" si="120"/>
        <v>0</v>
      </c>
      <c r="AH206" s="208">
        <f t="shared" si="121"/>
        <v>0</v>
      </c>
      <c r="AI206" s="208">
        <f t="shared" si="122"/>
        <v>0</v>
      </c>
      <c r="AJ206" s="208">
        <f t="shared" si="123"/>
        <v>0</v>
      </c>
      <c r="AK206" s="208">
        <f t="shared" si="124"/>
        <v>0</v>
      </c>
      <c r="AL206" s="208">
        <f t="shared" si="125"/>
        <v>0</v>
      </c>
      <c r="AM206" s="805"/>
      <c r="AN206" s="746">
        <f t="shared" si="135"/>
        <v>0</v>
      </c>
      <c r="AO206" s="746">
        <f t="shared" si="135"/>
        <v>0</v>
      </c>
      <c r="AP206" s="746">
        <f t="shared" si="135"/>
        <v>0</v>
      </c>
      <c r="AQ206" s="746">
        <f t="shared" si="134"/>
        <v>0</v>
      </c>
      <c r="AR206" s="746">
        <f t="shared" si="134"/>
        <v>0</v>
      </c>
      <c r="AS206" s="746">
        <f t="shared" si="134"/>
        <v>0</v>
      </c>
      <c r="AT206" s="746">
        <f t="shared" si="134"/>
        <v>0</v>
      </c>
      <c r="AU206" s="746">
        <f t="shared" si="134"/>
        <v>0</v>
      </c>
      <c r="AV206" s="746">
        <f t="shared" si="134"/>
        <v>0</v>
      </c>
      <c r="AW206" s="746">
        <f t="shared" si="134"/>
        <v>0</v>
      </c>
      <c r="AX206" s="746">
        <f t="shared" si="134"/>
        <v>0</v>
      </c>
      <c r="AY206" s="746">
        <f t="shared" si="134"/>
        <v>0</v>
      </c>
      <c r="AZ206" s="733">
        <f t="shared" si="126"/>
        <v>0</v>
      </c>
      <c r="BA206" s="636">
        <f t="shared" si="127"/>
        <v>0</v>
      </c>
      <c r="BB206" s="636">
        <f t="shared" si="128"/>
        <v>0</v>
      </c>
      <c r="BC206" s="636">
        <f t="shared" si="129"/>
        <v>0</v>
      </c>
      <c r="BD206" s="636">
        <f t="shared" si="130"/>
        <v>0</v>
      </c>
      <c r="BE206" s="735">
        <f t="shared" si="131"/>
        <v>0</v>
      </c>
      <c r="BF206" s="830"/>
      <c r="BG206" s="830"/>
      <c r="BH206" s="830"/>
      <c r="BI206" s="830"/>
      <c r="BJ206" s="690"/>
      <c r="BK206" s="690"/>
      <c r="BL206" s="690"/>
      <c r="BM206" s="690"/>
      <c r="BN206" s="690"/>
    </row>
    <row r="207" spans="1:66" s="831" customFormat="1" ht="33.75">
      <c r="A207" s="802" t="s">
        <v>528</v>
      </c>
      <c r="B207" s="803"/>
      <c r="C207" s="825" t="s">
        <v>26</v>
      </c>
      <c r="D207" s="826" t="s">
        <v>26</v>
      </c>
      <c r="E207" s="829" t="str">
        <f t="shared" si="114"/>
        <v>J&amp;J - Bottle FW - Liquid-50 ML ( Export)</v>
      </c>
      <c r="F207" s="823"/>
      <c r="G207" s="823"/>
      <c r="H207" s="823"/>
      <c r="I207" s="740"/>
      <c r="J207" s="739"/>
      <c r="K207" s="686"/>
      <c r="L207" s="739"/>
      <c r="M207" s="740"/>
      <c r="N207" s="739">
        <v>0</v>
      </c>
      <c r="O207" s="740"/>
      <c r="P207" s="739"/>
      <c r="Q207" s="741"/>
      <c r="R207" s="742">
        <f t="shared" si="133"/>
        <v>0</v>
      </c>
      <c r="S207" s="742"/>
      <c r="T207" s="742"/>
      <c r="U207" s="743"/>
      <c r="V207" s="743"/>
      <c r="W207" s="743"/>
      <c r="X207" s="743"/>
      <c r="Y207" s="743"/>
      <c r="Z207" s="743"/>
      <c r="AA207" s="743"/>
      <c r="AB207" s="743"/>
      <c r="AC207" s="743"/>
      <c r="AD207" s="743"/>
      <c r="AE207" s="743"/>
      <c r="AF207" s="743"/>
      <c r="AG207" s="733">
        <f t="shared" si="120"/>
        <v>0</v>
      </c>
      <c r="AH207" s="208">
        <f t="shared" si="121"/>
        <v>0</v>
      </c>
      <c r="AI207" s="208">
        <f t="shared" si="122"/>
        <v>0</v>
      </c>
      <c r="AJ207" s="208">
        <f t="shared" si="123"/>
        <v>0</v>
      </c>
      <c r="AK207" s="208">
        <f t="shared" si="124"/>
        <v>0</v>
      </c>
      <c r="AL207" s="208">
        <f t="shared" si="125"/>
        <v>0</v>
      </c>
      <c r="AM207" s="805"/>
      <c r="AN207" s="746">
        <f t="shared" si="135"/>
        <v>0</v>
      </c>
      <c r="AO207" s="746">
        <f t="shared" si="135"/>
        <v>0</v>
      </c>
      <c r="AP207" s="746">
        <f t="shared" si="135"/>
        <v>0</v>
      </c>
      <c r="AQ207" s="746">
        <f t="shared" si="134"/>
        <v>0</v>
      </c>
      <c r="AR207" s="746">
        <f t="shared" si="134"/>
        <v>0</v>
      </c>
      <c r="AS207" s="746">
        <f t="shared" si="134"/>
        <v>0</v>
      </c>
      <c r="AT207" s="746">
        <f t="shared" si="134"/>
        <v>0</v>
      </c>
      <c r="AU207" s="746">
        <f t="shared" si="134"/>
        <v>0</v>
      </c>
      <c r="AV207" s="746">
        <f t="shared" si="134"/>
        <v>0</v>
      </c>
      <c r="AW207" s="746">
        <f t="shared" si="134"/>
        <v>0</v>
      </c>
      <c r="AX207" s="746">
        <f t="shared" si="134"/>
        <v>0</v>
      </c>
      <c r="AY207" s="746">
        <f t="shared" si="134"/>
        <v>0</v>
      </c>
      <c r="AZ207" s="733">
        <f t="shared" si="126"/>
        <v>0</v>
      </c>
      <c r="BA207" s="636">
        <f t="shared" si="127"/>
        <v>0</v>
      </c>
      <c r="BB207" s="636">
        <f t="shared" si="128"/>
        <v>0</v>
      </c>
      <c r="BC207" s="636">
        <f t="shared" si="129"/>
        <v>0</v>
      </c>
      <c r="BD207" s="636">
        <f t="shared" si="130"/>
        <v>0</v>
      </c>
      <c r="BE207" s="735">
        <f t="shared" si="131"/>
        <v>0</v>
      </c>
      <c r="BF207" s="830"/>
      <c r="BG207" s="830"/>
      <c r="BH207" s="830"/>
      <c r="BI207" s="830"/>
      <c r="BJ207" s="690"/>
      <c r="BK207" s="690"/>
      <c r="BL207" s="690"/>
      <c r="BM207" s="690"/>
      <c r="BN207" s="690"/>
    </row>
    <row r="208" spans="1:66" s="831" customFormat="1" ht="33.75">
      <c r="A208" s="802" t="s">
        <v>529</v>
      </c>
      <c r="B208" s="803"/>
      <c r="C208" s="825" t="s">
        <v>26</v>
      </c>
      <c r="D208" s="826" t="s">
        <v>26</v>
      </c>
      <c r="E208" s="829" t="str">
        <f t="shared" si="114"/>
        <v>J&amp;J - Bottle FW - Liquid -100 ML ( Export)</v>
      </c>
      <c r="F208" s="823"/>
      <c r="G208" s="823"/>
      <c r="H208" s="823"/>
      <c r="I208" s="740"/>
      <c r="J208" s="739"/>
      <c r="K208" s="686"/>
      <c r="L208" s="739"/>
      <c r="M208" s="740"/>
      <c r="N208" s="739">
        <v>0</v>
      </c>
      <c r="O208" s="740"/>
      <c r="P208" s="739"/>
      <c r="Q208" s="741"/>
      <c r="R208" s="742">
        <f t="shared" si="133"/>
        <v>0</v>
      </c>
      <c r="S208" s="742"/>
      <c r="T208" s="742"/>
      <c r="U208" s="743"/>
      <c r="V208" s="743"/>
      <c r="W208" s="743"/>
      <c r="X208" s="743"/>
      <c r="Y208" s="743"/>
      <c r="Z208" s="743"/>
      <c r="AA208" s="743"/>
      <c r="AB208" s="743"/>
      <c r="AC208" s="743"/>
      <c r="AD208" s="743"/>
      <c r="AE208" s="743"/>
      <c r="AF208" s="743"/>
      <c r="AG208" s="733">
        <f t="shared" si="120"/>
        <v>0</v>
      </c>
      <c r="AH208" s="208">
        <f t="shared" si="121"/>
        <v>0</v>
      </c>
      <c r="AI208" s="208">
        <f t="shared" si="122"/>
        <v>0</v>
      </c>
      <c r="AJ208" s="208">
        <f t="shared" si="123"/>
        <v>0</v>
      </c>
      <c r="AK208" s="208">
        <f t="shared" si="124"/>
        <v>0</v>
      </c>
      <c r="AL208" s="208">
        <f t="shared" si="125"/>
        <v>0</v>
      </c>
      <c r="AM208" s="805"/>
      <c r="AN208" s="746">
        <f t="shared" si="135"/>
        <v>0</v>
      </c>
      <c r="AO208" s="746">
        <f t="shared" si="135"/>
        <v>0</v>
      </c>
      <c r="AP208" s="746">
        <f t="shared" si="135"/>
        <v>0</v>
      </c>
      <c r="AQ208" s="746">
        <f t="shared" si="134"/>
        <v>0</v>
      </c>
      <c r="AR208" s="746">
        <f t="shared" si="134"/>
        <v>0</v>
      </c>
      <c r="AS208" s="746">
        <f t="shared" si="134"/>
        <v>0</v>
      </c>
      <c r="AT208" s="746">
        <f t="shared" si="134"/>
        <v>0</v>
      </c>
      <c r="AU208" s="746">
        <f t="shared" si="134"/>
        <v>0</v>
      </c>
      <c r="AV208" s="746">
        <f t="shared" si="134"/>
        <v>0</v>
      </c>
      <c r="AW208" s="746">
        <f t="shared" si="134"/>
        <v>0</v>
      </c>
      <c r="AX208" s="746">
        <f t="shared" si="134"/>
        <v>0</v>
      </c>
      <c r="AY208" s="746">
        <f t="shared" si="134"/>
        <v>0</v>
      </c>
      <c r="AZ208" s="733">
        <f t="shared" si="126"/>
        <v>0</v>
      </c>
      <c r="BA208" s="636">
        <f t="shared" si="127"/>
        <v>0</v>
      </c>
      <c r="BB208" s="636">
        <f t="shared" si="128"/>
        <v>0</v>
      </c>
      <c r="BC208" s="636">
        <f t="shared" si="129"/>
        <v>0</v>
      </c>
      <c r="BD208" s="636">
        <f t="shared" si="130"/>
        <v>0</v>
      </c>
      <c r="BE208" s="735">
        <f t="shared" si="131"/>
        <v>0</v>
      </c>
      <c r="BF208" s="830"/>
      <c r="BG208" s="830"/>
      <c r="BH208" s="830"/>
      <c r="BI208" s="830"/>
      <c r="BJ208" s="690"/>
      <c r="BK208" s="690"/>
      <c r="BL208" s="690"/>
      <c r="BM208" s="690"/>
      <c r="BN208" s="690"/>
    </row>
    <row r="209" spans="1:66" s="831" customFormat="1" ht="33.75">
      <c r="A209" s="802" t="s">
        <v>530</v>
      </c>
      <c r="B209" s="803"/>
      <c r="C209" s="825" t="s">
        <v>26</v>
      </c>
      <c r="D209" s="826" t="s">
        <v>26</v>
      </c>
      <c r="E209" s="829" t="str">
        <f t="shared" si="114"/>
        <v>J&amp;J - Bottle Sampoo - Liquid -100 ML ( Export)</v>
      </c>
      <c r="F209" s="823"/>
      <c r="G209" s="823"/>
      <c r="H209" s="823"/>
      <c r="I209" s="740"/>
      <c r="J209" s="739"/>
      <c r="K209" s="686"/>
      <c r="L209" s="739"/>
      <c r="M209" s="740"/>
      <c r="N209" s="739">
        <v>0</v>
      </c>
      <c r="O209" s="740"/>
      <c r="P209" s="739"/>
      <c r="Q209" s="741"/>
      <c r="R209" s="742">
        <f t="shared" si="133"/>
        <v>0</v>
      </c>
      <c r="S209" s="742"/>
      <c r="T209" s="742"/>
      <c r="U209" s="743"/>
      <c r="V209" s="743"/>
      <c r="W209" s="743"/>
      <c r="X209" s="743"/>
      <c r="Y209" s="743"/>
      <c r="Z209" s="743"/>
      <c r="AA209" s="743"/>
      <c r="AB209" s="743"/>
      <c r="AC209" s="743"/>
      <c r="AD209" s="743"/>
      <c r="AE209" s="743"/>
      <c r="AF209" s="743"/>
      <c r="AG209" s="733">
        <f t="shared" si="120"/>
        <v>0</v>
      </c>
      <c r="AH209" s="208">
        <f t="shared" si="121"/>
        <v>0</v>
      </c>
      <c r="AI209" s="208">
        <f t="shared" si="122"/>
        <v>0</v>
      </c>
      <c r="AJ209" s="208">
        <f t="shared" si="123"/>
        <v>0</v>
      </c>
      <c r="AK209" s="208">
        <f t="shared" si="124"/>
        <v>0</v>
      </c>
      <c r="AL209" s="208">
        <f t="shared" si="125"/>
        <v>0</v>
      </c>
      <c r="AM209" s="805"/>
      <c r="AN209" s="746">
        <f t="shared" si="135"/>
        <v>0</v>
      </c>
      <c r="AO209" s="746">
        <f t="shared" si="135"/>
        <v>0</v>
      </c>
      <c r="AP209" s="746">
        <f t="shared" si="135"/>
        <v>0</v>
      </c>
      <c r="AQ209" s="746">
        <f t="shared" si="134"/>
        <v>0</v>
      </c>
      <c r="AR209" s="746">
        <f t="shared" si="134"/>
        <v>0</v>
      </c>
      <c r="AS209" s="746">
        <f t="shared" si="134"/>
        <v>0</v>
      </c>
      <c r="AT209" s="746">
        <f t="shared" si="134"/>
        <v>0</v>
      </c>
      <c r="AU209" s="746">
        <f t="shared" si="134"/>
        <v>0</v>
      </c>
      <c r="AV209" s="746">
        <f t="shared" si="134"/>
        <v>0</v>
      </c>
      <c r="AW209" s="746">
        <f t="shared" si="134"/>
        <v>0</v>
      </c>
      <c r="AX209" s="746">
        <f t="shared" si="134"/>
        <v>0</v>
      </c>
      <c r="AY209" s="746">
        <f t="shared" si="134"/>
        <v>0</v>
      </c>
      <c r="AZ209" s="733">
        <f t="shared" si="126"/>
        <v>0</v>
      </c>
      <c r="BA209" s="636">
        <f t="shared" si="127"/>
        <v>0</v>
      </c>
      <c r="BB209" s="636">
        <f t="shared" si="128"/>
        <v>0</v>
      </c>
      <c r="BC209" s="636">
        <f t="shared" si="129"/>
        <v>0</v>
      </c>
      <c r="BD209" s="636">
        <f t="shared" si="130"/>
        <v>0</v>
      </c>
      <c r="BE209" s="735">
        <f t="shared" si="131"/>
        <v>0</v>
      </c>
      <c r="BF209" s="830"/>
      <c r="BG209" s="830"/>
      <c r="BH209" s="830"/>
      <c r="BI209" s="830"/>
      <c r="BJ209" s="690"/>
      <c r="BK209" s="690"/>
      <c r="BL209" s="690"/>
      <c r="BM209" s="690"/>
      <c r="BN209" s="690"/>
    </row>
    <row r="210" spans="1:66" s="831" customFormat="1" ht="33.75">
      <c r="A210" s="802" t="s">
        <v>531</v>
      </c>
      <c r="B210" s="803"/>
      <c r="C210" s="825" t="s">
        <v>26</v>
      </c>
      <c r="D210" s="826" t="s">
        <v>26</v>
      </c>
      <c r="E210" s="829" t="str">
        <f t="shared" si="114"/>
        <v>J&amp;J - Bottle Oil - Liquid -50 ML ( Export)</v>
      </c>
      <c r="F210" s="823"/>
      <c r="G210" s="823"/>
      <c r="H210" s="823"/>
      <c r="I210" s="740"/>
      <c r="J210" s="739"/>
      <c r="K210" s="686"/>
      <c r="L210" s="739"/>
      <c r="M210" s="740"/>
      <c r="N210" s="739">
        <v>0</v>
      </c>
      <c r="O210" s="740"/>
      <c r="P210" s="739"/>
      <c r="Q210" s="741"/>
      <c r="R210" s="742">
        <f t="shared" si="133"/>
        <v>0</v>
      </c>
      <c r="S210" s="742"/>
      <c r="T210" s="742"/>
      <c r="U210" s="743"/>
      <c r="V210" s="743"/>
      <c r="W210" s="743"/>
      <c r="X210" s="743"/>
      <c r="Y210" s="743"/>
      <c r="Z210" s="743"/>
      <c r="AA210" s="743"/>
      <c r="AB210" s="743"/>
      <c r="AC210" s="743"/>
      <c r="AD210" s="743"/>
      <c r="AE210" s="743"/>
      <c r="AF210" s="743"/>
      <c r="AG210" s="733">
        <f t="shared" si="120"/>
        <v>0</v>
      </c>
      <c r="AH210" s="208">
        <f t="shared" si="121"/>
        <v>0</v>
      </c>
      <c r="AI210" s="208">
        <f t="shared" si="122"/>
        <v>0</v>
      </c>
      <c r="AJ210" s="208">
        <f t="shared" si="123"/>
        <v>0</v>
      </c>
      <c r="AK210" s="208">
        <f t="shared" si="124"/>
        <v>0</v>
      </c>
      <c r="AL210" s="208">
        <f t="shared" si="125"/>
        <v>0</v>
      </c>
      <c r="AM210" s="805"/>
      <c r="AN210" s="746">
        <f t="shared" si="135"/>
        <v>0</v>
      </c>
      <c r="AO210" s="746">
        <f t="shared" si="135"/>
        <v>0</v>
      </c>
      <c r="AP210" s="746">
        <f t="shared" si="135"/>
        <v>0</v>
      </c>
      <c r="AQ210" s="746">
        <f t="shared" si="134"/>
        <v>0</v>
      </c>
      <c r="AR210" s="746">
        <f t="shared" si="134"/>
        <v>0</v>
      </c>
      <c r="AS210" s="746">
        <f t="shared" si="134"/>
        <v>0</v>
      </c>
      <c r="AT210" s="746">
        <f t="shared" si="134"/>
        <v>0</v>
      </c>
      <c r="AU210" s="746">
        <f t="shared" si="134"/>
        <v>0</v>
      </c>
      <c r="AV210" s="746">
        <f t="shared" si="134"/>
        <v>0</v>
      </c>
      <c r="AW210" s="746">
        <f t="shared" si="134"/>
        <v>0</v>
      </c>
      <c r="AX210" s="746">
        <f t="shared" si="134"/>
        <v>0</v>
      </c>
      <c r="AY210" s="746">
        <f t="shared" si="134"/>
        <v>0</v>
      </c>
      <c r="AZ210" s="733">
        <f t="shared" si="126"/>
        <v>0</v>
      </c>
      <c r="BA210" s="636">
        <f t="shared" si="127"/>
        <v>0</v>
      </c>
      <c r="BB210" s="636">
        <f t="shared" si="128"/>
        <v>0</v>
      </c>
      <c r="BC210" s="636">
        <f t="shared" si="129"/>
        <v>0</v>
      </c>
      <c r="BD210" s="636">
        <f t="shared" si="130"/>
        <v>0</v>
      </c>
      <c r="BE210" s="735">
        <f t="shared" si="131"/>
        <v>0</v>
      </c>
      <c r="BF210" s="830"/>
      <c r="BG210" s="830"/>
      <c r="BH210" s="830"/>
      <c r="BI210" s="830"/>
      <c r="BJ210" s="690"/>
      <c r="BK210" s="690"/>
      <c r="BL210" s="690"/>
      <c r="BM210" s="690"/>
      <c r="BN210" s="690"/>
    </row>
    <row r="211" spans="1:66" ht="12.75">
      <c r="A211" s="802"/>
      <c r="B211" s="803"/>
      <c r="C211" s="820"/>
      <c r="D211" s="826"/>
      <c r="E211" s="829"/>
      <c r="F211" s="823"/>
      <c r="G211" s="823"/>
      <c r="H211" s="823"/>
      <c r="I211" s="740"/>
      <c r="J211" s="739"/>
      <c r="K211" s="686"/>
      <c r="L211" s="739"/>
      <c r="M211" s="740"/>
      <c r="N211" s="739"/>
      <c r="O211" s="740"/>
      <c r="P211" s="739"/>
      <c r="Q211" s="741"/>
      <c r="R211" s="742">
        <f t="shared" si="133"/>
        <v>0</v>
      </c>
      <c r="S211" s="742"/>
      <c r="T211" s="742"/>
      <c r="U211" s="743"/>
      <c r="V211" s="743"/>
      <c r="W211" s="743"/>
      <c r="X211" s="743"/>
      <c r="Y211" s="743"/>
      <c r="Z211" s="743"/>
      <c r="AA211" s="743"/>
      <c r="AB211" s="743"/>
      <c r="AC211" s="743"/>
      <c r="AD211" s="743"/>
      <c r="AE211" s="743"/>
      <c r="AF211" s="743"/>
      <c r="AG211" s="733">
        <f t="shared" si="120"/>
        <v>0</v>
      </c>
      <c r="AH211" s="208">
        <f t="shared" si="121"/>
        <v>0</v>
      </c>
      <c r="AI211" s="208">
        <f t="shared" si="122"/>
        <v>0</v>
      </c>
      <c r="AJ211" s="208">
        <f t="shared" si="123"/>
        <v>0</v>
      </c>
      <c r="AK211" s="208">
        <f t="shared" si="124"/>
        <v>0</v>
      </c>
      <c r="AL211" s="208">
        <f t="shared" si="125"/>
        <v>0</v>
      </c>
      <c r="AM211" s="805"/>
      <c r="AN211" s="746">
        <f t="shared" si="135"/>
        <v>0</v>
      </c>
      <c r="AO211" s="746">
        <f t="shared" si="135"/>
        <v>0</v>
      </c>
      <c r="AP211" s="746">
        <f t="shared" si="135"/>
        <v>0</v>
      </c>
      <c r="AQ211" s="746">
        <f t="shared" si="134"/>
        <v>0</v>
      </c>
      <c r="AR211" s="746">
        <f t="shared" si="134"/>
        <v>0</v>
      </c>
      <c r="AS211" s="746">
        <f t="shared" si="134"/>
        <v>0</v>
      </c>
      <c r="AT211" s="746">
        <f t="shared" si="134"/>
        <v>0</v>
      </c>
      <c r="AU211" s="746">
        <f t="shared" si="134"/>
        <v>0</v>
      </c>
      <c r="AV211" s="746">
        <f t="shared" si="134"/>
        <v>0</v>
      </c>
      <c r="AW211" s="746">
        <f t="shared" si="134"/>
        <v>0</v>
      </c>
      <c r="AX211" s="746">
        <f t="shared" si="134"/>
        <v>0</v>
      </c>
      <c r="AY211" s="746">
        <f t="shared" si="134"/>
        <v>0</v>
      </c>
      <c r="AZ211" s="733">
        <f t="shared" si="126"/>
        <v>0</v>
      </c>
      <c r="BA211" s="636">
        <f t="shared" si="127"/>
        <v>0</v>
      </c>
      <c r="BB211" s="636">
        <f t="shared" si="128"/>
        <v>0</v>
      </c>
      <c r="BC211" s="636">
        <f t="shared" si="129"/>
        <v>0</v>
      </c>
      <c r="BD211" s="636">
        <f t="shared" si="130"/>
        <v>0</v>
      </c>
      <c r="BE211" s="735">
        <f t="shared" si="131"/>
        <v>0</v>
      </c>
      <c r="BF211" s="806"/>
      <c r="BG211" s="806"/>
      <c r="BH211" s="806"/>
      <c r="BI211" s="806"/>
      <c r="BJ211" s="680"/>
      <c r="BK211" s="680"/>
      <c r="BL211" s="680"/>
      <c r="BM211" s="680"/>
      <c r="BN211" s="680"/>
    </row>
    <row r="212" spans="1:66" ht="12.75">
      <c r="A212" s="802"/>
      <c r="B212" s="803"/>
      <c r="C212" s="820"/>
      <c r="D212" s="826"/>
      <c r="E212" s="829"/>
      <c r="F212" s="823"/>
      <c r="G212" s="823"/>
      <c r="H212" s="823"/>
      <c r="I212" s="740"/>
      <c r="J212" s="739"/>
      <c r="K212" s="686"/>
      <c r="L212" s="739"/>
      <c r="M212" s="740"/>
      <c r="N212" s="739"/>
      <c r="O212" s="740"/>
      <c r="P212" s="739"/>
      <c r="Q212" s="741"/>
      <c r="R212" s="742">
        <f t="shared" si="133"/>
        <v>0</v>
      </c>
      <c r="S212" s="742"/>
      <c r="T212" s="742"/>
      <c r="U212" s="743"/>
      <c r="V212" s="743"/>
      <c r="W212" s="743"/>
      <c r="X212" s="743"/>
      <c r="Y212" s="743"/>
      <c r="Z212" s="743"/>
      <c r="AA212" s="743"/>
      <c r="AB212" s="743"/>
      <c r="AC212" s="743"/>
      <c r="AD212" s="743"/>
      <c r="AE212" s="743"/>
      <c r="AF212" s="743"/>
      <c r="AG212" s="733">
        <f t="shared" si="120"/>
        <v>0</v>
      </c>
      <c r="AH212" s="208">
        <f t="shared" si="121"/>
        <v>0</v>
      </c>
      <c r="AI212" s="208">
        <f t="shared" si="122"/>
        <v>0</v>
      </c>
      <c r="AJ212" s="208">
        <f t="shared" si="123"/>
        <v>0</v>
      </c>
      <c r="AK212" s="208">
        <f t="shared" si="124"/>
        <v>0</v>
      </c>
      <c r="AL212" s="208">
        <f t="shared" si="125"/>
        <v>0</v>
      </c>
      <c r="AM212" s="805"/>
      <c r="AN212" s="746">
        <f t="shared" si="135"/>
        <v>0</v>
      </c>
      <c r="AO212" s="746">
        <f t="shared" si="135"/>
        <v>0</v>
      </c>
      <c r="AP212" s="746">
        <f t="shared" si="135"/>
        <v>0</v>
      </c>
      <c r="AQ212" s="746">
        <f t="shared" si="134"/>
        <v>0</v>
      </c>
      <c r="AR212" s="746">
        <f t="shared" si="134"/>
        <v>0</v>
      </c>
      <c r="AS212" s="746">
        <f t="shared" si="134"/>
        <v>0</v>
      </c>
      <c r="AT212" s="746">
        <f t="shared" si="134"/>
        <v>0</v>
      </c>
      <c r="AU212" s="746">
        <f t="shared" si="134"/>
        <v>0</v>
      </c>
      <c r="AV212" s="746">
        <f t="shared" si="134"/>
        <v>0</v>
      </c>
      <c r="AW212" s="746">
        <f t="shared" si="134"/>
        <v>0</v>
      </c>
      <c r="AX212" s="746">
        <f t="shared" si="134"/>
        <v>0</v>
      </c>
      <c r="AY212" s="746">
        <f t="shared" si="134"/>
        <v>0</v>
      </c>
      <c r="AZ212" s="733">
        <f t="shared" si="126"/>
        <v>0</v>
      </c>
      <c r="BA212" s="636">
        <f t="shared" si="127"/>
        <v>0</v>
      </c>
      <c r="BB212" s="636">
        <f t="shared" si="128"/>
        <v>0</v>
      </c>
      <c r="BC212" s="636">
        <f t="shared" si="129"/>
        <v>0</v>
      </c>
      <c r="BD212" s="636">
        <f t="shared" si="130"/>
        <v>0</v>
      </c>
      <c r="BE212" s="735">
        <f t="shared" si="131"/>
        <v>0</v>
      </c>
      <c r="BF212" s="806"/>
      <c r="BG212" s="806"/>
      <c r="BH212" s="806"/>
      <c r="BI212" s="806"/>
      <c r="BJ212" s="680"/>
      <c r="BK212" s="680"/>
      <c r="BL212" s="680"/>
      <c r="BM212" s="680"/>
      <c r="BN212" s="680"/>
    </row>
    <row r="213" spans="1:66" s="708" customFormat="1" ht="12.75">
      <c r="A213" s="833" t="s">
        <v>26</v>
      </c>
      <c r="B213" s="834" t="s">
        <v>26</v>
      </c>
      <c r="C213" s="820" t="s">
        <v>26</v>
      </c>
      <c r="D213" s="821" t="s">
        <v>26</v>
      </c>
      <c r="E213" s="822" t="s">
        <v>509</v>
      </c>
      <c r="F213" s="835"/>
      <c r="G213" s="835">
        <v>344.42263475999999</v>
      </c>
      <c r="H213" s="835">
        <v>230.08454959999997</v>
      </c>
      <c r="I213" s="836">
        <f>IF(ISERROR((H213-G213)/G213),0,((H213-G213)/G213))</f>
        <v>-0.33197029933782629</v>
      </c>
      <c r="J213" s="837">
        <v>221.28038000000004</v>
      </c>
      <c r="K213" s="838">
        <v>110</v>
      </c>
      <c r="L213" s="837">
        <f>J213+K213</f>
        <v>331.28038000000004</v>
      </c>
      <c r="M213" s="836">
        <f>IF(ISERROR((L213-H213)/H213),0,((L213-H213)/H213))</f>
        <v>0.43982019034275943</v>
      </c>
      <c r="N213" s="837">
        <f>SUM(N195:N212)</f>
        <v>348</v>
      </c>
      <c r="O213" s="836">
        <f>IF(ISERROR((N213-L213)/L213),0,((N213-L213)/L213))</f>
        <v>5.0469695790616886E-2</v>
      </c>
      <c r="P213" s="837"/>
      <c r="Q213" s="839"/>
      <c r="R213" s="840">
        <f>SUM(R195:R212)</f>
        <v>8.1549999999999994</v>
      </c>
      <c r="S213" s="841"/>
      <c r="T213" s="841"/>
      <c r="U213" s="837">
        <f t="shared" ref="U213:AF213" si="137">SUM(U195:U212)</f>
        <v>29</v>
      </c>
      <c r="V213" s="837">
        <f t="shared" si="137"/>
        <v>29</v>
      </c>
      <c r="W213" s="842">
        <f t="shared" si="137"/>
        <v>29</v>
      </c>
      <c r="X213" s="842">
        <f t="shared" si="137"/>
        <v>29</v>
      </c>
      <c r="Y213" s="842">
        <f t="shared" si="137"/>
        <v>29</v>
      </c>
      <c r="Z213" s="842">
        <f t="shared" si="137"/>
        <v>29</v>
      </c>
      <c r="AA213" s="842">
        <f t="shared" si="137"/>
        <v>29</v>
      </c>
      <c r="AB213" s="842">
        <f t="shared" si="137"/>
        <v>29</v>
      </c>
      <c r="AC213" s="842">
        <f t="shared" si="137"/>
        <v>29</v>
      </c>
      <c r="AD213" s="842">
        <f t="shared" si="137"/>
        <v>29</v>
      </c>
      <c r="AE213" s="842">
        <f t="shared" si="137"/>
        <v>29</v>
      </c>
      <c r="AF213" s="842">
        <f t="shared" si="137"/>
        <v>29</v>
      </c>
      <c r="AG213" s="733">
        <f t="shared" si="120"/>
        <v>0</v>
      </c>
      <c r="AH213" s="208">
        <f t="shared" si="121"/>
        <v>87</v>
      </c>
      <c r="AI213" s="208">
        <f t="shared" si="122"/>
        <v>87</v>
      </c>
      <c r="AJ213" s="208">
        <f t="shared" si="123"/>
        <v>87</v>
      </c>
      <c r="AK213" s="208">
        <f t="shared" si="124"/>
        <v>87</v>
      </c>
      <c r="AL213" s="208">
        <f t="shared" si="125"/>
        <v>348</v>
      </c>
      <c r="AM213" s="843"/>
      <c r="AN213" s="840">
        <f>SUM(AN195:AN212)</f>
        <v>0.67958333333333332</v>
      </c>
      <c r="AO213" s="840">
        <f t="shared" ref="AO213:AY213" si="138">SUM(AO195:AO212)</f>
        <v>0.67958333333333332</v>
      </c>
      <c r="AP213" s="840">
        <f t="shared" si="138"/>
        <v>0.67958333333333332</v>
      </c>
      <c r="AQ213" s="840">
        <f t="shared" si="138"/>
        <v>0.67958333333333332</v>
      </c>
      <c r="AR213" s="840">
        <f t="shared" si="138"/>
        <v>0.67958333333333332</v>
      </c>
      <c r="AS213" s="840">
        <f t="shared" si="138"/>
        <v>0.67958333333333332</v>
      </c>
      <c r="AT213" s="840">
        <f t="shared" si="138"/>
        <v>0.67958333333333332</v>
      </c>
      <c r="AU213" s="840">
        <f t="shared" si="138"/>
        <v>0.67958333333333332</v>
      </c>
      <c r="AV213" s="840">
        <f t="shared" si="138"/>
        <v>0.67958333333333332</v>
      </c>
      <c r="AW213" s="840">
        <f t="shared" si="138"/>
        <v>0.67958333333333332</v>
      </c>
      <c r="AX213" s="840">
        <f t="shared" si="138"/>
        <v>0.67958333333333332</v>
      </c>
      <c r="AY213" s="840">
        <f t="shared" si="138"/>
        <v>0.67958333333333332</v>
      </c>
      <c r="AZ213" s="733">
        <f t="shared" si="126"/>
        <v>0</v>
      </c>
      <c r="BA213" s="636">
        <f t="shared" si="127"/>
        <v>2.0387499999999998</v>
      </c>
      <c r="BB213" s="636">
        <f t="shared" si="128"/>
        <v>2.0387499999999998</v>
      </c>
      <c r="BC213" s="636">
        <f t="shared" si="129"/>
        <v>2.0387499999999998</v>
      </c>
      <c r="BD213" s="636">
        <f t="shared" si="130"/>
        <v>2.0387499999999998</v>
      </c>
      <c r="BE213" s="735">
        <f t="shared" si="131"/>
        <v>8.1549999999999994</v>
      </c>
      <c r="BF213" s="844"/>
      <c r="BG213" s="844"/>
      <c r="BH213" s="844"/>
      <c r="BI213" s="844"/>
      <c r="BJ213" s="707"/>
      <c r="BK213" s="707"/>
      <c r="BL213" s="707"/>
      <c r="BM213" s="707"/>
      <c r="BN213" s="707"/>
    </row>
    <row r="214" spans="1:66" ht="12.75">
      <c r="A214" s="802" t="s">
        <v>532</v>
      </c>
      <c r="B214" s="803"/>
      <c r="C214" s="825" t="s">
        <v>533</v>
      </c>
      <c r="D214" s="826" t="s">
        <v>28</v>
      </c>
      <c r="E214" s="829" t="str">
        <f t="shared" ref="E214:E234" si="139">A214</f>
        <v>Instaclenz HS</v>
      </c>
      <c r="F214" s="823"/>
      <c r="G214" s="823"/>
      <c r="H214" s="823"/>
      <c r="I214" s="740"/>
      <c r="J214" s="739"/>
      <c r="K214" s="686"/>
      <c r="L214" s="739"/>
      <c r="M214" s="740"/>
      <c r="N214" s="781">
        <v>0.06</v>
      </c>
      <c r="O214" s="740"/>
      <c r="P214" s="739">
        <v>1781314.3998148313</v>
      </c>
      <c r="Q214" s="741"/>
      <c r="R214" s="742">
        <f t="shared" si="133"/>
        <v>1.0687886398888988E-2</v>
      </c>
      <c r="S214" s="742"/>
      <c r="T214" s="742"/>
      <c r="U214" s="743"/>
      <c r="V214" s="743"/>
      <c r="W214" s="746">
        <f>N214/3</f>
        <v>0.02</v>
      </c>
      <c r="X214" s="743"/>
      <c r="Y214" s="743"/>
      <c r="Z214" s="743">
        <f>W214</f>
        <v>0.02</v>
      </c>
      <c r="AA214" s="743"/>
      <c r="AB214" s="743"/>
      <c r="AC214" s="743">
        <f>Z214</f>
        <v>0.02</v>
      </c>
      <c r="AD214" s="744"/>
      <c r="AE214" s="744"/>
      <c r="AF214" s="745"/>
      <c r="AG214" s="733">
        <f t="shared" si="120"/>
        <v>0</v>
      </c>
      <c r="AH214" s="208">
        <f t="shared" si="121"/>
        <v>0.02</v>
      </c>
      <c r="AI214" s="208">
        <f t="shared" si="122"/>
        <v>0.02</v>
      </c>
      <c r="AJ214" s="208">
        <f t="shared" si="123"/>
        <v>0.02</v>
      </c>
      <c r="AK214" s="208">
        <f t="shared" si="124"/>
        <v>0</v>
      </c>
      <c r="AL214" s="208">
        <f t="shared" si="125"/>
        <v>0.06</v>
      </c>
      <c r="AM214" s="805"/>
      <c r="AN214" s="746">
        <f t="shared" si="135"/>
        <v>0</v>
      </c>
      <c r="AO214" s="746">
        <f t="shared" si="135"/>
        <v>0</v>
      </c>
      <c r="AP214" s="746">
        <f t="shared" si="135"/>
        <v>3.5626287996296624E-3</v>
      </c>
      <c r="AQ214" s="746">
        <f t="shared" si="135"/>
        <v>0</v>
      </c>
      <c r="AR214" s="746">
        <f t="shared" si="135"/>
        <v>0</v>
      </c>
      <c r="AS214" s="746">
        <f t="shared" si="135"/>
        <v>3.5626287996296624E-3</v>
      </c>
      <c r="AT214" s="746">
        <f t="shared" si="135"/>
        <v>0</v>
      </c>
      <c r="AU214" s="746">
        <f t="shared" si="135"/>
        <v>0</v>
      </c>
      <c r="AV214" s="746">
        <f t="shared" si="135"/>
        <v>3.5626287996296624E-3</v>
      </c>
      <c r="AW214" s="746">
        <f t="shared" si="135"/>
        <v>0</v>
      </c>
      <c r="AX214" s="746">
        <f t="shared" si="135"/>
        <v>0</v>
      </c>
      <c r="AY214" s="746">
        <f t="shared" si="135"/>
        <v>0</v>
      </c>
      <c r="AZ214" s="733">
        <f t="shared" si="126"/>
        <v>0</v>
      </c>
      <c r="BA214" s="636">
        <f t="shared" si="127"/>
        <v>3.5626287996296624E-3</v>
      </c>
      <c r="BB214" s="636">
        <f t="shared" si="128"/>
        <v>3.5626287996296624E-3</v>
      </c>
      <c r="BC214" s="636">
        <f t="shared" si="129"/>
        <v>3.5626287996296624E-3</v>
      </c>
      <c r="BD214" s="636">
        <f t="shared" si="130"/>
        <v>0</v>
      </c>
      <c r="BE214" s="735">
        <f t="shared" si="131"/>
        <v>1.0687886398888987E-2</v>
      </c>
      <c r="BF214" s="806"/>
      <c r="BG214" s="806"/>
      <c r="BH214" s="806"/>
      <c r="BI214" s="806"/>
      <c r="BJ214" s="680"/>
      <c r="BK214" s="680"/>
      <c r="BL214" s="680"/>
      <c r="BM214" s="680"/>
      <c r="BN214" s="680"/>
    </row>
    <row r="215" spans="1:66" ht="12.75">
      <c r="A215" s="802" t="s">
        <v>534</v>
      </c>
      <c r="B215" s="803"/>
      <c r="C215" s="825" t="s">
        <v>535</v>
      </c>
      <c r="D215" s="826" t="s">
        <v>28</v>
      </c>
      <c r="E215" s="829" t="str">
        <f t="shared" si="139"/>
        <v>Frigerm HS</v>
      </c>
      <c r="F215" s="823"/>
      <c r="G215" s="823"/>
      <c r="H215" s="823"/>
      <c r="I215" s="740"/>
      <c r="J215" s="739"/>
      <c r="K215" s="686"/>
      <c r="L215" s="739"/>
      <c r="M215" s="740"/>
      <c r="N215" s="781">
        <v>0.63</v>
      </c>
      <c r="O215" s="740"/>
      <c r="P215" s="739">
        <v>4444325.9178883759</v>
      </c>
      <c r="Q215" s="741"/>
      <c r="R215" s="742">
        <f t="shared" si="133"/>
        <v>0.27999253282696768</v>
      </c>
      <c r="S215" s="742"/>
      <c r="T215" s="742"/>
      <c r="U215" s="743"/>
      <c r="V215" s="743"/>
      <c r="W215" s="746">
        <f>N215/3</f>
        <v>0.21</v>
      </c>
      <c r="X215" s="743"/>
      <c r="Y215" s="743"/>
      <c r="Z215" s="743">
        <f>W215</f>
        <v>0.21</v>
      </c>
      <c r="AA215" s="743"/>
      <c r="AB215" s="743"/>
      <c r="AC215" s="743">
        <f>Z215</f>
        <v>0.21</v>
      </c>
      <c r="AD215" s="744"/>
      <c r="AE215" s="744"/>
      <c r="AF215" s="745"/>
      <c r="AG215" s="733">
        <f t="shared" si="120"/>
        <v>0</v>
      </c>
      <c r="AH215" s="208">
        <f t="shared" si="121"/>
        <v>0.21</v>
      </c>
      <c r="AI215" s="208">
        <f t="shared" si="122"/>
        <v>0.21</v>
      </c>
      <c r="AJ215" s="208">
        <f t="shared" si="123"/>
        <v>0.21</v>
      </c>
      <c r="AK215" s="208">
        <f t="shared" si="124"/>
        <v>0</v>
      </c>
      <c r="AL215" s="208">
        <f t="shared" si="125"/>
        <v>0.63</v>
      </c>
      <c r="AM215" s="805"/>
      <c r="AN215" s="746">
        <f t="shared" si="135"/>
        <v>0</v>
      </c>
      <c r="AO215" s="746">
        <f t="shared" si="135"/>
        <v>0</v>
      </c>
      <c r="AP215" s="746">
        <f t="shared" si="135"/>
        <v>9.3330844275655883E-2</v>
      </c>
      <c r="AQ215" s="746">
        <f t="shared" si="135"/>
        <v>0</v>
      </c>
      <c r="AR215" s="746">
        <f t="shared" si="135"/>
        <v>0</v>
      </c>
      <c r="AS215" s="746">
        <f t="shared" si="135"/>
        <v>9.3330844275655883E-2</v>
      </c>
      <c r="AT215" s="746">
        <f t="shared" si="135"/>
        <v>0</v>
      </c>
      <c r="AU215" s="746">
        <f t="shared" si="135"/>
        <v>0</v>
      </c>
      <c r="AV215" s="746">
        <f t="shared" si="135"/>
        <v>9.3330844275655883E-2</v>
      </c>
      <c r="AW215" s="746">
        <f t="shared" si="135"/>
        <v>0</v>
      </c>
      <c r="AX215" s="746">
        <f t="shared" si="135"/>
        <v>0</v>
      </c>
      <c r="AY215" s="746">
        <f t="shared" si="135"/>
        <v>0</v>
      </c>
      <c r="AZ215" s="733">
        <f t="shared" si="126"/>
        <v>0</v>
      </c>
      <c r="BA215" s="636">
        <f t="shared" si="127"/>
        <v>9.3330844275655883E-2</v>
      </c>
      <c r="BB215" s="636">
        <f t="shared" si="128"/>
        <v>9.3330844275655883E-2</v>
      </c>
      <c r="BC215" s="636">
        <f t="shared" si="129"/>
        <v>9.3330844275655883E-2</v>
      </c>
      <c r="BD215" s="636">
        <f t="shared" si="130"/>
        <v>0</v>
      </c>
      <c r="BE215" s="735">
        <f t="shared" si="131"/>
        <v>0.27999253282696768</v>
      </c>
      <c r="BF215" s="806"/>
      <c r="BG215" s="806"/>
      <c r="BH215" s="806"/>
      <c r="BI215" s="806"/>
      <c r="BJ215" s="680"/>
      <c r="BK215" s="680"/>
      <c r="BL215" s="680"/>
      <c r="BM215" s="680"/>
      <c r="BN215" s="680"/>
    </row>
    <row r="216" spans="1:66" ht="12.75">
      <c r="A216" s="802" t="s">
        <v>536</v>
      </c>
      <c r="B216" s="803"/>
      <c r="C216" s="825" t="s">
        <v>537</v>
      </c>
      <c r="D216" s="826" t="s">
        <v>28</v>
      </c>
      <c r="E216" s="829" t="str">
        <f t="shared" si="139"/>
        <v>Nycil Liquid 100 ml</v>
      </c>
      <c r="F216" s="823"/>
      <c r="G216" s="823"/>
      <c r="H216" s="823"/>
      <c r="I216" s="740"/>
      <c r="J216" s="739"/>
      <c r="K216" s="686"/>
      <c r="L216" s="739">
        <f t="shared" ref="L216:L243" si="140">J216+K216</f>
        <v>0</v>
      </c>
      <c r="M216" s="740"/>
      <c r="N216" s="845">
        <f>50*0</f>
        <v>0</v>
      </c>
      <c r="O216" s="740"/>
      <c r="P216" s="739">
        <v>1330948.3393877454</v>
      </c>
      <c r="Q216" s="741"/>
      <c r="R216" s="769">
        <f>P216*N216/10^7</f>
        <v>0</v>
      </c>
      <c r="S216" s="742"/>
      <c r="T216" s="742"/>
      <c r="U216" s="743"/>
      <c r="V216" s="743"/>
      <c r="W216" s="746">
        <f>N216/3</f>
        <v>0</v>
      </c>
      <c r="X216" s="743"/>
      <c r="Y216" s="743"/>
      <c r="Z216" s="743"/>
      <c r="AA216" s="743"/>
      <c r="AB216" s="743"/>
      <c r="AC216" s="743"/>
      <c r="AD216" s="744"/>
      <c r="AE216" s="744"/>
      <c r="AF216" s="745"/>
      <c r="AG216" s="733">
        <f t="shared" si="120"/>
        <v>0</v>
      </c>
      <c r="AH216" s="208">
        <f t="shared" si="121"/>
        <v>0</v>
      </c>
      <c r="AI216" s="208">
        <f t="shared" si="122"/>
        <v>0</v>
      </c>
      <c r="AJ216" s="208">
        <f t="shared" si="123"/>
        <v>0</v>
      </c>
      <c r="AK216" s="208">
        <f t="shared" si="124"/>
        <v>0</v>
      </c>
      <c r="AL216" s="208">
        <f t="shared" si="125"/>
        <v>0</v>
      </c>
      <c r="AM216" s="805"/>
      <c r="AN216" s="746">
        <f t="shared" si="135"/>
        <v>0</v>
      </c>
      <c r="AO216" s="746">
        <f t="shared" si="135"/>
        <v>0</v>
      </c>
      <c r="AP216" s="746">
        <f t="shared" si="135"/>
        <v>0</v>
      </c>
      <c r="AQ216" s="746">
        <f t="shared" si="135"/>
        <v>0</v>
      </c>
      <c r="AR216" s="746">
        <f t="shared" si="135"/>
        <v>0</v>
      </c>
      <c r="AS216" s="746">
        <f t="shared" si="135"/>
        <v>0</v>
      </c>
      <c r="AT216" s="746">
        <f t="shared" si="135"/>
        <v>0</v>
      </c>
      <c r="AU216" s="746">
        <f t="shared" si="135"/>
        <v>0</v>
      </c>
      <c r="AV216" s="746">
        <f t="shared" si="135"/>
        <v>0</v>
      </c>
      <c r="AW216" s="746">
        <f t="shared" si="135"/>
        <v>0</v>
      </c>
      <c r="AX216" s="746">
        <f t="shared" si="135"/>
        <v>0</v>
      </c>
      <c r="AY216" s="746">
        <f t="shared" si="135"/>
        <v>0</v>
      </c>
      <c r="AZ216" s="733">
        <f t="shared" si="126"/>
        <v>0</v>
      </c>
      <c r="BA216" s="636">
        <f t="shared" si="127"/>
        <v>0</v>
      </c>
      <c r="BB216" s="636">
        <f t="shared" si="128"/>
        <v>0</v>
      </c>
      <c r="BC216" s="636">
        <f t="shared" si="129"/>
        <v>0</v>
      </c>
      <c r="BD216" s="636">
        <f t="shared" si="130"/>
        <v>0</v>
      </c>
      <c r="BE216" s="735">
        <f t="shared" si="131"/>
        <v>0</v>
      </c>
      <c r="BF216" s="806"/>
      <c r="BG216" s="806"/>
      <c r="BH216" s="806"/>
      <c r="BI216" s="806"/>
      <c r="BJ216" s="680"/>
      <c r="BK216" s="680"/>
      <c r="BL216" s="680"/>
      <c r="BM216" s="680"/>
      <c r="BN216" s="680"/>
    </row>
    <row r="217" spans="1:66" ht="12.75">
      <c r="A217" s="802"/>
      <c r="B217" s="803"/>
      <c r="C217" s="825"/>
      <c r="D217" s="826"/>
      <c r="E217" s="829"/>
      <c r="F217" s="823"/>
      <c r="G217" s="823"/>
      <c r="H217" s="823"/>
      <c r="I217" s="740"/>
      <c r="J217" s="739"/>
      <c r="K217" s="686"/>
      <c r="L217" s="739">
        <f t="shared" si="140"/>
        <v>0</v>
      </c>
      <c r="M217" s="740"/>
      <c r="N217" s="781"/>
      <c r="O217" s="740"/>
      <c r="P217" s="739"/>
      <c r="Q217" s="741"/>
      <c r="R217" s="742"/>
      <c r="S217" s="742"/>
      <c r="T217" s="742"/>
      <c r="U217" s="743"/>
      <c r="V217" s="743"/>
      <c r="W217" s="743"/>
      <c r="X217" s="743"/>
      <c r="Y217" s="743"/>
      <c r="Z217" s="743"/>
      <c r="AA217" s="743"/>
      <c r="AB217" s="743"/>
      <c r="AC217" s="743"/>
      <c r="AD217" s="744"/>
      <c r="AE217" s="744"/>
      <c r="AF217" s="745"/>
      <c r="AG217" s="733">
        <f t="shared" si="120"/>
        <v>0</v>
      </c>
      <c r="AH217" s="208">
        <f t="shared" si="121"/>
        <v>0</v>
      </c>
      <c r="AI217" s="208">
        <f t="shared" si="122"/>
        <v>0</v>
      </c>
      <c r="AJ217" s="208">
        <f t="shared" si="123"/>
        <v>0</v>
      </c>
      <c r="AK217" s="208">
        <f t="shared" si="124"/>
        <v>0</v>
      </c>
      <c r="AL217" s="208">
        <f t="shared" si="125"/>
        <v>0</v>
      </c>
      <c r="AM217" s="805"/>
      <c r="AN217" s="746">
        <f t="shared" si="135"/>
        <v>0</v>
      </c>
      <c r="AO217" s="746">
        <f t="shared" si="135"/>
        <v>0</v>
      </c>
      <c r="AP217" s="746">
        <f t="shared" si="135"/>
        <v>0</v>
      </c>
      <c r="AQ217" s="746">
        <f t="shared" si="135"/>
        <v>0</v>
      </c>
      <c r="AR217" s="746">
        <f t="shared" si="135"/>
        <v>0</v>
      </c>
      <c r="AS217" s="746">
        <f t="shared" si="135"/>
        <v>0</v>
      </c>
      <c r="AT217" s="746">
        <f t="shared" si="135"/>
        <v>0</v>
      </c>
      <c r="AU217" s="746">
        <f t="shared" si="135"/>
        <v>0</v>
      </c>
      <c r="AV217" s="746">
        <f t="shared" si="135"/>
        <v>0</v>
      </c>
      <c r="AW217" s="746">
        <f t="shared" si="135"/>
        <v>0</v>
      </c>
      <c r="AX217" s="746">
        <f t="shared" si="135"/>
        <v>0</v>
      </c>
      <c r="AY217" s="746">
        <f t="shared" si="135"/>
        <v>0</v>
      </c>
      <c r="AZ217" s="733">
        <f t="shared" si="126"/>
        <v>0</v>
      </c>
      <c r="BA217" s="636">
        <f t="shared" si="127"/>
        <v>0</v>
      </c>
      <c r="BB217" s="636">
        <f t="shared" si="128"/>
        <v>0</v>
      </c>
      <c r="BC217" s="636">
        <f t="shared" si="129"/>
        <v>0</v>
      </c>
      <c r="BD217" s="636">
        <f t="shared" si="130"/>
        <v>0</v>
      </c>
      <c r="BE217" s="735">
        <f t="shared" si="131"/>
        <v>0</v>
      </c>
      <c r="BF217" s="806"/>
      <c r="BG217" s="806"/>
      <c r="BH217" s="806"/>
      <c r="BI217" s="806"/>
      <c r="BJ217" s="680"/>
      <c r="BK217" s="680"/>
      <c r="BL217" s="680"/>
      <c r="BM217" s="680"/>
      <c r="BN217" s="680"/>
    </row>
    <row r="218" spans="1:66" ht="12.75">
      <c r="A218" s="802" t="s">
        <v>538</v>
      </c>
      <c r="B218" s="803"/>
      <c r="C218" s="825" t="s">
        <v>539</v>
      </c>
      <c r="D218" s="826" t="s">
        <v>28</v>
      </c>
      <c r="E218" s="829" t="str">
        <f t="shared" si="139"/>
        <v>Mouthwash -500</v>
      </c>
      <c r="F218" s="823"/>
      <c r="G218" s="823"/>
      <c r="H218" s="823"/>
      <c r="I218" s="740"/>
      <c r="J218" s="739"/>
      <c r="K218" s="686"/>
      <c r="L218" s="739">
        <f t="shared" si="140"/>
        <v>0</v>
      </c>
      <c r="M218" s="740"/>
      <c r="N218" s="781">
        <v>0</v>
      </c>
      <c r="O218" s="740"/>
      <c r="P218" s="739"/>
      <c r="Q218" s="741"/>
      <c r="R218" s="742">
        <f t="shared" si="133"/>
        <v>0</v>
      </c>
      <c r="S218" s="742"/>
      <c r="T218" s="742"/>
      <c r="U218" s="743"/>
      <c r="V218" s="743"/>
      <c r="W218" s="743"/>
      <c r="X218" s="743"/>
      <c r="Y218" s="743"/>
      <c r="Z218" s="743"/>
      <c r="AA218" s="743"/>
      <c r="AB218" s="743"/>
      <c r="AC218" s="743"/>
      <c r="AD218" s="744"/>
      <c r="AE218" s="744"/>
      <c r="AF218" s="745"/>
      <c r="AG218" s="733">
        <f t="shared" si="120"/>
        <v>0</v>
      </c>
      <c r="AH218" s="208">
        <f t="shared" si="121"/>
        <v>0</v>
      </c>
      <c r="AI218" s="208">
        <f t="shared" si="122"/>
        <v>0</v>
      </c>
      <c r="AJ218" s="208">
        <f t="shared" si="123"/>
        <v>0</v>
      </c>
      <c r="AK218" s="208">
        <f t="shared" si="124"/>
        <v>0</v>
      </c>
      <c r="AL218" s="208">
        <f t="shared" si="125"/>
        <v>0</v>
      </c>
      <c r="AM218" s="805"/>
      <c r="AN218" s="746">
        <f t="shared" si="135"/>
        <v>0</v>
      </c>
      <c r="AO218" s="746">
        <f t="shared" si="135"/>
        <v>0</v>
      </c>
      <c r="AP218" s="746">
        <f t="shared" si="135"/>
        <v>0</v>
      </c>
      <c r="AQ218" s="746">
        <f t="shared" si="135"/>
        <v>0</v>
      </c>
      <c r="AR218" s="746">
        <f t="shared" si="135"/>
        <v>0</v>
      </c>
      <c r="AS218" s="746">
        <f t="shared" si="135"/>
        <v>0</v>
      </c>
      <c r="AT218" s="746">
        <f t="shared" si="135"/>
        <v>0</v>
      </c>
      <c r="AU218" s="746">
        <f t="shared" si="135"/>
        <v>0</v>
      </c>
      <c r="AV218" s="746">
        <f t="shared" si="135"/>
        <v>0</v>
      </c>
      <c r="AW218" s="746">
        <f t="shared" si="135"/>
        <v>0</v>
      </c>
      <c r="AX218" s="746">
        <f t="shared" si="135"/>
        <v>0</v>
      </c>
      <c r="AY218" s="746">
        <f t="shared" si="135"/>
        <v>0</v>
      </c>
      <c r="AZ218" s="733">
        <f t="shared" si="126"/>
        <v>0</v>
      </c>
      <c r="BA218" s="636">
        <f t="shared" si="127"/>
        <v>0</v>
      </c>
      <c r="BB218" s="636">
        <f t="shared" si="128"/>
        <v>0</v>
      </c>
      <c r="BC218" s="636">
        <f t="shared" si="129"/>
        <v>0</v>
      </c>
      <c r="BD218" s="636">
        <f t="shared" si="130"/>
        <v>0</v>
      </c>
      <c r="BE218" s="735">
        <f t="shared" si="131"/>
        <v>0</v>
      </c>
      <c r="BF218" s="806"/>
      <c r="BG218" s="806"/>
      <c r="BH218" s="806"/>
      <c r="BI218" s="806"/>
      <c r="BJ218" s="680"/>
      <c r="BK218" s="680"/>
      <c r="BL218" s="680"/>
      <c r="BM218" s="680"/>
      <c r="BN218" s="680"/>
    </row>
    <row r="219" spans="1:66" ht="12.75">
      <c r="A219" s="802" t="s">
        <v>540</v>
      </c>
      <c r="B219" s="803"/>
      <c r="C219" s="825" t="s">
        <v>541</v>
      </c>
      <c r="D219" s="826" t="s">
        <v>28</v>
      </c>
      <c r="E219" s="829" t="str">
        <f t="shared" si="139"/>
        <v>Hand RUB</v>
      </c>
      <c r="F219" s="823"/>
      <c r="G219" s="823"/>
      <c r="H219" s="823"/>
      <c r="I219" s="740"/>
      <c r="J219" s="739"/>
      <c r="K219" s="686"/>
      <c r="L219" s="739">
        <f t="shared" si="140"/>
        <v>0</v>
      </c>
      <c r="M219" s="740"/>
      <c r="N219" s="781">
        <v>0</v>
      </c>
      <c r="O219" s="740"/>
      <c r="P219" s="739"/>
      <c r="Q219" s="741"/>
      <c r="R219" s="742">
        <f t="shared" si="133"/>
        <v>0</v>
      </c>
      <c r="S219" s="742"/>
      <c r="T219" s="742"/>
      <c r="U219" s="743"/>
      <c r="V219" s="743"/>
      <c r="W219" s="743"/>
      <c r="X219" s="743"/>
      <c r="Y219" s="743"/>
      <c r="Z219" s="743"/>
      <c r="AA219" s="743"/>
      <c r="AB219" s="743"/>
      <c r="AC219" s="743"/>
      <c r="AD219" s="744"/>
      <c r="AE219" s="744"/>
      <c r="AF219" s="745"/>
      <c r="AG219" s="733">
        <f t="shared" si="120"/>
        <v>0</v>
      </c>
      <c r="AH219" s="208">
        <f t="shared" si="121"/>
        <v>0</v>
      </c>
      <c r="AI219" s="208">
        <f t="shared" si="122"/>
        <v>0</v>
      </c>
      <c r="AJ219" s="208">
        <f t="shared" si="123"/>
        <v>0</v>
      </c>
      <c r="AK219" s="208">
        <f t="shared" si="124"/>
        <v>0</v>
      </c>
      <c r="AL219" s="208">
        <f t="shared" si="125"/>
        <v>0</v>
      </c>
      <c r="AM219" s="805"/>
      <c r="AN219" s="746">
        <f t="shared" si="135"/>
        <v>0</v>
      </c>
      <c r="AO219" s="746">
        <f t="shared" si="135"/>
        <v>0</v>
      </c>
      <c r="AP219" s="746">
        <f t="shared" si="135"/>
        <v>0</v>
      </c>
      <c r="AQ219" s="746">
        <f t="shared" si="135"/>
        <v>0</v>
      </c>
      <c r="AR219" s="746">
        <f t="shared" si="135"/>
        <v>0</v>
      </c>
      <c r="AS219" s="746">
        <f t="shared" si="135"/>
        <v>0</v>
      </c>
      <c r="AT219" s="746">
        <f t="shared" si="135"/>
        <v>0</v>
      </c>
      <c r="AU219" s="746">
        <f t="shared" si="135"/>
        <v>0</v>
      </c>
      <c r="AV219" s="746">
        <f t="shared" si="135"/>
        <v>0</v>
      </c>
      <c r="AW219" s="746">
        <f t="shared" si="135"/>
        <v>0</v>
      </c>
      <c r="AX219" s="746">
        <f t="shared" si="135"/>
        <v>0</v>
      </c>
      <c r="AY219" s="746">
        <f t="shared" si="135"/>
        <v>0</v>
      </c>
      <c r="AZ219" s="733">
        <f t="shared" si="126"/>
        <v>0</v>
      </c>
      <c r="BA219" s="636">
        <f t="shared" si="127"/>
        <v>0</v>
      </c>
      <c r="BB219" s="636">
        <f t="shared" si="128"/>
        <v>0</v>
      </c>
      <c r="BC219" s="636">
        <f t="shared" si="129"/>
        <v>0</v>
      </c>
      <c r="BD219" s="636">
        <f t="shared" si="130"/>
        <v>0</v>
      </c>
      <c r="BE219" s="735">
        <f t="shared" si="131"/>
        <v>0</v>
      </c>
      <c r="BF219" s="806"/>
      <c r="BG219" s="806"/>
      <c r="BH219" s="806"/>
      <c r="BI219" s="806"/>
      <c r="BJ219" s="680"/>
      <c r="BK219" s="680"/>
      <c r="BL219" s="680"/>
      <c r="BM219" s="680"/>
      <c r="BN219" s="680"/>
    </row>
    <row r="220" spans="1:66" ht="12.75">
      <c r="A220" s="802" t="s">
        <v>542</v>
      </c>
      <c r="B220" s="803"/>
      <c r="C220" s="825" t="s">
        <v>543</v>
      </c>
      <c r="D220" s="826" t="s">
        <v>28</v>
      </c>
      <c r="E220" s="829" t="str">
        <f t="shared" si="139"/>
        <v>Bactorub 100ml</v>
      </c>
      <c r="F220" s="823"/>
      <c r="G220" s="823"/>
      <c r="H220" s="823"/>
      <c r="I220" s="740"/>
      <c r="J220" s="739"/>
      <c r="K220" s="686"/>
      <c r="L220" s="739">
        <f t="shared" si="140"/>
        <v>0</v>
      </c>
      <c r="M220" s="740"/>
      <c r="N220" s="781">
        <v>2.4</v>
      </c>
      <c r="O220" s="740"/>
      <c r="P220" s="739">
        <v>2671491.084914247</v>
      </c>
      <c r="Q220" s="741"/>
      <c r="R220" s="742">
        <f t="shared" si="133"/>
        <v>0.64115786037941924</v>
      </c>
      <c r="S220" s="742"/>
      <c r="T220" s="742"/>
      <c r="U220" s="743"/>
      <c r="V220" s="743"/>
      <c r="W220" s="746">
        <f>N220/3</f>
        <v>0.79999999999999993</v>
      </c>
      <c r="X220" s="743"/>
      <c r="Y220" s="743"/>
      <c r="Z220" s="743">
        <f>W220</f>
        <v>0.79999999999999993</v>
      </c>
      <c r="AA220" s="743"/>
      <c r="AB220" s="743"/>
      <c r="AC220" s="743">
        <f>Z220</f>
        <v>0.79999999999999993</v>
      </c>
      <c r="AD220" s="744"/>
      <c r="AE220" s="744"/>
      <c r="AF220" s="745"/>
      <c r="AG220" s="733">
        <f t="shared" si="120"/>
        <v>0</v>
      </c>
      <c r="AH220" s="208">
        <f t="shared" si="121"/>
        <v>0.79999999999999993</v>
      </c>
      <c r="AI220" s="208">
        <f t="shared" si="122"/>
        <v>0.79999999999999993</v>
      </c>
      <c r="AJ220" s="208">
        <f t="shared" si="123"/>
        <v>0.79999999999999993</v>
      </c>
      <c r="AK220" s="208">
        <f t="shared" si="124"/>
        <v>0</v>
      </c>
      <c r="AL220" s="208">
        <f t="shared" si="125"/>
        <v>2.4</v>
      </c>
      <c r="AM220" s="805"/>
      <c r="AN220" s="746">
        <f t="shared" si="135"/>
        <v>0</v>
      </c>
      <c r="AO220" s="746">
        <f t="shared" si="135"/>
        <v>0</v>
      </c>
      <c r="AP220" s="746">
        <f t="shared" si="135"/>
        <v>0.21371928679313976</v>
      </c>
      <c r="AQ220" s="746">
        <f t="shared" si="135"/>
        <v>0</v>
      </c>
      <c r="AR220" s="746">
        <f t="shared" si="135"/>
        <v>0</v>
      </c>
      <c r="AS220" s="746">
        <f t="shared" si="135"/>
        <v>0.21371928679313976</v>
      </c>
      <c r="AT220" s="746">
        <f t="shared" si="135"/>
        <v>0</v>
      </c>
      <c r="AU220" s="746">
        <f t="shared" si="135"/>
        <v>0</v>
      </c>
      <c r="AV220" s="746">
        <f t="shared" si="135"/>
        <v>0.21371928679313976</v>
      </c>
      <c r="AW220" s="746">
        <f t="shared" si="135"/>
        <v>0</v>
      </c>
      <c r="AX220" s="746">
        <f t="shared" si="135"/>
        <v>0</v>
      </c>
      <c r="AY220" s="746">
        <f t="shared" si="135"/>
        <v>0</v>
      </c>
      <c r="AZ220" s="733">
        <f t="shared" si="126"/>
        <v>0</v>
      </c>
      <c r="BA220" s="636">
        <f t="shared" si="127"/>
        <v>0.21371928679313976</v>
      </c>
      <c r="BB220" s="636">
        <f t="shared" si="128"/>
        <v>0.21371928679313976</v>
      </c>
      <c r="BC220" s="636">
        <f t="shared" si="129"/>
        <v>0.21371928679313976</v>
      </c>
      <c r="BD220" s="636">
        <f t="shared" si="130"/>
        <v>0</v>
      </c>
      <c r="BE220" s="735">
        <f t="shared" si="131"/>
        <v>0.64115786037941924</v>
      </c>
      <c r="BF220" s="806"/>
      <c r="BG220" s="806"/>
      <c r="BH220" s="806"/>
      <c r="BI220" s="806"/>
      <c r="BJ220" s="680"/>
      <c r="BK220" s="680"/>
      <c r="BL220" s="680"/>
      <c r="BM220" s="680"/>
      <c r="BN220" s="680"/>
    </row>
    <row r="221" spans="1:66" ht="12.75">
      <c r="A221" s="802" t="s">
        <v>544</v>
      </c>
      <c r="B221" s="803"/>
      <c r="C221" s="825" t="s">
        <v>543</v>
      </c>
      <c r="D221" s="826" t="s">
        <v>28</v>
      </c>
      <c r="E221" s="829" t="str">
        <f t="shared" si="139"/>
        <v>Bactorub 500ml</v>
      </c>
      <c r="F221" s="823"/>
      <c r="G221" s="823"/>
      <c r="H221" s="823"/>
      <c r="I221" s="740"/>
      <c r="J221" s="739"/>
      <c r="K221" s="686">
        <v>0.89</v>
      </c>
      <c r="L221" s="739">
        <f t="shared" si="140"/>
        <v>0.89</v>
      </c>
      <c r="M221" s="740"/>
      <c r="N221" s="781">
        <v>2.4</v>
      </c>
      <c r="O221" s="740"/>
      <c r="P221" s="739">
        <v>6376501.3000000007</v>
      </c>
      <c r="Q221" s="741"/>
      <c r="R221" s="742">
        <f t="shared" si="133"/>
        <v>1.530360312</v>
      </c>
      <c r="S221" s="742"/>
      <c r="T221" s="742"/>
      <c r="U221" s="743"/>
      <c r="V221" s="743"/>
      <c r="W221" s="746">
        <f>N221/3</f>
        <v>0.79999999999999993</v>
      </c>
      <c r="X221" s="743"/>
      <c r="Y221" s="743"/>
      <c r="Z221" s="743">
        <f>W221</f>
        <v>0.79999999999999993</v>
      </c>
      <c r="AA221" s="743"/>
      <c r="AB221" s="743"/>
      <c r="AC221" s="743">
        <f>Z221</f>
        <v>0.79999999999999993</v>
      </c>
      <c r="AD221" s="744"/>
      <c r="AE221" s="744"/>
      <c r="AF221" s="745"/>
      <c r="AG221" s="733">
        <f t="shared" si="120"/>
        <v>0</v>
      </c>
      <c r="AH221" s="208">
        <f t="shared" si="121"/>
        <v>0.79999999999999993</v>
      </c>
      <c r="AI221" s="208">
        <f t="shared" si="122"/>
        <v>0.79999999999999993</v>
      </c>
      <c r="AJ221" s="208">
        <f t="shared" si="123"/>
        <v>0.79999999999999993</v>
      </c>
      <c r="AK221" s="208">
        <f t="shared" si="124"/>
        <v>0</v>
      </c>
      <c r="AL221" s="208">
        <f t="shared" si="125"/>
        <v>2.4</v>
      </c>
      <c r="AM221" s="805"/>
      <c r="AN221" s="746">
        <f t="shared" si="135"/>
        <v>0</v>
      </c>
      <c r="AO221" s="746">
        <f t="shared" si="135"/>
        <v>0</v>
      </c>
      <c r="AP221" s="746">
        <f t="shared" si="135"/>
        <v>0.51012010399999996</v>
      </c>
      <c r="AQ221" s="746">
        <f t="shared" si="135"/>
        <v>0</v>
      </c>
      <c r="AR221" s="746">
        <f t="shared" si="135"/>
        <v>0</v>
      </c>
      <c r="AS221" s="746">
        <f t="shared" si="135"/>
        <v>0.51012010399999996</v>
      </c>
      <c r="AT221" s="746">
        <f t="shared" si="135"/>
        <v>0</v>
      </c>
      <c r="AU221" s="746">
        <f t="shared" si="135"/>
        <v>0</v>
      </c>
      <c r="AV221" s="746">
        <f t="shared" si="135"/>
        <v>0.51012010399999996</v>
      </c>
      <c r="AW221" s="746">
        <f t="shared" si="135"/>
        <v>0</v>
      </c>
      <c r="AX221" s="746">
        <f t="shared" si="135"/>
        <v>0</v>
      </c>
      <c r="AY221" s="746">
        <f t="shared" si="135"/>
        <v>0</v>
      </c>
      <c r="AZ221" s="733">
        <f t="shared" si="126"/>
        <v>0</v>
      </c>
      <c r="BA221" s="636">
        <f t="shared" si="127"/>
        <v>0.51012010399999996</v>
      </c>
      <c r="BB221" s="636">
        <f t="shared" si="128"/>
        <v>0.51012010399999996</v>
      </c>
      <c r="BC221" s="636">
        <f t="shared" si="129"/>
        <v>0.51012010399999996</v>
      </c>
      <c r="BD221" s="636">
        <f t="shared" si="130"/>
        <v>0</v>
      </c>
      <c r="BE221" s="735">
        <f t="shared" si="131"/>
        <v>1.530360312</v>
      </c>
      <c r="BF221" s="806"/>
      <c r="BG221" s="806"/>
      <c r="BH221" s="806"/>
      <c r="BI221" s="806"/>
      <c r="BJ221" s="680"/>
      <c r="BK221" s="680"/>
      <c r="BL221" s="680"/>
      <c r="BM221" s="680"/>
      <c r="BN221" s="680"/>
    </row>
    <row r="222" spans="1:66" ht="12.75">
      <c r="A222" s="802" t="s">
        <v>545</v>
      </c>
      <c r="B222" s="803"/>
      <c r="C222" s="825" t="s">
        <v>543</v>
      </c>
      <c r="D222" s="826" t="s">
        <v>28</v>
      </c>
      <c r="E222" s="829" t="str">
        <f t="shared" si="139"/>
        <v>Bactorub 5L</v>
      </c>
      <c r="F222" s="823"/>
      <c r="G222" s="823"/>
      <c r="H222" s="823"/>
      <c r="I222" s="740"/>
      <c r="J222" s="739"/>
      <c r="K222" s="686"/>
      <c r="L222" s="739">
        <f t="shared" si="140"/>
        <v>0</v>
      </c>
      <c r="M222" s="740"/>
      <c r="N222" s="781">
        <v>0.32</v>
      </c>
      <c r="O222" s="740"/>
      <c r="P222" s="739">
        <v>49714836.745712332</v>
      </c>
      <c r="Q222" s="741"/>
      <c r="R222" s="742">
        <f t="shared" si="133"/>
        <v>1.5908747758627948</v>
      </c>
      <c r="S222" s="742"/>
      <c r="T222" s="742"/>
      <c r="U222" s="743"/>
      <c r="V222" s="743"/>
      <c r="W222" s="746">
        <f>N222/3</f>
        <v>0.10666666666666667</v>
      </c>
      <c r="X222" s="743"/>
      <c r="Y222" s="743"/>
      <c r="Z222" s="743">
        <f>W222</f>
        <v>0.10666666666666667</v>
      </c>
      <c r="AA222" s="743"/>
      <c r="AB222" s="743"/>
      <c r="AC222" s="743">
        <f>Z222</f>
        <v>0.10666666666666667</v>
      </c>
      <c r="AD222" s="744"/>
      <c r="AE222" s="744"/>
      <c r="AF222" s="745"/>
      <c r="AG222" s="733">
        <f t="shared" si="120"/>
        <v>0</v>
      </c>
      <c r="AH222" s="208">
        <f t="shared" si="121"/>
        <v>0.10666666666666667</v>
      </c>
      <c r="AI222" s="208">
        <f t="shared" si="122"/>
        <v>0.10666666666666667</v>
      </c>
      <c r="AJ222" s="208">
        <f t="shared" si="123"/>
        <v>0.10666666666666667</v>
      </c>
      <c r="AK222" s="208">
        <f t="shared" si="124"/>
        <v>0</v>
      </c>
      <c r="AL222" s="208">
        <f t="shared" si="125"/>
        <v>0.32</v>
      </c>
      <c r="AM222" s="805"/>
      <c r="AN222" s="746">
        <f t="shared" si="135"/>
        <v>0</v>
      </c>
      <c r="AO222" s="746">
        <f t="shared" si="135"/>
        <v>0</v>
      </c>
      <c r="AP222" s="746">
        <f t="shared" si="135"/>
        <v>0.5302915919542649</v>
      </c>
      <c r="AQ222" s="746">
        <f t="shared" si="135"/>
        <v>0</v>
      </c>
      <c r="AR222" s="746">
        <f t="shared" si="135"/>
        <v>0</v>
      </c>
      <c r="AS222" s="746">
        <f t="shared" si="135"/>
        <v>0.5302915919542649</v>
      </c>
      <c r="AT222" s="746">
        <f t="shared" si="135"/>
        <v>0</v>
      </c>
      <c r="AU222" s="746">
        <f t="shared" si="135"/>
        <v>0</v>
      </c>
      <c r="AV222" s="746">
        <f t="shared" si="135"/>
        <v>0.5302915919542649</v>
      </c>
      <c r="AW222" s="746">
        <f t="shared" si="135"/>
        <v>0</v>
      </c>
      <c r="AX222" s="746">
        <f t="shared" si="135"/>
        <v>0</v>
      </c>
      <c r="AY222" s="746">
        <f t="shared" si="135"/>
        <v>0</v>
      </c>
      <c r="AZ222" s="733">
        <f t="shared" si="126"/>
        <v>0</v>
      </c>
      <c r="BA222" s="636">
        <f t="shared" si="127"/>
        <v>0.5302915919542649</v>
      </c>
      <c r="BB222" s="636">
        <f t="shared" si="128"/>
        <v>0.5302915919542649</v>
      </c>
      <c r="BC222" s="636">
        <f t="shared" si="129"/>
        <v>0.5302915919542649</v>
      </c>
      <c r="BD222" s="636">
        <f t="shared" si="130"/>
        <v>0</v>
      </c>
      <c r="BE222" s="735">
        <f t="shared" si="131"/>
        <v>1.5908747758627948</v>
      </c>
      <c r="BF222" s="806"/>
      <c r="BG222" s="806"/>
      <c r="BH222" s="806"/>
      <c r="BI222" s="806"/>
      <c r="BJ222" s="680"/>
      <c r="BK222" s="680"/>
      <c r="BL222" s="680"/>
      <c r="BM222" s="680"/>
      <c r="BN222" s="680"/>
    </row>
    <row r="223" spans="1:66" ht="12.75">
      <c r="A223" s="802"/>
      <c r="B223" s="803"/>
      <c r="C223" s="820"/>
      <c r="D223" s="826" t="s">
        <v>28</v>
      </c>
      <c r="E223" s="829"/>
      <c r="F223" s="823"/>
      <c r="G223" s="823"/>
      <c r="H223" s="823"/>
      <c r="I223" s="740"/>
      <c r="J223" s="739"/>
      <c r="K223" s="686"/>
      <c r="L223" s="739">
        <f t="shared" si="140"/>
        <v>0</v>
      </c>
      <c r="M223" s="740"/>
      <c r="N223" s="781"/>
      <c r="O223" s="740"/>
      <c r="P223" s="739"/>
      <c r="Q223" s="741"/>
      <c r="R223" s="742">
        <f t="shared" si="133"/>
        <v>0</v>
      </c>
      <c r="S223" s="742"/>
      <c r="T223" s="742"/>
      <c r="U223" s="743"/>
      <c r="V223" s="743"/>
      <c r="W223" s="743"/>
      <c r="X223" s="743"/>
      <c r="Y223" s="743"/>
      <c r="Z223" s="743"/>
      <c r="AA223" s="743"/>
      <c r="AB223" s="743"/>
      <c r="AC223" s="743"/>
      <c r="AD223" s="744"/>
      <c r="AE223" s="744"/>
      <c r="AF223" s="745"/>
      <c r="AG223" s="733">
        <f t="shared" si="120"/>
        <v>0</v>
      </c>
      <c r="AH223" s="208">
        <f t="shared" si="121"/>
        <v>0</v>
      </c>
      <c r="AI223" s="208">
        <f t="shared" si="122"/>
        <v>0</v>
      </c>
      <c r="AJ223" s="208">
        <f t="shared" si="123"/>
        <v>0</v>
      </c>
      <c r="AK223" s="208">
        <f t="shared" si="124"/>
        <v>0</v>
      </c>
      <c r="AL223" s="208">
        <f t="shared" si="125"/>
        <v>0</v>
      </c>
      <c r="AM223" s="805"/>
      <c r="AN223" s="746">
        <f t="shared" si="135"/>
        <v>0</v>
      </c>
      <c r="AO223" s="746">
        <f t="shared" si="135"/>
        <v>0</v>
      </c>
      <c r="AP223" s="746">
        <f t="shared" si="135"/>
        <v>0</v>
      </c>
      <c r="AQ223" s="746">
        <f t="shared" si="135"/>
        <v>0</v>
      </c>
      <c r="AR223" s="746">
        <f t="shared" si="135"/>
        <v>0</v>
      </c>
      <c r="AS223" s="746">
        <f t="shared" si="135"/>
        <v>0</v>
      </c>
      <c r="AT223" s="746">
        <f t="shared" si="135"/>
        <v>0</v>
      </c>
      <c r="AU223" s="746">
        <f t="shared" si="135"/>
        <v>0</v>
      </c>
      <c r="AV223" s="746">
        <f t="shared" si="135"/>
        <v>0</v>
      </c>
      <c r="AW223" s="746">
        <f t="shared" si="135"/>
        <v>0</v>
      </c>
      <c r="AX223" s="746">
        <f t="shared" si="135"/>
        <v>0</v>
      </c>
      <c r="AY223" s="746">
        <f t="shared" si="135"/>
        <v>0</v>
      </c>
      <c r="AZ223" s="733">
        <f t="shared" si="126"/>
        <v>0</v>
      </c>
      <c r="BA223" s="636">
        <f t="shared" si="127"/>
        <v>0</v>
      </c>
      <c r="BB223" s="636">
        <f t="shared" si="128"/>
        <v>0</v>
      </c>
      <c r="BC223" s="636">
        <f t="shared" si="129"/>
        <v>0</v>
      </c>
      <c r="BD223" s="636">
        <f t="shared" si="130"/>
        <v>0</v>
      </c>
      <c r="BE223" s="735">
        <f t="shared" si="131"/>
        <v>0</v>
      </c>
      <c r="BF223" s="806"/>
      <c r="BG223" s="806"/>
      <c r="BH223" s="806"/>
      <c r="BI223" s="806"/>
      <c r="BJ223" s="680"/>
      <c r="BK223" s="680"/>
      <c r="BL223" s="680"/>
      <c r="BM223" s="680"/>
      <c r="BN223" s="680"/>
    </row>
    <row r="224" spans="1:66" ht="22.5">
      <c r="A224" s="802" t="s">
        <v>546</v>
      </c>
      <c r="B224" s="803"/>
      <c r="C224" s="825" t="s">
        <v>547</v>
      </c>
      <c r="D224" s="826" t="s">
        <v>28</v>
      </c>
      <c r="E224" s="829" t="str">
        <f t="shared" si="139"/>
        <v>Mibelle Body lotion 300ml</v>
      </c>
      <c r="F224" s="823"/>
      <c r="G224" s="823"/>
      <c r="H224" s="823"/>
      <c r="I224" s="740"/>
      <c r="J224" s="739"/>
      <c r="K224" s="686"/>
      <c r="L224" s="739">
        <f t="shared" si="140"/>
        <v>0</v>
      </c>
      <c r="M224" s="740"/>
      <c r="N224" s="840">
        <v>3.75</v>
      </c>
      <c r="O224" s="846"/>
      <c r="P224" s="739">
        <f>8.03*10^5</f>
        <v>802999.99999999988</v>
      </c>
      <c r="Q224" s="741"/>
      <c r="R224" s="742">
        <f t="shared" si="133"/>
        <v>0.30112499999999998</v>
      </c>
      <c r="S224" s="742"/>
      <c r="T224" s="742"/>
      <c r="U224" s="743"/>
      <c r="V224" s="743"/>
      <c r="W224" s="743"/>
      <c r="X224" s="743"/>
      <c r="Y224" s="743"/>
      <c r="Z224" s="743"/>
      <c r="AA224" s="743"/>
      <c r="AB224" s="743">
        <f>N224/5</f>
        <v>0.75</v>
      </c>
      <c r="AC224" s="743">
        <f>AB224</f>
        <v>0.75</v>
      </c>
      <c r="AD224" s="743">
        <f>AC224</f>
        <v>0.75</v>
      </c>
      <c r="AE224" s="743">
        <f>AD224</f>
        <v>0.75</v>
      </c>
      <c r="AF224" s="743">
        <f>AE224</f>
        <v>0.75</v>
      </c>
      <c r="AG224" s="733">
        <f t="shared" si="120"/>
        <v>0</v>
      </c>
      <c r="AH224" s="208">
        <f t="shared" si="121"/>
        <v>0</v>
      </c>
      <c r="AI224" s="208">
        <f t="shared" si="122"/>
        <v>0</v>
      </c>
      <c r="AJ224" s="208">
        <f t="shared" si="123"/>
        <v>1.5</v>
      </c>
      <c r="AK224" s="208">
        <f t="shared" si="124"/>
        <v>2.25</v>
      </c>
      <c r="AL224" s="208">
        <f t="shared" si="125"/>
        <v>3.75</v>
      </c>
      <c r="AM224" s="805"/>
      <c r="AN224" s="746">
        <f t="shared" si="135"/>
        <v>0</v>
      </c>
      <c r="AO224" s="746">
        <f t="shared" si="135"/>
        <v>0</v>
      </c>
      <c r="AP224" s="746">
        <f t="shared" si="135"/>
        <v>0</v>
      </c>
      <c r="AQ224" s="746">
        <f t="shared" si="135"/>
        <v>0</v>
      </c>
      <c r="AR224" s="746">
        <f t="shared" si="135"/>
        <v>0</v>
      </c>
      <c r="AS224" s="746">
        <f t="shared" si="135"/>
        <v>0</v>
      </c>
      <c r="AT224" s="746">
        <f t="shared" si="135"/>
        <v>0</v>
      </c>
      <c r="AU224" s="746">
        <f t="shared" si="135"/>
        <v>6.0224999999999987E-2</v>
      </c>
      <c r="AV224" s="746">
        <f t="shared" si="135"/>
        <v>6.0224999999999987E-2</v>
      </c>
      <c r="AW224" s="746">
        <f t="shared" si="135"/>
        <v>6.0224999999999987E-2</v>
      </c>
      <c r="AX224" s="746">
        <f t="shared" si="135"/>
        <v>6.0224999999999987E-2</v>
      </c>
      <c r="AY224" s="746">
        <f t="shared" si="135"/>
        <v>6.0224999999999987E-2</v>
      </c>
      <c r="AZ224" s="733">
        <f t="shared" si="126"/>
        <v>0</v>
      </c>
      <c r="BA224" s="636">
        <f t="shared" si="127"/>
        <v>0</v>
      </c>
      <c r="BB224" s="636">
        <f t="shared" si="128"/>
        <v>0</v>
      </c>
      <c r="BC224" s="636">
        <f t="shared" si="129"/>
        <v>0.12044999999999997</v>
      </c>
      <c r="BD224" s="636">
        <f t="shared" si="130"/>
        <v>0.18067499999999997</v>
      </c>
      <c r="BE224" s="735">
        <f t="shared" si="131"/>
        <v>0.30112499999999998</v>
      </c>
      <c r="BF224" s="806"/>
      <c r="BG224" s="806"/>
      <c r="BH224" s="806"/>
      <c r="BI224" s="806"/>
      <c r="BJ224" s="680"/>
      <c r="BK224" s="680"/>
      <c r="BL224" s="680"/>
      <c r="BM224" s="680"/>
      <c r="BN224" s="680"/>
    </row>
    <row r="225" spans="1:66" ht="22.5">
      <c r="A225" s="802" t="s">
        <v>548</v>
      </c>
      <c r="B225" s="803"/>
      <c r="C225" s="825" t="s">
        <v>547</v>
      </c>
      <c r="D225" s="826" t="s">
        <v>28</v>
      </c>
      <c r="E225" s="829" t="str">
        <f t="shared" si="139"/>
        <v>Mibelle Body wash 300ml</v>
      </c>
      <c r="F225" s="823"/>
      <c r="G225" s="823"/>
      <c r="H225" s="823"/>
      <c r="I225" s="740"/>
      <c r="J225" s="739"/>
      <c r="K225" s="686"/>
      <c r="L225" s="739">
        <f t="shared" si="140"/>
        <v>0</v>
      </c>
      <c r="M225" s="740"/>
      <c r="N225" s="840">
        <v>8</v>
      </c>
      <c r="O225" s="846"/>
      <c r="P225" s="739">
        <f>8.03*10^5</f>
        <v>802999.99999999988</v>
      </c>
      <c r="Q225" s="741"/>
      <c r="R225" s="742">
        <f t="shared" si="133"/>
        <v>0.64239999999999986</v>
      </c>
      <c r="S225" s="742"/>
      <c r="T225" s="742"/>
      <c r="U225" s="743"/>
      <c r="V225" s="743"/>
      <c r="W225" s="743"/>
      <c r="X225" s="743"/>
      <c r="Y225" s="743"/>
      <c r="Z225" s="743"/>
      <c r="AA225" s="743"/>
      <c r="AB225" s="743">
        <f t="shared" ref="AB225:AB232" si="141">N225/5</f>
        <v>1.6</v>
      </c>
      <c r="AC225" s="743">
        <f t="shared" ref="AC225:AF232" si="142">AB225</f>
        <v>1.6</v>
      </c>
      <c r="AD225" s="743">
        <f t="shared" si="142"/>
        <v>1.6</v>
      </c>
      <c r="AE225" s="743">
        <f t="shared" si="142"/>
        <v>1.6</v>
      </c>
      <c r="AF225" s="743">
        <f t="shared" si="142"/>
        <v>1.6</v>
      </c>
      <c r="AG225" s="733">
        <f t="shared" si="120"/>
        <v>0</v>
      </c>
      <c r="AH225" s="208">
        <f t="shared" si="121"/>
        <v>0</v>
      </c>
      <c r="AI225" s="208">
        <f t="shared" si="122"/>
        <v>0</v>
      </c>
      <c r="AJ225" s="208">
        <f t="shared" si="123"/>
        <v>3.2</v>
      </c>
      <c r="AK225" s="208">
        <f t="shared" si="124"/>
        <v>4.8000000000000007</v>
      </c>
      <c r="AL225" s="208">
        <f t="shared" si="125"/>
        <v>8</v>
      </c>
      <c r="AM225" s="805"/>
      <c r="AN225" s="746">
        <f t="shared" si="135"/>
        <v>0</v>
      </c>
      <c r="AO225" s="746">
        <f t="shared" si="135"/>
        <v>0</v>
      </c>
      <c r="AP225" s="746">
        <f t="shared" si="135"/>
        <v>0</v>
      </c>
      <c r="AQ225" s="746">
        <f t="shared" si="135"/>
        <v>0</v>
      </c>
      <c r="AR225" s="746">
        <f t="shared" si="135"/>
        <v>0</v>
      </c>
      <c r="AS225" s="746">
        <f t="shared" si="135"/>
        <v>0</v>
      </c>
      <c r="AT225" s="746">
        <f t="shared" si="135"/>
        <v>0</v>
      </c>
      <c r="AU225" s="746">
        <f t="shared" si="135"/>
        <v>0.12848000000000001</v>
      </c>
      <c r="AV225" s="746">
        <f t="shared" si="135"/>
        <v>0.12848000000000001</v>
      </c>
      <c r="AW225" s="746">
        <f t="shared" si="135"/>
        <v>0.12848000000000001</v>
      </c>
      <c r="AX225" s="746">
        <f t="shared" si="135"/>
        <v>0.12848000000000001</v>
      </c>
      <c r="AY225" s="746">
        <f t="shared" si="135"/>
        <v>0.12848000000000001</v>
      </c>
      <c r="AZ225" s="733">
        <f t="shared" si="126"/>
        <v>0</v>
      </c>
      <c r="BA225" s="636">
        <f t="shared" si="127"/>
        <v>0</v>
      </c>
      <c r="BB225" s="636">
        <f t="shared" si="128"/>
        <v>0</v>
      </c>
      <c r="BC225" s="636">
        <f t="shared" si="129"/>
        <v>0.25696000000000002</v>
      </c>
      <c r="BD225" s="636">
        <f t="shared" si="130"/>
        <v>0.38544</v>
      </c>
      <c r="BE225" s="735">
        <f t="shared" si="131"/>
        <v>0.64240000000000008</v>
      </c>
      <c r="BF225" s="806"/>
      <c r="BG225" s="806"/>
      <c r="BH225" s="806"/>
      <c r="BI225" s="806"/>
      <c r="BJ225" s="680"/>
      <c r="BK225" s="680"/>
      <c r="BL225" s="680"/>
      <c r="BM225" s="680"/>
      <c r="BN225" s="680"/>
    </row>
    <row r="226" spans="1:66" ht="22.5">
      <c r="A226" s="802" t="s">
        <v>549</v>
      </c>
      <c r="B226" s="803"/>
      <c r="C226" s="825" t="s">
        <v>547</v>
      </c>
      <c r="D226" s="826" t="s">
        <v>28</v>
      </c>
      <c r="E226" s="829" t="str">
        <f t="shared" si="139"/>
        <v>Mibelle Shampoo 125ml</v>
      </c>
      <c r="F226" s="823"/>
      <c r="G226" s="823"/>
      <c r="H226" s="823"/>
      <c r="I226" s="740"/>
      <c r="J226" s="739"/>
      <c r="K226" s="686"/>
      <c r="L226" s="739">
        <f t="shared" si="140"/>
        <v>0</v>
      </c>
      <c r="M226" s="740"/>
      <c r="N226" s="840">
        <v>5</v>
      </c>
      <c r="O226" s="846"/>
      <c r="P226" s="739">
        <f>8.03*10^5</f>
        <v>802999.99999999988</v>
      </c>
      <c r="Q226" s="741"/>
      <c r="R226" s="742">
        <f t="shared" si="133"/>
        <v>0.40149999999999997</v>
      </c>
      <c r="S226" s="742"/>
      <c r="T226" s="742"/>
      <c r="U226" s="743"/>
      <c r="V226" s="743"/>
      <c r="W226" s="743"/>
      <c r="X226" s="743"/>
      <c r="Y226" s="743"/>
      <c r="Z226" s="743"/>
      <c r="AA226" s="743"/>
      <c r="AB226" s="743">
        <f t="shared" si="141"/>
        <v>1</v>
      </c>
      <c r="AC226" s="743">
        <f t="shared" si="142"/>
        <v>1</v>
      </c>
      <c r="AD226" s="743">
        <f t="shared" si="142"/>
        <v>1</v>
      </c>
      <c r="AE226" s="743">
        <f t="shared" si="142"/>
        <v>1</v>
      </c>
      <c r="AF226" s="743">
        <f t="shared" si="142"/>
        <v>1</v>
      </c>
      <c r="AG226" s="733">
        <f t="shared" si="120"/>
        <v>0</v>
      </c>
      <c r="AH226" s="208">
        <f t="shared" si="121"/>
        <v>0</v>
      </c>
      <c r="AI226" s="208">
        <f t="shared" si="122"/>
        <v>0</v>
      </c>
      <c r="AJ226" s="208">
        <f t="shared" si="123"/>
        <v>2</v>
      </c>
      <c r="AK226" s="208">
        <f t="shared" si="124"/>
        <v>3</v>
      </c>
      <c r="AL226" s="208">
        <f t="shared" si="125"/>
        <v>5</v>
      </c>
      <c r="AM226" s="805"/>
      <c r="AN226" s="746">
        <f t="shared" si="135"/>
        <v>0</v>
      </c>
      <c r="AO226" s="746">
        <f t="shared" si="135"/>
        <v>0</v>
      </c>
      <c r="AP226" s="746">
        <f t="shared" si="135"/>
        <v>0</v>
      </c>
      <c r="AQ226" s="746">
        <f t="shared" si="135"/>
        <v>0</v>
      </c>
      <c r="AR226" s="746">
        <f t="shared" si="135"/>
        <v>0</v>
      </c>
      <c r="AS226" s="746">
        <f t="shared" si="135"/>
        <v>0</v>
      </c>
      <c r="AT226" s="746">
        <f t="shared" si="135"/>
        <v>0</v>
      </c>
      <c r="AU226" s="746">
        <f t="shared" si="135"/>
        <v>8.0299999999999983E-2</v>
      </c>
      <c r="AV226" s="746">
        <f t="shared" si="135"/>
        <v>8.0299999999999983E-2</v>
      </c>
      <c r="AW226" s="746">
        <f t="shared" si="135"/>
        <v>8.0299999999999983E-2</v>
      </c>
      <c r="AX226" s="746">
        <f t="shared" si="135"/>
        <v>8.0299999999999983E-2</v>
      </c>
      <c r="AY226" s="746">
        <f t="shared" si="135"/>
        <v>8.0299999999999983E-2</v>
      </c>
      <c r="AZ226" s="733">
        <f t="shared" si="126"/>
        <v>0</v>
      </c>
      <c r="BA226" s="636">
        <f t="shared" si="127"/>
        <v>0</v>
      </c>
      <c r="BB226" s="636">
        <f t="shared" si="128"/>
        <v>0</v>
      </c>
      <c r="BC226" s="636">
        <f t="shared" si="129"/>
        <v>0.16059999999999997</v>
      </c>
      <c r="BD226" s="636">
        <f t="shared" si="130"/>
        <v>0.24089999999999995</v>
      </c>
      <c r="BE226" s="735">
        <f t="shared" si="131"/>
        <v>0.40149999999999991</v>
      </c>
      <c r="BF226" s="806"/>
      <c r="BG226" s="806"/>
      <c r="BH226" s="806"/>
      <c r="BI226" s="806"/>
      <c r="BJ226" s="680"/>
      <c r="BK226" s="680"/>
      <c r="BL226" s="680"/>
      <c r="BM226" s="680"/>
      <c r="BN226" s="680"/>
    </row>
    <row r="227" spans="1:66" ht="22.5">
      <c r="A227" s="802" t="s">
        <v>550</v>
      </c>
      <c r="B227" s="803"/>
      <c r="C227" s="825" t="s">
        <v>547</v>
      </c>
      <c r="D227" s="826" t="s">
        <v>28</v>
      </c>
      <c r="E227" s="829" t="str">
        <f t="shared" si="139"/>
        <v>Mibelle Face wash 125ml</v>
      </c>
      <c r="F227" s="823"/>
      <c r="G227" s="823"/>
      <c r="H227" s="823"/>
      <c r="I227" s="740"/>
      <c r="J227" s="739"/>
      <c r="K227" s="686"/>
      <c r="L227" s="739">
        <f t="shared" si="140"/>
        <v>0</v>
      </c>
      <c r="M227" s="740"/>
      <c r="N227" s="840">
        <v>2.5</v>
      </c>
      <c r="O227" s="846"/>
      <c r="P227" s="739">
        <f>4.42*10^5</f>
        <v>442000</v>
      </c>
      <c r="Q227" s="741"/>
      <c r="R227" s="742">
        <f t="shared" si="133"/>
        <v>0.1105</v>
      </c>
      <c r="S227" s="742"/>
      <c r="T227" s="742"/>
      <c r="U227" s="743"/>
      <c r="V227" s="743"/>
      <c r="W227" s="743"/>
      <c r="X227" s="743"/>
      <c r="Y227" s="743"/>
      <c r="Z227" s="743"/>
      <c r="AA227" s="743"/>
      <c r="AB227" s="743">
        <f t="shared" si="141"/>
        <v>0.5</v>
      </c>
      <c r="AC227" s="743">
        <f t="shared" si="142"/>
        <v>0.5</v>
      </c>
      <c r="AD227" s="743">
        <f t="shared" si="142"/>
        <v>0.5</v>
      </c>
      <c r="AE227" s="743">
        <f t="shared" si="142"/>
        <v>0.5</v>
      </c>
      <c r="AF227" s="743">
        <f t="shared" si="142"/>
        <v>0.5</v>
      </c>
      <c r="AG227" s="733">
        <f t="shared" si="120"/>
        <v>0</v>
      </c>
      <c r="AH227" s="208">
        <f t="shared" si="121"/>
        <v>0</v>
      </c>
      <c r="AI227" s="208">
        <f t="shared" si="122"/>
        <v>0</v>
      </c>
      <c r="AJ227" s="208">
        <f t="shared" si="123"/>
        <v>1</v>
      </c>
      <c r="AK227" s="208">
        <f t="shared" si="124"/>
        <v>1.5</v>
      </c>
      <c r="AL227" s="208">
        <f t="shared" si="125"/>
        <v>2.5</v>
      </c>
      <c r="AM227" s="805"/>
      <c r="AN227" s="746">
        <f t="shared" si="135"/>
        <v>0</v>
      </c>
      <c r="AO227" s="746">
        <f t="shared" si="135"/>
        <v>0</v>
      </c>
      <c r="AP227" s="746">
        <f t="shared" si="135"/>
        <v>0</v>
      </c>
      <c r="AQ227" s="746">
        <f t="shared" si="135"/>
        <v>0</v>
      </c>
      <c r="AR227" s="746">
        <f t="shared" si="135"/>
        <v>0</v>
      </c>
      <c r="AS227" s="746">
        <f t="shared" si="135"/>
        <v>0</v>
      </c>
      <c r="AT227" s="746">
        <f t="shared" si="135"/>
        <v>0</v>
      </c>
      <c r="AU227" s="746">
        <f t="shared" si="135"/>
        <v>2.2100000000000002E-2</v>
      </c>
      <c r="AV227" s="746">
        <f t="shared" si="135"/>
        <v>2.2100000000000002E-2</v>
      </c>
      <c r="AW227" s="746">
        <f t="shared" si="135"/>
        <v>2.2100000000000002E-2</v>
      </c>
      <c r="AX227" s="746">
        <f t="shared" si="135"/>
        <v>2.2100000000000002E-2</v>
      </c>
      <c r="AY227" s="746">
        <f t="shared" si="135"/>
        <v>2.2100000000000002E-2</v>
      </c>
      <c r="AZ227" s="733">
        <f t="shared" si="126"/>
        <v>0</v>
      </c>
      <c r="BA227" s="636">
        <f t="shared" si="127"/>
        <v>0</v>
      </c>
      <c r="BB227" s="636">
        <f t="shared" si="128"/>
        <v>0</v>
      </c>
      <c r="BC227" s="636">
        <f t="shared" si="129"/>
        <v>4.4200000000000003E-2</v>
      </c>
      <c r="BD227" s="636">
        <f t="shared" si="130"/>
        <v>6.6299999999999998E-2</v>
      </c>
      <c r="BE227" s="735">
        <f t="shared" si="131"/>
        <v>0.1105</v>
      </c>
      <c r="BF227" s="806"/>
      <c r="BG227" s="806"/>
      <c r="BH227" s="806"/>
      <c r="BI227" s="806"/>
      <c r="BJ227" s="680"/>
      <c r="BK227" s="680"/>
      <c r="BL227" s="680"/>
      <c r="BM227" s="680"/>
      <c r="BN227" s="680"/>
    </row>
    <row r="228" spans="1:66" ht="22.5">
      <c r="A228" s="802" t="s">
        <v>551</v>
      </c>
      <c r="B228" s="803"/>
      <c r="C228" s="825" t="s">
        <v>547</v>
      </c>
      <c r="D228" s="826" t="s">
        <v>28</v>
      </c>
      <c r="E228" s="829" t="str">
        <f t="shared" si="139"/>
        <v>Hand cleanser ( Sanitiser )50ml</v>
      </c>
      <c r="F228" s="823"/>
      <c r="G228" s="823"/>
      <c r="H228" s="823"/>
      <c r="I228" s="740"/>
      <c r="J228" s="739"/>
      <c r="K228" s="686"/>
      <c r="L228" s="739">
        <f t="shared" si="140"/>
        <v>0</v>
      </c>
      <c r="M228" s="740"/>
      <c r="N228" s="847">
        <v>0.5</v>
      </c>
      <c r="O228" s="846"/>
      <c r="P228" s="739">
        <f>2.25*10^5</f>
        <v>225000</v>
      </c>
      <c r="Q228" s="741"/>
      <c r="R228" s="742">
        <f t="shared" si="133"/>
        <v>1.125E-2</v>
      </c>
      <c r="S228" s="742"/>
      <c r="T228" s="742"/>
      <c r="U228" s="743"/>
      <c r="V228" s="743"/>
      <c r="W228" s="743"/>
      <c r="X228" s="743"/>
      <c r="Y228" s="743"/>
      <c r="Z228" s="743"/>
      <c r="AA228" s="743"/>
      <c r="AB228" s="743">
        <f t="shared" si="141"/>
        <v>0.1</v>
      </c>
      <c r="AC228" s="743">
        <f t="shared" si="142"/>
        <v>0.1</v>
      </c>
      <c r="AD228" s="743">
        <f t="shared" si="142"/>
        <v>0.1</v>
      </c>
      <c r="AE228" s="743">
        <f t="shared" si="142"/>
        <v>0.1</v>
      </c>
      <c r="AF228" s="743">
        <f t="shared" si="142"/>
        <v>0.1</v>
      </c>
      <c r="AG228" s="733">
        <f t="shared" si="120"/>
        <v>0</v>
      </c>
      <c r="AH228" s="208">
        <f t="shared" si="121"/>
        <v>0</v>
      </c>
      <c r="AI228" s="208">
        <f t="shared" si="122"/>
        <v>0</v>
      </c>
      <c r="AJ228" s="208">
        <f t="shared" si="123"/>
        <v>0.2</v>
      </c>
      <c r="AK228" s="208">
        <f t="shared" si="124"/>
        <v>0.30000000000000004</v>
      </c>
      <c r="AL228" s="208">
        <f t="shared" si="125"/>
        <v>0.5</v>
      </c>
      <c r="AM228" s="805"/>
      <c r="AN228" s="746">
        <f t="shared" si="135"/>
        <v>0</v>
      </c>
      <c r="AO228" s="746">
        <f t="shared" si="135"/>
        <v>0</v>
      </c>
      <c r="AP228" s="746">
        <f t="shared" si="135"/>
        <v>0</v>
      </c>
      <c r="AQ228" s="746">
        <f t="shared" si="135"/>
        <v>0</v>
      </c>
      <c r="AR228" s="746">
        <f t="shared" si="135"/>
        <v>0</v>
      </c>
      <c r="AS228" s="746">
        <f t="shared" si="135"/>
        <v>0</v>
      </c>
      <c r="AT228" s="746">
        <f t="shared" si="135"/>
        <v>0</v>
      </c>
      <c r="AU228" s="746">
        <f t="shared" si="135"/>
        <v>2.2499999999999998E-3</v>
      </c>
      <c r="AV228" s="746">
        <f t="shared" si="135"/>
        <v>2.2499999999999998E-3</v>
      </c>
      <c r="AW228" s="746">
        <f t="shared" si="135"/>
        <v>2.2499999999999998E-3</v>
      </c>
      <c r="AX228" s="746">
        <f t="shared" si="135"/>
        <v>2.2499999999999998E-3</v>
      </c>
      <c r="AY228" s="746">
        <f t="shared" si="135"/>
        <v>2.2499999999999998E-3</v>
      </c>
      <c r="AZ228" s="733">
        <f t="shared" si="126"/>
        <v>0</v>
      </c>
      <c r="BA228" s="636">
        <f t="shared" si="127"/>
        <v>0</v>
      </c>
      <c r="BB228" s="636">
        <f t="shared" si="128"/>
        <v>0</v>
      </c>
      <c r="BC228" s="636">
        <f t="shared" si="129"/>
        <v>4.4999999999999997E-3</v>
      </c>
      <c r="BD228" s="636">
        <f t="shared" si="130"/>
        <v>6.7499999999999991E-3</v>
      </c>
      <c r="BE228" s="735">
        <f t="shared" si="131"/>
        <v>1.125E-2</v>
      </c>
      <c r="BF228" s="806"/>
      <c r="BG228" s="806"/>
      <c r="BH228" s="806"/>
      <c r="BI228" s="806"/>
      <c r="BJ228" s="680"/>
      <c r="BK228" s="680"/>
      <c r="BL228" s="680"/>
      <c r="BM228" s="680"/>
      <c r="BN228" s="680"/>
    </row>
    <row r="229" spans="1:66" ht="22.5">
      <c r="A229" s="802" t="s">
        <v>552</v>
      </c>
      <c r="B229" s="803"/>
      <c r="C229" s="825" t="s">
        <v>547</v>
      </c>
      <c r="D229" s="826" t="s">
        <v>28</v>
      </c>
      <c r="E229" s="829" t="str">
        <f t="shared" si="139"/>
        <v>Hand Wash - Pump 50ml</v>
      </c>
      <c r="F229" s="823"/>
      <c r="G229" s="823"/>
      <c r="H229" s="823"/>
      <c r="I229" s="740"/>
      <c r="J229" s="739"/>
      <c r="K229" s="686"/>
      <c r="L229" s="739">
        <f t="shared" si="140"/>
        <v>0</v>
      </c>
      <c r="M229" s="740"/>
      <c r="N229" s="847">
        <v>3</v>
      </c>
      <c r="O229" s="846"/>
      <c r="P229" s="739">
        <f>7.57*10^5</f>
        <v>757000</v>
      </c>
      <c r="Q229" s="741"/>
      <c r="R229" s="742">
        <f t="shared" si="133"/>
        <v>0.2271</v>
      </c>
      <c r="S229" s="742"/>
      <c r="T229" s="742"/>
      <c r="U229" s="743"/>
      <c r="V229" s="743"/>
      <c r="W229" s="743"/>
      <c r="X229" s="743"/>
      <c r="Y229" s="743"/>
      <c r="Z229" s="743"/>
      <c r="AA229" s="743"/>
      <c r="AB229" s="743">
        <f t="shared" si="141"/>
        <v>0.6</v>
      </c>
      <c r="AC229" s="743">
        <f t="shared" si="142"/>
        <v>0.6</v>
      </c>
      <c r="AD229" s="743">
        <f t="shared" si="142"/>
        <v>0.6</v>
      </c>
      <c r="AE229" s="743">
        <f t="shared" si="142"/>
        <v>0.6</v>
      </c>
      <c r="AF229" s="743">
        <f t="shared" si="142"/>
        <v>0.6</v>
      </c>
      <c r="AG229" s="733">
        <f t="shared" si="120"/>
        <v>0</v>
      </c>
      <c r="AH229" s="208">
        <f t="shared" si="121"/>
        <v>0</v>
      </c>
      <c r="AI229" s="208">
        <f t="shared" si="122"/>
        <v>0</v>
      </c>
      <c r="AJ229" s="208">
        <f t="shared" si="123"/>
        <v>1.2</v>
      </c>
      <c r="AK229" s="208">
        <f t="shared" si="124"/>
        <v>1.7999999999999998</v>
      </c>
      <c r="AL229" s="208">
        <f t="shared" si="125"/>
        <v>3</v>
      </c>
      <c r="AM229" s="805"/>
      <c r="AN229" s="746">
        <f t="shared" si="135"/>
        <v>0</v>
      </c>
      <c r="AO229" s="746">
        <f t="shared" si="135"/>
        <v>0</v>
      </c>
      <c r="AP229" s="746">
        <f t="shared" si="135"/>
        <v>0</v>
      </c>
      <c r="AQ229" s="746">
        <f t="shared" si="135"/>
        <v>0</v>
      </c>
      <c r="AR229" s="746">
        <f t="shared" si="135"/>
        <v>0</v>
      </c>
      <c r="AS229" s="746">
        <f t="shared" si="135"/>
        <v>0</v>
      </c>
      <c r="AT229" s="746">
        <f t="shared" si="135"/>
        <v>0</v>
      </c>
      <c r="AU229" s="746">
        <f t="shared" si="135"/>
        <v>4.5420000000000002E-2</v>
      </c>
      <c r="AV229" s="746">
        <f t="shared" si="135"/>
        <v>4.5420000000000002E-2</v>
      </c>
      <c r="AW229" s="746">
        <f t="shared" si="135"/>
        <v>4.5420000000000002E-2</v>
      </c>
      <c r="AX229" s="746">
        <f t="shared" si="135"/>
        <v>4.5420000000000002E-2</v>
      </c>
      <c r="AY229" s="746">
        <f t="shared" si="135"/>
        <v>4.5420000000000002E-2</v>
      </c>
      <c r="AZ229" s="733">
        <f t="shared" si="126"/>
        <v>0</v>
      </c>
      <c r="BA229" s="636">
        <f t="shared" si="127"/>
        <v>0</v>
      </c>
      <c r="BB229" s="636">
        <f t="shared" si="128"/>
        <v>0</v>
      </c>
      <c r="BC229" s="636">
        <f t="shared" si="129"/>
        <v>9.0840000000000004E-2</v>
      </c>
      <c r="BD229" s="636">
        <f t="shared" si="130"/>
        <v>0.13625999999999999</v>
      </c>
      <c r="BE229" s="735">
        <f t="shared" si="131"/>
        <v>0.2271</v>
      </c>
      <c r="BF229" s="806"/>
      <c r="BG229" s="806"/>
      <c r="BH229" s="806"/>
      <c r="BI229" s="806"/>
      <c r="BJ229" s="680"/>
      <c r="BK229" s="680"/>
      <c r="BL229" s="680"/>
      <c r="BM229" s="680"/>
      <c r="BN229" s="680"/>
    </row>
    <row r="230" spans="1:66" ht="22.5">
      <c r="A230" s="802" t="s">
        <v>553</v>
      </c>
      <c r="B230" s="803"/>
      <c r="C230" s="825" t="s">
        <v>547</v>
      </c>
      <c r="D230" s="826" t="s">
        <v>28</v>
      </c>
      <c r="E230" s="829" t="str">
        <f t="shared" si="139"/>
        <v>Hand Wash - Foamer 250ml</v>
      </c>
      <c r="F230" s="823"/>
      <c r="G230" s="823"/>
      <c r="H230" s="823"/>
      <c r="I230" s="740"/>
      <c r="J230" s="739"/>
      <c r="K230" s="686"/>
      <c r="L230" s="739">
        <f t="shared" si="140"/>
        <v>0</v>
      </c>
      <c r="M230" s="740"/>
      <c r="N230" s="847">
        <v>1</v>
      </c>
      <c r="O230" s="846"/>
      <c r="P230" s="739">
        <f>7.57*10^5</f>
        <v>757000</v>
      </c>
      <c r="Q230" s="741"/>
      <c r="R230" s="742">
        <f t="shared" si="133"/>
        <v>7.5700000000000003E-2</v>
      </c>
      <c r="S230" s="742"/>
      <c r="T230" s="742"/>
      <c r="U230" s="743"/>
      <c r="V230" s="743"/>
      <c r="W230" s="743"/>
      <c r="X230" s="743"/>
      <c r="Y230" s="743"/>
      <c r="Z230" s="743"/>
      <c r="AA230" s="743"/>
      <c r="AB230" s="743">
        <f t="shared" si="141"/>
        <v>0.2</v>
      </c>
      <c r="AC230" s="743">
        <f t="shared" si="142"/>
        <v>0.2</v>
      </c>
      <c r="AD230" s="743">
        <f t="shared" si="142"/>
        <v>0.2</v>
      </c>
      <c r="AE230" s="743">
        <f t="shared" si="142"/>
        <v>0.2</v>
      </c>
      <c r="AF230" s="743">
        <f t="shared" si="142"/>
        <v>0.2</v>
      </c>
      <c r="AG230" s="733">
        <f t="shared" si="120"/>
        <v>0</v>
      </c>
      <c r="AH230" s="208">
        <f t="shared" si="121"/>
        <v>0</v>
      </c>
      <c r="AI230" s="208">
        <f t="shared" si="122"/>
        <v>0</v>
      </c>
      <c r="AJ230" s="208">
        <f t="shared" si="123"/>
        <v>0.4</v>
      </c>
      <c r="AK230" s="208">
        <f t="shared" si="124"/>
        <v>0.60000000000000009</v>
      </c>
      <c r="AL230" s="208">
        <f t="shared" si="125"/>
        <v>1</v>
      </c>
      <c r="AM230" s="805"/>
      <c r="AN230" s="746">
        <f t="shared" si="135"/>
        <v>0</v>
      </c>
      <c r="AO230" s="746">
        <f t="shared" si="135"/>
        <v>0</v>
      </c>
      <c r="AP230" s="746">
        <f t="shared" si="135"/>
        <v>0</v>
      </c>
      <c r="AQ230" s="746">
        <f t="shared" si="135"/>
        <v>0</v>
      </c>
      <c r="AR230" s="746">
        <f t="shared" si="135"/>
        <v>0</v>
      </c>
      <c r="AS230" s="746">
        <f t="shared" si="135"/>
        <v>0</v>
      </c>
      <c r="AT230" s="746">
        <f t="shared" si="135"/>
        <v>0</v>
      </c>
      <c r="AU230" s="746">
        <f t="shared" si="135"/>
        <v>1.5140000000000001E-2</v>
      </c>
      <c r="AV230" s="746">
        <f t="shared" si="135"/>
        <v>1.5140000000000001E-2</v>
      </c>
      <c r="AW230" s="746">
        <f t="shared" si="135"/>
        <v>1.5140000000000001E-2</v>
      </c>
      <c r="AX230" s="746">
        <f t="shared" si="135"/>
        <v>1.5140000000000001E-2</v>
      </c>
      <c r="AY230" s="746">
        <f t="shared" si="135"/>
        <v>1.5140000000000001E-2</v>
      </c>
      <c r="AZ230" s="733">
        <f t="shared" si="126"/>
        <v>0</v>
      </c>
      <c r="BA230" s="636">
        <f t="shared" si="127"/>
        <v>0</v>
      </c>
      <c r="BB230" s="636">
        <f t="shared" si="128"/>
        <v>0</v>
      </c>
      <c r="BC230" s="636">
        <f t="shared" si="129"/>
        <v>3.0280000000000001E-2</v>
      </c>
      <c r="BD230" s="636">
        <f t="shared" si="130"/>
        <v>4.5420000000000002E-2</v>
      </c>
      <c r="BE230" s="735">
        <f t="shared" si="131"/>
        <v>7.5700000000000003E-2</v>
      </c>
      <c r="BF230" s="806"/>
      <c r="BG230" s="806"/>
      <c r="BH230" s="806"/>
      <c r="BI230" s="806"/>
      <c r="BJ230" s="680"/>
      <c r="BK230" s="680"/>
      <c r="BL230" s="680"/>
      <c r="BM230" s="680"/>
      <c r="BN230" s="680"/>
    </row>
    <row r="231" spans="1:66" ht="22.5">
      <c r="A231" s="802" t="s">
        <v>554</v>
      </c>
      <c r="B231" s="803"/>
      <c r="C231" s="825" t="s">
        <v>547</v>
      </c>
      <c r="D231" s="826" t="s">
        <v>28</v>
      </c>
      <c r="E231" s="829" t="str">
        <f t="shared" si="139"/>
        <v>Hand Wash - re-fill pouche 900ml</v>
      </c>
      <c r="F231" s="823"/>
      <c r="G231" s="823"/>
      <c r="H231" s="823"/>
      <c r="I231" s="740"/>
      <c r="J231" s="739"/>
      <c r="K231" s="686"/>
      <c r="L231" s="739">
        <f t="shared" si="140"/>
        <v>0</v>
      </c>
      <c r="M231" s="740"/>
      <c r="N231" s="847">
        <v>3</v>
      </c>
      <c r="O231" s="846"/>
      <c r="P231" s="739">
        <f>19.11*10^5</f>
        <v>1911000</v>
      </c>
      <c r="Q231" s="741"/>
      <c r="R231" s="742">
        <f t="shared" si="133"/>
        <v>0.57330000000000003</v>
      </c>
      <c r="S231" s="742"/>
      <c r="T231" s="742"/>
      <c r="U231" s="743"/>
      <c r="V231" s="743"/>
      <c r="W231" s="743"/>
      <c r="X231" s="743"/>
      <c r="Y231" s="743"/>
      <c r="Z231" s="743"/>
      <c r="AA231" s="743"/>
      <c r="AB231" s="743">
        <f t="shared" si="141"/>
        <v>0.6</v>
      </c>
      <c r="AC231" s="743">
        <f t="shared" si="142"/>
        <v>0.6</v>
      </c>
      <c r="AD231" s="743">
        <f t="shared" si="142"/>
        <v>0.6</v>
      </c>
      <c r="AE231" s="743">
        <f t="shared" si="142"/>
        <v>0.6</v>
      </c>
      <c r="AF231" s="743">
        <f t="shared" si="142"/>
        <v>0.6</v>
      </c>
      <c r="AG231" s="733">
        <f t="shared" si="120"/>
        <v>0</v>
      </c>
      <c r="AH231" s="208">
        <f t="shared" si="121"/>
        <v>0</v>
      </c>
      <c r="AI231" s="208">
        <f t="shared" si="122"/>
        <v>0</v>
      </c>
      <c r="AJ231" s="208">
        <f t="shared" si="123"/>
        <v>1.2</v>
      </c>
      <c r="AK231" s="208">
        <f t="shared" si="124"/>
        <v>1.7999999999999998</v>
      </c>
      <c r="AL231" s="208">
        <f t="shared" si="125"/>
        <v>3</v>
      </c>
      <c r="AM231" s="805"/>
      <c r="AN231" s="746">
        <f t="shared" si="135"/>
        <v>0</v>
      </c>
      <c r="AO231" s="746">
        <f t="shared" si="135"/>
        <v>0</v>
      </c>
      <c r="AP231" s="746">
        <f t="shared" si="135"/>
        <v>0</v>
      </c>
      <c r="AQ231" s="746">
        <f t="shared" si="135"/>
        <v>0</v>
      </c>
      <c r="AR231" s="746">
        <f t="shared" si="135"/>
        <v>0</v>
      </c>
      <c r="AS231" s="746">
        <f t="shared" si="135"/>
        <v>0</v>
      </c>
      <c r="AT231" s="746">
        <f t="shared" si="135"/>
        <v>0</v>
      </c>
      <c r="AU231" s="746">
        <f t="shared" si="135"/>
        <v>0.11466</v>
      </c>
      <c r="AV231" s="746">
        <f t="shared" si="135"/>
        <v>0.11466</v>
      </c>
      <c r="AW231" s="746">
        <f t="shared" si="135"/>
        <v>0.11466</v>
      </c>
      <c r="AX231" s="746">
        <f t="shared" si="135"/>
        <v>0.11466</v>
      </c>
      <c r="AY231" s="746">
        <f t="shared" si="135"/>
        <v>0.11466</v>
      </c>
      <c r="AZ231" s="733">
        <f t="shared" si="126"/>
        <v>0</v>
      </c>
      <c r="BA231" s="636">
        <f t="shared" si="127"/>
        <v>0</v>
      </c>
      <c r="BB231" s="636">
        <f t="shared" si="128"/>
        <v>0</v>
      </c>
      <c r="BC231" s="636">
        <f t="shared" si="129"/>
        <v>0.22932</v>
      </c>
      <c r="BD231" s="636">
        <f t="shared" si="130"/>
        <v>0.34398000000000001</v>
      </c>
      <c r="BE231" s="735">
        <f t="shared" si="131"/>
        <v>0.57330000000000003</v>
      </c>
      <c r="BF231" s="806"/>
      <c r="BG231" s="806"/>
      <c r="BH231" s="806"/>
      <c r="BI231" s="806"/>
      <c r="BJ231" s="680"/>
      <c r="BK231" s="680"/>
      <c r="BL231" s="680"/>
      <c r="BM231" s="680"/>
      <c r="BN231" s="680"/>
    </row>
    <row r="232" spans="1:66" ht="22.5">
      <c r="A232" s="802" t="s">
        <v>555</v>
      </c>
      <c r="B232" s="803"/>
      <c r="C232" s="825" t="s">
        <v>547</v>
      </c>
      <c r="D232" s="826" t="s">
        <v>28</v>
      </c>
      <c r="E232" s="829" t="str">
        <f t="shared" si="139"/>
        <v>Hand Wash - re-fill pouche 200ml</v>
      </c>
      <c r="F232" s="823"/>
      <c r="G232" s="823"/>
      <c r="H232" s="823"/>
      <c r="I232" s="740"/>
      <c r="J232" s="739"/>
      <c r="K232" s="686"/>
      <c r="L232" s="739">
        <f t="shared" si="140"/>
        <v>0</v>
      </c>
      <c r="M232" s="740"/>
      <c r="N232" s="847">
        <v>2.5</v>
      </c>
      <c r="O232" s="846"/>
      <c r="P232" s="739">
        <f>7.57*10^5</f>
        <v>757000</v>
      </c>
      <c r="Q232" s="741"/>
      <c r="R232" s="742">
        <f t="shared" si="133"/>
        <v>0.18925</v>
      </c>
      <c r="S232" s="742"/>
      <c r="T232" s="742"/>
      <c r="U232" s="743"/>
      <c r="V232" s="743"/>
      <c r="W232" s="743"/>
      <c r="X232" s="743"/>
      <c r="Y232" s="743"/>
      <c r="Z232" s="743"/>
      <c r="AA232" s="743"/>
      <c r="AB232" s="743">
        <f t="shared" si="141"/>
        <v>0.5</v>
      </c>
      <c r="AC232" s="743">
        <f t="shared" si="142"/>
        <v>0.5</v>
      </c>
      <c r="AD232" s="743">
        <f t="shared" si="142"/>
        <v>0.5</v>
      </c>
      <c r="AE232" s="743">
        <f t="shared" si="142"/>
        <v>0.5</v>
      </c>
      <c r="AF232" s="743">
        <f t="shared" si="142"/>
        <v>0.5</v>
      </c>
      <c r="AG232" s="733">
        <f t="shared" si="120"/>
        <v>0</v>
      </c>
      <c r="AH232" s="208">
        <f t="shared" si="121"/>
        <v>0</v>
      </c>
      <c r="AI232" s="208">
        <f t="shared" si="122"/>
        <v>0</v>
      </c>
      <c r="AJ232" s="208">
        <f t="shared" si="123"/>
        <v>1</v>
      </c>
      <c r="AK232" s="208">
        <f t="shared" si="124"/>
        <v>1.5</v>
      </c>
      <c r="AL232" s="208">
        <f t="shared" si="125"/>
        <v>2.5</v>
      </c>
      <c r="AM232" s="805"/>
      <c r="AN232" s="746">
        <f t="shared" si="135"/>
        <v>0</v>
      </c>
      <c r="AO232" s="746">
        <f t="shared" si="135"/>
        <v>0</v>
      </c>
      <c r="AP232" s="746">
        <f t="shared" si="135"/>
        <v>0</v>
      </c>
      <c r="AQ232" s="746">
        <f t="shared" si="135"/>
        <v>0</v>
      </c>
      <c r="AR232" s="746">
        <f t="shared" si="135"/>
        <v>0</v>
      </c>
      <c r="AS232" s="746">
        <f t="shared" si="135"/>
        <v>0</v>
      </c>
      <c r="AT232" s="746">
        <f t="shared" si="135"/>
        <v>0</v>
      </c>
      <c r="AU232" s="746">
        <f t="shared" si="135"/>
        <v>3.7850000000000002E-2</v>
      </c>
      <c r="AV232" s="746">
        <f t="shared" si="135"/>
        <v>3.7850000000000002E-2</v>
      </c>
      <c r="AW232" s="746">
        <f t="shared" ref="AW232:AY243" si="143">AD232*$P232/10^7</f>
        <v>3.7850000000000002E-2</v>
      </c>
      <c r="AX232" s="746">
        <f t="shared" si="143"/>
        <v>3.7850000000000002E-2</v>
      </c>
      <c r="AY232" s="746">
        <f t="shared" si="143"/>
        <v>3.7850000000000002E-2</v>
      </c>
      <c r="AZ232" s="733">
        <f t="shared" si="126"/>
        <v>0</v>
      </c>
      <c r="BA232" s="636">
        <f t="shared" si="127"/>
        <v>0</v>
      </c>
      <c r="BB232" s="636">
        <f t="shared" si="128"/>
        <v>0</v>
      </c>
      <c r="BC232" s="636">
        <f t="shared" si="129"/>
        <v>7.5700000000000003E-2</v>
      </c>
      <c r="BD232" s="636">
        <f t="shared" si="130"/>
        <v>0.11355000000000001</v>
      </c>
      <c r="BE232" s="735">
        <f t="shared" si="131"/>
        <v>0.18925000000000003</v>
      </c>
      <c r="BF232" s="806"/>
      <c r="BG232" s="806"/>
      <c r="BH232" s="806"/>
      <c r="BI232" s="806"/>
      <c r="BJ232" s="680"/>
      <c r="BK232" s="680"/>
      <c r="BL232" s="680"/>
      <c r="BM232" s="680"/>
      <c r="BN232" s="680"/>
    </row>
    <row r="233" spans="1:66" ht="12.75">
      <c r="A233" s="802" t="s">
        <v>556</v>
      </c>
      <c r="B233" s="803"/>
      <c r="C233" s="820"/>
      <c r="D233" s="826" t="s">
        <v>28</v>
      </c>
      <c r="E233" s="829" t="str">
        <f t="shared" si="139"/>
        <v>Apollo 50 ml</v>
      </c>
      <c r="F233" s="823"/>
      <c r="G233" s="823"/>
      <c r="H233" s="823"/>
      <c r="I233" s="740"/>
      <c r="J233" s="739"/>
      <c r="K233" s="686"/>
      <c r="L233" s="739">
        <f t="shared" si="140"/>
        <v>0</v>
      </c>
      <c r="M233" s="740"/>
      <c r="N233" s="828">
        <v>0.22151999999999999</v>
      </c>
      <c r="O233" s="740"/>
      <c r="P233" s="739">
        <v>1395923.7595191251</v>
      </c>
      <c r="Q233" s="741"/>
      <c r="R233" s="742">
        <f t="shared" si="133"/>
        <v>3.0922503120867657E-2</v>
      </c>
      <c r="S233" s="742"/>
      <c r="T233" s="742"/>
      <c r="U233" s="743"/>
      <c r="V233" s="743"/>
      <c r="W233" s="746">
        <f>N233/3</f>
        <v>7.3840000000000003E-2</v>
      </c>
      <c r="X233" s="743"/>
      <c r="Y233" s="743"/>
      <c r="Z233" s="743">
        <f>W233</f>
        <v>7.3840000000000003E-2</v>
      </c>
      <c r="AA233" s="743"/>
      <c r="AB233" s="743"/>
      <c r="AC233" s="743">
        <f>Z233</f>
        <v>7.3840000000000003E-2</v>
      </c>
      <c r="AD233" s="744"/>
      <c r="AE233" s="744"/>
      <c r="AF233" s="745"/>
      <c r="AG233" s="733">
        <f t="shared" si="120"/>
        <v>0</v>
      </c>
      <c r="AH233" s="208">
        <f t="shared" si="121"/>
        <v>7.3840000000000003E-2</v>
      </c>
      <c r="AI233" s="208">
        <f t="shared" si="122"/>
        <v>7.3840000000000003E-2</v>
      </c>
      <c r="AJ233" s="208">
        <f t="shared" si="123"/>
        <v>7.3840000000000003E-2</v>
      </c>
      <c r="AK233" s="208">
        <f t="shared" si="124"/>
        <v>0</v>
      </c>
      <c r="AL233" s="208">
        <f t="shared" si="125"/>
        <v>0.22151999999999999</v>
      </c>
      <c r="AM233" s="805"/>
      <c r="AN233" s="746">
        <f t="shared" ref="AN233:AV243" si="144">U233*$P233/10^7</f>
        <v>0</v>
      </c>
      <c r="AO233" s="746">
        <f t="shared" si="144"/>
        <v>0</v>
      </c>
      <c r="AP233" s="746">
        <f t="shared" si="144"/>
        <v>1.030750104028922E-2</v>
      </c>
      <c r="AQ233" s="746">
        <f t="shared" si="144"/>
        <v>0</v>
      </c>
      <c r="AR233" s="746">
        <f t="shared" si="144"/>
        <v>0</v>
      </c>
      <c r="AS233" s="746">
        <f t="shared" si="144"/>
        <v>1.030750104028922E-2</v>
      </c>
      <c r="AT233" s="746">
        <f t="shared" si="144"/>
        <v>0</v>
      </c>
      <c r="AU233" s="746">
        <f t="shared" si="144"/>
        <v>0</v>
      </c>
      <c r="AV233" s="746">
        <f t="shared" si="144"/>
        <v>1.030750104028922E-2</v>
      </c>
      <c r="AW233" s="746">
        <f t="shared" si="143"/>
        <v>0</v>
      </c>
      <c r="AX233" s="746">
        <f t="shared" si="143"/>
        <v>0</v>
      </c>
      <c r="AY233" s="746">
        <f t="shared" si="143"/>
        <v>0</v>
      </c>
      <c r="AZ233" s="733">
        <f t="shared" si="126"/>
        <v>0</v>
      </c>
      <c r="BA233" s="636">
        <f t="shared" si="127"/>
        <v>1.030750104028922E-2</v>
      </c>
      <c r="BB233" s="636">
        <f t="shared" si="128"/>
        <v>1.030750104028922E-2</v>
      </c>
      <c r="BC233" s="636">
        <f t="shared" si="129"/>
        <v>1.030750104028922E-2</v>
      </c>
      <c r="BD233" s="636">
        <f t="shared" si="130"/>
        <v>0</v>
      </c>
      <c r="BE233" s="735">
        <f t="shared" si="131"/>
        <v>3.092250312086766E-2</v>
      </c>
      <c r="BF233" s="806"/>
      <c r="BG233" s="806"/>
      <c r="BH233" s="806"/>
      <c r="BI233" s="806"/>
      <c r="BJ233" s="680"/>
      <c r="BK233" s="680"/>
      <c r="BL233" s="680"/>
      <c r="BM233" s="680"/>
      <c r="BN233" s="680"/>
    </row>
    <row r="234" spans="1:66" ht="12.75">
      <c r="A234" s="802" t="s">
        <v>557</v>
      </c>
      <c r="B234" s="803"/>
      <c r="C234" s="820"/>
      <c r="D234" s="826" t="s">
        <v>28</v>
      </c>
      <c r="E234" s="829" t="str">
        <f t="shared" si="139"/>
        <v>Apollo 100 ml</v>
      </c>
      <c r="F234" s="823"/>
      <c r="G234" s="823"/>
      <c r="H234" s="823"/>
      <c r="I234" s="740"/>
      <c r="J234" s="739"/>
      <c r="K234" s="686">
        <v>1.44</v>
      </c>
      <c r="L234" s="739">
        <f t="shared" si="140"/>
        <v>1.44</v>
      </c>
      <c r="M234" s="740"/>
      <c r="N234" s="828">
        <v>0.19488</v>
      </c>
      <c r="O234" s="740"/>
      <c r="P234" s="739">
        <v>2156090.1190382498</v>
      </c>
      <c r="Q234" s="741"/>
      <c r="R234" s="742">
        <f t="shared" si="133"/>
        <v>4.2017884239817407E-2</v>
      </c>
      <c r="S234" s="742"/>
      <c r="T234" s="742"/>
      <c r="U234" s="743"/>
      <c r="V234" s="743"/>
      <c r="W234" s="746">
        <f>N234/3</f>
        <v>6.4960000000000004E-2</v>
      </c>
      <c r="X234" s="743"/>
      <c r="Y234" s="743"/>
      <c r="Z234" s="743">
        <f>W234</f>
        <v>6.4960000000000004E-2</v>
      </c>
      <c r="AA234" s="743"/>
      <c r="AB234" s="743"/>
      <c r="AC234" s="743">
        <f>Z234</f>
        <v>6.4960000000000004E-2</v>
      </c>
      <c r="AD234" s="744"/>
      <c r="AE234" s="744"/>
      <c r="AF234" s="745"/>
      <c r="AG234" s="733">
        <f t="shared" si="120"/>
        <v>0</v>
      </c>
      <c r="AH234" s="208">
        <f t="shared" si="121"/>
        <v>6.4960000000000004E-2</v>
      </c>
      <c r="AI234" s="208">
        <f t="shared" si="122"/>
        <v>6.4960000000000004E-2</v>
      </c>
      <c r="AJ234" s="208">
        <f t="shared" si="123"/>
        <v>6.4960000000000004E-2</v>
      </c>
      <c r="AK234" s="208">
        <f t="shared" si="124"/>
        <v>0</v>
      </c>
      <c r="AL234" s="208">
        <f t="shared" si="125"/>
        <v>0.19488</v>
      </c>
      <c r="AM234" s="805"/>
      <c r="AN234" s="746">
        <f t="shared" si="144"/>
        <v>0</v>
      </c>
      <c r="AO234" s="746">
        <f t="shared" si="144"/>
        <v>0</v>
      </c>
      <c r="AP234" s="746">
        <f t="shared" si="144"/>
        <v>1.4005961413272473E-2</v>
      </c>
      <c r="AQ234" s="746">
        <f t="shared" si="144"/>
        <v>0</v>
      </c>
      <c r="AR234" s="746">
        <f t="shared" si="144"/>
        <v>0</v>
      </c>
      <c r="AS234" s="746">
        <f t="shared" si="144"/>
        <v>1.4005961413272473E-2</v>
      </c>
      <c r="AT234" s="746">
        <f t="shared" si="144"/>
        <v>0</v>
      </c>
      <c r="AU234" s="746">
        <f t="shared" si="144"/>
        <v>0</v>
      </c>
      <c r="AV234" s="746">
        <f t="shared" si="144"/>
        <v>1.4005961413272473E-2</v>
      </c>
      <c r="AW234" s="746">
        <f t="shared" si="143"/>
        <v>0</v>
      </c>
      <c r="AX234" s="746">
        <f t="shared" si="143"/>
        <v>0</v>
      </c>
      <c r="AY234" s="746">
        <f t="shared" si="143"/>
        <v>0</v>
      </c>
      <c r="AZ234" s="733">
        <f t="shared" si="126"/>
        <v>0</v>
      </c>
      <c r="BA234" s="636">
        <f t="shared" si="127"/>
        <v>1.4005961413272473E-2</v>
      </c>
      <c r="BB234" s="636">
        <f t="shared" si="128"/>
        <v>1.4005961413272473E-2</v>
      </c>
      <c r="BC234" s="636">
        <f t="shared" si="129"/>
        <v>1.4005961413272473E-2</v>
      </c>
      <c r="BD234" s="636">
        <f t="shared" si="130"/>
        <v>0</v>
      </c>
      <c r="BE234" s="735">
        <f t="shared" si="131"/>
        <v>4.2017884239817421E-2</v>
      </c>
      <c r="BF234" s="806"/>
      <c r="BG234" s="806"/>
      <c r="BH234" s="806"/>
      <c r="BI234" s="806"/>
      <c r="BJ234" s="680"/>
      <c r="BK234" s="680"/>
      <c r="BL234" s="680"/>
      <c r="BM234" s="680"/>
      <c r="BN234" s="680"/>
    </row>
    <row r="235" spans="1:66" ht="12.75">
      <c r="A235" s="802"/>
      <c r="B235" s="803"/>
      <c r="C235" s="825"/>
      <c r="D235" s="826"/>
      <c r="E235" s="829"/>
      <c r="F235" s="823"/>
      <c r="G235" s="823"/>
      <c r="H235" s="823"/>
      <c r="I235" s="740"/>
      <c r="J235" s="739"/>
      <c r="K235" s="686"/>
      <c r="L235" s="739">
        <f t="shared" si="140"/>
        <v>0</v>
      </c>
      <c r="M235" s="740"/>
      <c r="N235" s="828"/>
      <c r="O235" s="740"/>
      <c r="P235" s="739"/>
      <c r="Q235" s="741"/>
      <c r="R235" s="742"/>
      <c r="S235" s="742"/>
      <c r="T235" s="742"/>
      <c r="U235" s="743"/>
      <c r="V235" s="743"/>
      <c r="W235" s="743"/>
      <c r="X235" s="743"/>
      <c r="Y235" s="743"/>
      <c r="Z235" s="743"/>
      <c r="AA235" s="743"/>
      <c r="AB235" s="743"/>
      <c r="AC235" s="743"/>
      <c r="AD235" s="744"/>
      <c r="AE235" s="744"/>
      <c r="AF235" s="745"/>
      <c r="AG235" s="733">
        <f t="shared" si="120"/>
        <v>0</v>
      </c>
      <c r="AH235" s="208">
        <f t="shared" si="121"/>
        <v>0</v>
      </c>
      <c r="AI235" s="208">
        <f t="shared" si="122"/>
        <v>0</v>
      </c>
      <c r="AJ235" s="208">
        <f t="shared" si="123"/>
        <v>0</v>
      </c>
      <c r="AK235" s="208">
        <f t="shared" si="124"/>
        <v>0</v>
      </c>
      <c r="AL235" s="208">
        <f t="shared" si="125"/>
        <v>0</v>
      </c>
      <c r="AM235" s="805"/>
      <c r="AN235" s="746">
        <f t="shared" si="144"/>
        <v>0</v>
      </c>
      <c r="AO235" s="746">
        <f t="shared" si="144"/>
        <v>0</v>
      </c>
      <c r="AP235" s="746">
        <f t="shared" si="144"/>
        <v>0</v>
      </c>
      <c r="AQ235" s="746">
        <f t="shared" si="144"/>
        <v>0</v>
      </c>
      <c r="AR235" s="746">
        <f t="shared" si="144"/>
        <v>0</v>
      </c>
      <c r="AS235" s="746">
        <f t="shared" si="144"/>
        <v>0</v>
      </c>
      <c r="AT235" s="746">
        <f t="shared" si="144"/>
        <v>0</v>
      </c>
      <c r="AU235" s="746">
        <f t="shared" si="144"/>
        <v>0</v>
      </c>
      <c r="AV235" s="746">
        <f t="shared" si="144"/>
        <v>0</v>
      </c>
      <c r="AW235" s="746">
        <f t="shared" si="143"/>
        <v>0</v>
      </c>
      <c r="AX235" s="746">
        <f t="shared" si="143"/>
        <v>0</v>
      </c>
      <c r="AY235" s="746">
        <f t="shared" si="143"/>
        <v>0</v>
      </c>
      <c r="AZ235" s="733">
        <f t="shared" si="126"/>
        <v>0</v>
      </c>
      <c r="BA235" s="636">
        <f t="shared" si="127"/>
        <v>0</v>
      </c>
      <c r="BB235" s="636">
        <f t="shared" si="128"/>
        <v>0</v>
      </c>
      <c r="BC235" s="636">
        <f t="shared" si="129"/>
        <v>0</v>
      </c>
      <c r="BD235" s="636">
        <f t="shared" si="130"/>
        <v>0</v>
      </c>
      <c r="BE235" s="735">
        <f t="shared" si="131"/>
        <v>0</v>
      </c>
      <c r="BF235" s="806"/>
      <c r="BG235" s="806"/>
      <c r="BH235" s="806"/>
      <c r="BI235" s="806"/>
      <c r="BJ235" s="680"/>
      <c r="BK235" s="680"/>
      <c r="BL235" s="680"/>
      <c r="BM235" s="680"/>
      <c r="BN235" s="680"/>
    </row>
    <row r="236" spans="1:66" ht="12.75">
      <c r="A236" s="802"/>
      <c r="B236" s="803"/>
      <c r="C236" s="820"/>
      <c r="D236" s="821"/>
      <c r="E236" s="822"/>
      <c r="F236" s="823"/>
      <c r="G236" s="823"/>
      <c r="H236" s="823"/>
      <c r="I236" s="740"/>
      <c r="J236" s="739"/>
      <c r="K236" s="686"/>
      <c r="L236" s="739">
        <f t="shared" si="140"/>
        <v>0</v>
      </c>
      <c r="M236" s="740"/>
      <c r="N236" s="739"/>
      <c r="O236" s="740"/>
      <c r="P236" s="739"/>
      <c r="Q236" s="741"/>
      <c r="R236" s="742">
        <f t="shared" si="133"/>
        <v>0</v>
      </c>
      <c r="S236" s="742"/>
      <c r="T236" s="742"/>
      <c r="U236" s="743"/>
      <c r="V236" s="743"/>
      <c r="W236" s="743"/>
      <c r="X236" s="743"/>
      <c r="Y236" s="743"/>
      <c r="Z236" s="743"/>
      <c r="AA236" s="743"/>
      <c r="AB236" s="743"/>
      <c r="AC236" s="743"/>
      <c r="AD236" s="744"/>
      <c r="AE236" s="744"/>
      <c r="AF236" s="745"/>
      <c r="AG236" s="733">
        <f t="shared" si="120"/>
        <v>0</v>
      </c>
      <c r="AH236" s="208">
        <f t="shared" si="121"/>
        <v>0</v>
      </c>
      <c r="AI236" s="208">
        <f t="shared" si="122"/>
        <v>0</v>
      </c>
      <c r="AJ236" s="208">
        <f t="shared" si="123"/>
        <v>0</v>
      </c>
      <c r="AK236" s="208">
        <f t="shared" si="124"/>
        <v>0</v>
      </c>
      <c r="AL236" s="208">
        <f t="shared" si="125"/>
        <v>0</v>
      </c>
      <c r="AM236" s="805"/>
      <c r="AN236" s="746">
        <f t="shared" si="144"/>
        <v>0</v>
      </c>
      <c r="AO236" s="746">
        <f t="shared" si="144"/>
        <v>0</v>
      </c>
      <c r="AP236" s="746">
        <f t="shared" si="144"/>
        <v>0</v>
      </c>
      <c r="AQ236" s="746">
        <f t="shared" si="144"/>
        <v>0</v>
      </c>
      <c r="AR236" s="746">
        <f t="shared" si="144"/>
        <v>0</v>
      </c>
      <c r="AS236" s="746">
        <f t="shared" si="144"/>
        <v>0</v>
      </c>
      <c r="AT236" s="746">
        <f t="shared" si="144"/>
        <v>0</v>
      </c>
      <c r="AU236" s="746">
        <f t="shared" si="144"/>
        <v>0</v>
      </c>
      <c r="AV236" s="746">
        <f t="shared" si="144"/>
        <v>0</v>
      </c>
      <c r="AW236" s="746">
        <f t="shared" si="143"/>
        <v>0</v>
      </c>
      <c r="AX236" s="746">
        <f t="shared" si="143"/>
        <v>0</v>
      </c>
      <c r="AY236" s="746">
        <f t="shared" si="143"/>
        <v>0</v>
      </c>
      <c r="AZ236" s="733">
        <f t="shared" si="126"/>
        <v>0</v>
      </c>
      <c r="BA236" s="636">
        <f t="shared" si="127"/>
        <v>0</v>
      </c>
      <c r="BB236" s="636">
        <f t="shared" si="128"/>
        <v>0</v>
      </c>
      <c r="BC236" s="636">
        <f t="shared" si="129"/>
        <v>0</v>
      </c>
      <c r="BD236" s="636">
        <f t="shared" si="130"/>
        <v>0</v>
      </c>
      <c r="BE236" s="735">
        <f t="shared" si="131"/>
        <v>0</v>
      </c>
      <c r="BF236" s="806"/>
      <c r="BG236" s="806"/>
      <c r="BH236" s="806"/>
      <c r="BI236" s="806"/>
      <c r="BJ236" s="680"/>
      <c r="BK236" s="680"/>
      <c r="BL236" s="680"/>
      <c r="BM236" s="680"/>
      <c r="BN236" s="680"/>
    </row>
    <row r="237" spans="1:66" ht="12.75">
      <c r="A237" s="802"/>
      <c r="B237" s="803"/>
      <c r="C237" s="820"/>
      <c r="D237" s="821"/>
      <c r="E237" s="822"/>
      <c r="F237" s="823"/>
      <c r="G237" s="823"/>
      <c r="H237" s="823"/>
      <c r="I237" s="740"/>
      <c r="J237" s="739"/>
      <c r="K237" s="686"/>
      <c r="L237" s="739">
        <f t="shared" si="140"/>
        <v>0</v>
      </c>
      <c r="M237" s="740"/>
      <c r="N237" s="739"/>
      <c r="O237" s="740"/>
      <c r="P237" s="739"/>
      <c r="Q237" s="741"/>
      <c r="R237" s="742">
        <f t="shared" si="133"/>
        <v>0</v>
      </c>
      <c r="S237" s="742"/>
      <c r="T237" s="742"/>
      <c r="U237" s="743"/>
      <c r="V237" s="743"/>
      <c r="W237" s="743"/>
      <c r="X237" s="743"/>
      <c r="Y237" s="743"/>
      <c r="Z237" s="743"/>
      <c r="AA237" s="743"/>
      <c r="AB237" s="743"/>
      <c r="AC237" s="743"/>
      <c r="AD237" s="744"/>
      <c r="AE237" s="744"/>
      <c r="AF237" s="745"/>
      <c r="AG237" s="733">
        <f t="shared" si="120"/>
        <v>0</v>
      </c>
      <c r="AH237" s="208">
        <f t="shared" si="121"/>
        <v>0</v>
      </c>
      <c r="AI237" s="208">
        <f t="shared" si="122"/>
        <v>0</v>
      </c>
      <c r="AJ237" s="208">
        <f t="shared" si="123"/>
        <v>0</v>
      </c>
      <c r="AK237" s="208">
        <f t="shared" si="124"/>
        <v>0</v>
      </c>
      <c r="AL237" s="208">
        <f t="shared" si="125"/>
        <v>0</v>
      </c>
      <c r="AM237" s="805"/>
      <c r="AN237" s="746">
        <f t="shared" si="144"/>
        <v>0</v>
      </c>
      <c r="AO237" s="746">
        <f t="shared" si="144"/>
        <v>0</v>
      </c>
      <c r="AP237" s="746">
        <f t="shared" si="144"/>
        <v>0</v>
      </c>
      <c r="AQ237" s="746">
        <f t="shared" si="144"/>
        <v>0</v>
      </c>
      <c r="AR237" s="746">
        <f t="shared" si="144"/>
        <v>0</v>
      </c>
      <c r="AS237" s="746">
        <f t="shared" si="144"/>
        <v>0</v>
      </c>
      <c r="AT237" s="746">
        <f t="shared" si="144"/>
        <v>0</v>
      </c>
      <c r="AU237" s="746">
        <f t="shared" si="144"/>
        <v>0</v>
      </c>
      <c r="AV237" s="746">
        <f t="shared" si="144"/>
        <v>0</v>
      </c>
      <c r="AW237" s="746">
        <f t="shared" si="143"/>
        <v>0</v>
      </c>
      <c r="AX237" s="746">
        <f t="shared" si="143"/>
        <v>0</v>
      </c>
      <c r="AY237" s="746">
        <f t="shared" si="143"/>
        <v>0</v>
      </c>
      <c r="AZ237" s="733">
        <f t="shared" si="126"/>
        <v>0</v>
      </c>
      <c r="BA237" s="636">
        <f t="shared" si="127"/>
        <v>0</v>
      </c>
      <c r="BB237" s="636">
        <f t="shared" si="128"/>
        <v>0</v>
      </c>
      <c r="BC237" s="636">
        <f t="shared" si="129"/>
        <v>0</v>
      </c>
      <c r="BD237" s="636">
        <f t="shared" si="130"/>
        <v>0</v>
      </c>
      <c r="BE237" s="735">
        <f t="shared" si="131"/>
        <v>0</v>
      </c>
      <c r="BF237" s="806"/>
      <c r="BG237" s="806"/>
      <c r="BH237" s="806"/>
      <c r="BI237" s="806"/>
      <c r="BJ237" s="680"/>
      <c r="BK237" s="680"/>
      <c r="BL237" s="680"/>
      <c r="BM237" s="680"/>
      <c r="BN237" s="680"/>
    </row>
    <row r="238" spans="1:66" ht="12.75">
      <c r="A238" s="802"/>
      <c r="B238" s="803"/>
      <c r="C238" s="820"/>
      <c r="D238" s="821"/>
      <c r="E238" s="822"/>
      <c r="F238" s="823"/>
      <c r="G238" s="823"/>
      <c r="H238" s="823"/>
      <c r="I238" s="740"/>
      <c r="J238" s="739"/>
      <c r="K238" s="686"/>
      <c r="L238" s="739">
        <f t="shared" si="140"/>
        <v>0</v>
      </c>
      <c r="M238" s="740"/>
      <c r="N238" s="739"/>
      <c r="O238" s="740"/>
      <c r="P238" s="739"/>
      <c r="Q238" s="741"/>
      <c r="R238" s="742">
        <f t="shared" si="133"/>
        <v>0</v>
      </c>
      <c r="S238" s="742"/>
      <c r="T238" s="742"/>
      <c r="U238" s="743"/>
      <c r="V238" s="743"/>
      <c r="W238" s="743"/>
      <c r="X238" s="743"/>
      <c r="Y238" s="743"/>
      <c r="Z238" s="743"/>
      <c r="AA238" s="743"/>
      <c r="AB238" s="743"/>
      <c r="AC238" s="743"/>
      <c r="AD238" s="744"/>
      <c r="AE238" s="744"/>
      <c r="AF238" s="745"/>
      <c r="AG238" s="733">
        <f t="shared" si="120"/>
        <v>0</v>
      </c>
      <c r="AH238" s="208">
        <f t="shared" si="121"/>
        <v>0</v>
      </c>
      <c r="AI238" s="208">
        <f t="shared" si="122"/>
        <v>0</v>
      </c>
      <c r="AJ238" s="208">
        <f t="shared" si="123"/>
        <v>0</v>
      </c>
      <c r="AK238" s="208">
        <f t="shared" si="124"/>
        <v>0</v>
      </c>
      <c r="AL238" s="208">
        <f t="shared" si="125"/>
        <v>0</v>
      </c>
      <c r="AM238" s="805"/>
      <c r="AN238" s="746">
        <f t="shared" si="144"/>
        <v>0</v>
      </c>
      <c r="AO238" s="746">
        <f t="shared" si="144"/>
        <v>0</v>
      </c>
      <c r="AP238" s="746">
        <f t="shared" si="144"/>
        <v>0</v>
      </c>
      <c r="AQ238" s="746">
        <f t="shared" si="144"/>
        <v>0</v>
      </c>
      <c r="AR238" s="746">
        <f t="shared" si="144"/>
        <v>0</v>
      </c>
      <c r="AS238" s="746">
        <f t="shared" si="144"/>
        <v>0</v>
      </c>
      <c r="AT238" s="746">
        <f t="shared" si="144"/>
        <v>0</v>
      </c>
      <c r="AU238" s="746">
        <f t="shared" si="144"/>
        <v>0</v>
      </c>
      <c r="AV238" s="746">
        <f t="shared" si="144"/>
        <v>0</v>
      </c>
      <c r="AW238" s="746">
        <f t="shared" si="143"/>
        <v>0</v>
      </c>
      <c r="AX238" s="746">
        <f t="shared" si="143"/>
        <v>0</v>
      </c>
      <c r="AY238" s="746">
        <f t="shared" si="143"/>
        <v>0</v>
      </c>
      <c r="AZ238" s="733">
        <f t="shared" si="126"/>
        <v>0</v>
      </c>
      <c r="BA238" s="636">
        <f t="shared" si="127"/>
        <v>0</v>
      </c>
      <c r="BB238" s="636">
        <f t="shared" si="128"/>
        <v>0</v>
      </c>
      <c r="BC238" s="636">
        <f t="shared" si="129"/>
        <v>0</v>
      </c>
      <c r="BD238" s="636">
        <f t="shared" si="130"/>
        <v>0</v>
      </c>
      <c r="BE238" s="735">
        <f t="shared" si="131"/>
        <v>0</v>
      </c>
      <c r="BF238" s="806"/>
      <c r="BG238" s="806"/>
      <c r="BH238" s="806"/>
      <c r="BI238" s="806"/>
      <c r="BJ238" s="680"/>
      <c r="BK238" s="680"/>
      <c r="BL238" s="680"/>
      <c r="BM238" s="680"/>
      <c r="BN238" s="680"/>
    </row>
    <row r="239" spans="1:66" ht="12.75">
      <c r="A239" s="802"/>
      <c r="B239" s="803"/>
      <c r="C239" s="820"/>
      <c r="D239" s="821"/>
      <c r="E239" s="822"/>
      <c r="F239" s="823"/>
      <c r="G239" s="823"/>
      <c r="H239" s="823"/>
      <c r="I239" s="740"/>
      <c r="J239" s="739"/>
      <c r="K239" s="686"/>
      <c r="L239" s="739">
        <f t="shared" si="140"/>
        <v>0</v>
      </c>
      <c r="M239" s="740"/>
      <c r="N239" s="739"/>
      <c r="O239" s="740"/>
      <c r="P239" s="739"/>
      <c r="Q239" s="741"/>
      <c r="R239" s="742">
        <f t="shared" si="133"/>
        <v>0</v>
      </c>
      <c r="S239" s="742"/>
      <c r="T239" s="742"/>
      <c r="U239" s="743"/>
      <c r="V239" s="743"/>
      <c r="W239" s="743"/>
      <c r="X239" s="743"/>
      <c r="Y239" s="743"/>
      <c r="Z239" s="743"/>
      <c r="AA239" s="743"/>
      <c r="AB239" s="743"/>
      <c r="AC239" s="743"/>
      <c r="AD239" s="744"/>
      <c r="AE239" s="744"/>
      <c r="AF239" s="745"/>
      <c r="AG239" s="733">
        <f t="shared" si="120"/>
        <v>0</v>
      </c>
      <c r="AH239" s="208">
        <f t="shared" si="121"/>
        <v>0</v>
      </c>
      <c r="AI239" s="208">
        <f t="shared" si="122"/>
        <v>0</v>
      </c>
      <c r="AJ239" s="208">
        <f t="shared" si="123"/>
        <v>0</v>
      </c>
      <c r="AK239" s="208">
        <f t="shared" si="124"/>
        <v>0</v>
      </c>
      <c r="AL239" s="208">
        <f t="shared" si="125"/>
        <v>0</v>
      </c>
      <c r="AM239" s="805"/>
      <c r="AN239" s="746">
        <f t="shared" si="144"/>
        <v>0</v>
      </c>
      <c r="AO239" s="746">
        <f t="shared" si="144"/>
        <v>0</v>
      </c>
      <c r="AP239" s="746">
        <f t="shared" si="144"/>
        <v>0</v>
      </c>
      <c r="AQ239" s="746">
        <f t="shared" si="144"/>
        <v>0</v>
      </c>
      <c r="AR239" s="746">
        <f t="shared" si="144"/>
        <v>0</v>
      </c>
      <c r="AS239" s="746">
        <f t="shared" si="144"/>
        <v>0</v>
      </c>
      <c r="AT239" s="746">
        <f t="shared" si="144"/>
        <v>0</v>
      </c>
      <c r="AU239" s="746">
        <f t="shared" si="144"/>
        <v>0</v>
      </c>
      <c r="AV239" s="746">
        <f t="shared" si="144"/>
        <v>0</v>
      </c>
      <c r="AW239" s="746">
        <f t="shared" si="143"/>
        <v>0</v>
      </c>
      <c r="AX239" s="746">
        <f t="shared" si="143"/>
        <v>0</v>
      </c>
      <c r="AY239" s="746">
        <f t="shared" si="143"/>
        <v>0</v>
      </c>
      <c r="AZ239" s="733">
        <f t="shared" si="126"/>
        <v>0</v>
      </c>
      <c r="BA239" s="636">
        <f t="shared" si="127"/>
        <v>0</v>
      </c>
      <c r="BB239" s="636">
        <f t="shared" si="128"/>
        <v>0</v>
      </c>
      <c r="BC239" s="636">
        <f t="shared" si="129"/>
        <v>0</v>
      </c>
      <c r="BD239" s="636">
        <f t="shared" si="130"/>
        <v>0</v>
      </c>
      <c r="BE239" s="735">
        <f t="shared" si="131"/>
        <v>0</v>
      </c>
      <c r="BF239" s="806"/>
      <c r="BG239" s="806"/>
      <c r="BH239" s="806"/>
      <c r="BI239" s="806"/>
      <c r="BJ239" s="680"/>
      <c r="BK239" s="680"/>
      <c r="BL239" s="680"/>
      <c r="BM239" s="680"/>
      <c r="BN239" s="680"/>
    </row>
    <row r="240" spans="1:66" ht="12.75">
      <c r="A240" s="802"/>
      <c r="B240" s="803"/>
      <c r="C240" s="820"/>
      <c r="D240" s="821"/>
      <c r="E240" s="822"/>
      <c r="F240" s="823"/>
      <c r="G240" s="823"/>
      <c r="H240" s="823"/>
      <c r="I240" s="740"/>
      <c r="J240" s="739"/>
      <c r="K240" s="686"/>
      <c r="L240" s="739">
        <f t="shared" si="140"/>
        <v>0</v>
      </c>
      <c r="M240" s="740"/>
      <c r="N240" s="739"/>
      <c r="O240" s="740"/>
      <c r="P240" s="739"/>
      <c r="Q240" s="741"/>
      <c r="R240" s="742">
        <f t="shared" si="133"/>
        <v>0</v>
      </c>
      <c r="S240" s="742"/>
      <c r="T240" s="742"/>
      <c r="U240" s="743"/>
      <c r="V240" s="743"/>
      <c r="W240" s="743"/>
      <c r="X240" s="743"/>
      <c r="Y240" s="743"/>
      <c r="Z240" s="743"/>
      <c r="AA240" s="743"/>
      <c r="AB240" s="743"/>
      <c r="AC240" s="743"/>
      <c r="AD240" s="744"/>
      <c r="AE240" s="744"/>
      <c r="AF240" s="745"/>
      <c r="AG240" s="733">
        <f t="shared" si="120"/>
        <v>0</v>
      </c>
      <c r="AH240" s="208">
        <f t="shared" si="121"/>
        <v>0</v>
      </c>
      <c r="AI240" s="208">
        <f t="shared" si="122"/>
        <v>0</v>
      </c>
      <c r="AJ240" s="208">
        <f t="shared" si="123"/>
        <v>0</v>
      </c>
      <c r="AK240" s="208">
        <f t="shared" si="124"/>
        <v>0</v>
      </c>
      <c r="AL240" s="208">
        <f t="shared" si="125"/>
        <v>0</v>
      </c>
      <c r="AM240" s="805"/>
      <c r="AN240" s="746">
        <f t="shared" si="144"/>
        <v>0</v>
      </c>
      <c r="AO240" s="746">
        <f t="shared" si="144"/>
        <v>0</v>
      </c>
      <c r="AP240" s="746">
        <f t="shared" si="144"/>
        <v>0</v>
      </c>
      <c r="AQ240" s="746">
        <f t="shared" si="144"/>
        <v>0</v>
      </c>
      <c r="AR240" s="746">
        <f t="shared" si="144"/>
        <v>0</v>
      </c>
      <c r="AS240" s="746">
        <f t="shared" si="144"/>
        <v>0</v>
      </c>
      <c r="AT240" s="746">
        <f t="shared" si="144"/>
        <v>0</v>
      </c>
      <c r="AU240" s="746">
        <f t="shared" si="144"/>
        <v>0</v>
      </c>
      <c r="AV240" s="746">
        <f t="shared" si="144"/>
        <v>0</v>
      </c>
      <c r="AW240" s="746">
        <f t="shared" si="143"/>
        <v>0</v>
      </c>
      <c r="AX240" s="746">
        <f t="shared" si="143"/>
        <v>0</v>
      </c>
      <c r="AY240" s="746">
        <f t="shared" si="143"/>
        <v>0</v>
      </c>
      <c r="AZ240" s="733">
        <f t="shared" si="126"/>
        <v>0</v>
      </c>
      <c r="BA240" s="636">
        <f t="shared" si="127"/>
        <v>0</v>
      </c>
      <c r="BB240" s="636">
        <f t="shared" si="128"/>
        <v>0</v>
      </c>
      <c r="BC240" s="636">
        <f t="shared" si="129"/>
        <v>0</v>
      </c>
      <c r="BD240" s="636">
        <f t="shared" si="130"/>
        <v>0</v>
      </c>
      <c r="BE240" s="735">
        <f t="shared" si="131"/>
        <v>0</v>
      </c>
      <c r="BF240" s="806"/>
      <c r="BG240" s="806"/>
      <c r="BH240" s="806"/>
      <c r="BI240" s="806"/>
      <c r="BJ240" s="680"/>
      <c r="BK240" s="680"/>
      <c r="BL240" s="680"/>
      <c r="BM240" s="680"/>
      <c r="BN240" s="680"/>
    </row>
    <row r="241" spans="1:66" ht="12.75">
      <c r="A241" s="802"/>
      <c r="B241" s="803"/>
      <c r="C241" s="820"/>
      <c r="D241" s="821"/>
      <c r="E241" s="822"/>
      <c r="F241" s="823"/>
      <c r="G241" s="823"/>
      <c r="H241" s="823"/>
      <c r="I241" s="740"/>
      <c r="J241" s="739"/>
      <c r="K241" s="686"/>
      <c r="L241" s="739">
        <f t="shared" si="140"/>
        <v>0</v>
      </c>
      <c r="M241" s="740"/>
      <c r="N241" s="739"/>
      <c r="O241" s="740"/>
      <c r="P241" s="739"/>
      <c r="Q241" s="741"/>
      <c r="R241" s="742">
        <f t="shared" si="133"/>
        <v>0</v>
      </c>
      <c r="S241" s="742"/>
      <c r="T241" s="742"/>
      <c r="U241" s="743"/>
      <c r="V241" s="743"/>
      <c r="W241" s="743"/>
      <c r="X241" s="743"/>
      <c r="Y241" s="743"/>
      <c r="Z241" s="743"/>
      <c r="AA241" s="743"/>
      <c r="AB241" s="743"/>
      <c r="AC241" s="743"/>
      <c r="AD241" s="744"/>
      <c r="AE241" s="744"/>
      <c r="AF241" s="745"/>
      <c r="AG241" s="733">
        <f t="shared" si="120"/>
        <v>0</v>
      </c>
      <c r="AH241" s="208">
        <f t="shared" si="121"/>
        <v>0</v>
      </c>
      <c r="AI241" s="208">
        <f t="shared" si="122"/>
        <v>0</v>
      </c>
      <c r="AJ241" s="208">
        <f t="shared" si="123"/>
        <v>0</v>
      </c>
      <c r="AK241" s="208">
        <f t="shared" si="124"/>
        <v>0</v>
      </c>
      <c r="AL241" s="208">
        <f t="shared" si="125"/>
        <v>0</v>
      </c>
      <c r="AM241" s="805"/>
      <c r="AN241" s="746">
        <f t="shared" si="144"/>
        <v>0</v>
      </c>
      <c r="AO241" s="746">
        <f t="shared" si="144"/>
        <v>0</v>
      </c>
      <c r="AP241" s="746">
        <f t="shared" si="144"/>
        <v>0</v>
      </c>
      <c r="AQ241" s="746">
        <f t="shared" si="144"/>
        <v>0</v>
      </c>
      <c r="AR241" s="746">
        <f t="shared" si="144"/>
        <v>0</v>
      </c>
      <c r="AS241" s="746">
        <f t="shared" si="144"/>
        <v>0</v>
      </c>
      <c r="AT241" s="746">
        <f t="shared" si="144"/>
        <v>0</v>
      </c>
      <c r="AU241" s="746">
        <f t="shared" si="144"/>
        <v>0</v>
      </c>
      <c r="AV241" s="746">
        <f t="shared" si="144"/>
        <v>0</v>
      </c>
      <c r="AW241" s="746">
        <f t="shared" si="143"/>
        <v>0</v>
      </c>
      <c r="AX241" s="746">
        <f t="shared" si="143"/>
        <v>0</v>
      </c>
      <c r="AY241" s="746">
        <f t="shared" si="143"/>
        <v>0</v>
      </c>
      <c r="AZ241" s="733">
        <f t="shared" si="126"/>
        <v>0</v>
      </c>
      <c r="BA241" s="636">
        <f t="shared" si="127"/>
        <v>0</v>
      </c>
      <c r="BB241" s="636">
        <f t="shared" si="128"/>
        <v>0</v>
      </c>
      <c r="BC241" s="636">
        <f t="shared" si="129"/>
        <v>0</v>
      </c>
      <c r="BD241" s="636">
        <f t="shared" si="130"/>
        <v>0</v>
      </c>
      <c r="BE241" s="735">
        <f t="shared" si="131"/>
        <v>0</v>
      </c>
      <c r="BF241" s="806"/>
      <c r="BG241" s="806"/>
      <c r="BH241" s="806"/>
      <c r="BI241" s="806"/>
      <c r="BJ241" s="680"/>
      <c r="BK241" s="680"/>
      <c r="BL241" s="680"/>
      <c r="BM241" s="680"/>
      <c r="BN241" s="680"/>
    </row>
    <row r="242" spans="1:66" ht="12.75">
      <c r="A242" s="802"/>
      <c r="B242" s="803"/>
      <c r="C242" s="820"/>
      <c r="D242" s="821"/>
      <c r="E242" s="822"/>
      <c r="F242" s="823"/>
      <c r="G242" s="823"/>
      <c r="H242" s="823"/>
      <c r="I242" s="740"/>
      <c r="J242" s="739"/>
      <c r="K242" s="686"/>
      <c r="L242" s="739">
        <f t="shared" si="140"/>
        <v>0</v>
      </c>
      <c r="M242" s="740"/>
      <c r="N242" s="739"/>
      <c r="O242" s="740"/>
      <c r="P242" s="739"/>
      <c r="Q242" s="741"/>
      <c r="R242" s="742">
        <f t="shared" si="133"/>
        <v>0</v>
      </c>
      <c r="S242" s="742"/>
      <c r="T242" s="742"/>
      <c r="U242" s="743"/>
      <c r="V242" s="743"/>
      <c r="W242" s="743"/>
      <c r="X242" s="743"/>
      <c r="Y242" s="743"/>
      <c r="Z242" s="743"/>
      <c r="AA242" s="743"/>
      <c r="AB242" s="743"/>
      <c r="AC242" s="743"/>
      <c r="AD242" s="744"/>
      <c r="AE242" s="744"/>
      <c r="AF242" s="745"/>
      <c r="AG242" s="733">
        <f t="shared" si="120"/>
        <v>0</v>
      </c>
      <c r="AH242" s="208">
        <f t="shared" si="121"/>
        <v>0</v>
      </c>
      <c r="AI242" s="208">
        <f t="shared" si="122"/>
        <v>0</v>
      </c>
      <c r="AJ242" s="208">
        <f t="shared" si="123"/>
        <v>0</v>
      </c>
      <c r="AK242" s="208">
        <f t="shared" si="124"/>
        <v>0</v>
      </c>
      <c r="AL242" s="208">
        <f t="shared" si="125"/>
        <v>0</v>
      </c>
      <c r="AM242" s="805"/>
      <c r="AN242" s="746">
        <f t="shared" si="144"/>
        <v>0</v>
      </c>
      <c r="AO242" s="746">
        <f t="shared" si="144"/>
        <v>0</v>
      </c>
      <c r="AP242" s="746">
        <f t="shared" si="144"/>
        <v>0</v>
      </c>
      <c r="AQ242" s="746">
        <f t="shared" si="144"/>
        <v>0</v>
      </c>
      <c r="AR242" s="746">
        <f t="shared" si="144"/>
        <v>0</v>
      </c>
      <c r="AS242" s="746">
        <f t="shared" si="144"/>
        <v>0</v>
      </c>
      <c r="AT242" s="746">
        <f t="shared" si="144"/>
        <v>0</v>
      </c>
      <c r="AU242" s="746">
        <f t="shared" si="144"/>
        <v>0</v>
      </c>
      <c r="AV242" s="746">
        <f t="shared" si="144"/>
        <v>0</v>
      </c>
      <c r="AW242" s="746">
        <f t="shared" si="143"/>
        <v>0</v>
      </c>
      <c r="AX242" s="746">
        <f t="shared" si="143"/>
        <v>0</v>
      </c>
      <c r="AY242" s="746">
        <f t="shared" si="143"/>
        <v>0</v>
      </c>
      <c r="AZ242" s="733">
        <f t="shared" si="126"/>
        <v>0</v>
      </c>
      <c r="BA242" s="636">
        <f t="shared" si="127"/>
        <v>0</v>
      </c>
      <c r="BB242" s="636">
        <f t="shared" si="128"/>
        <v>0</v>
      </c>
      <c r="BC242" s="636">
        <f t="shared" si="129"/>
        <v>0</v>
      </c>
      <c r="BD242" s="636">
        <f t="shared" si="130"/>
        <v>0</v>
      </c>
      <c r="BE242" s="735">
        <f t="shared" si="131"/>
        <v>0</v>
      </c>
      <c r="BF242" s="806"/>
      <c r="BG242" s="806"/>
      <c r="BH242" s="806"/>
      <c r="BI242" s="806"/>
      <c r="BJ242" s="680"/>
      <c r="BK242" s="680"/>
      <c r="BL242" s="680"/>
      <c r="BM242" s="680"/>
      <c r="BN242" s="680"/>
    </row>
    <row r="243" spans="1:66" ht="12.75">
      <c r="A243" s="802"/>
      <c r="B243" s="803"/>
      <c r="C243" s="820"/>
      <c r="D243" s="821"/>
      <c r="E243" s="822"/>
      <c r="F243" s="823"/>
      <c r="G243" s="823"/>
      <c r="H243" s="823"/>
      <c r="I243" s="740"/>
      <c r="J243" s="739"/>
      <c r="K243" s="686"/>
      <c r="L243" s="739">
        <f t="shared" si="140"/>
        <v>0</v>
      </c>
      <c r="M243" s="740"/>
      <c r="N243" s="739"/>
      <c r="O243" s="740"/>
      <c r="P243" s="739"/>
      <c r="Q243" s="741"/>
      <c r="R243" s="742">
        <f t="shared" si="133"/>
        <v>0</v>
      </c>
      <c r="S243" s="742"/>
      <c r="T243" s="742"/>
      <c r="U243" s="743"/>
      <c r="V243" s="743"/>
      <c r="W243" s="743"/>
      <c r="X243" s="743"/>
      <c r="Y243" s="743"/>
      <c r="Z243" s="743"/>
      <c r="AA243" s="743"/>
      <c r="AB243" s="743"/>
      <c r="AC243" s="743"/>
      <c r="AD243" s="744"/>
      <c r="AE243" s="744"/>
      <c r="AF243" s="745"/>
      <c r="AG243" s="733">
        <f t="shared" si="120"/>
        <v>0</v>
      </c>
      <c r="AH243" s="208">
        <f t="shared" si="121"/>
        <v>0</v>
      </c>
      <c r="AI243" s="208">
        <f t="shared" si="122"/>
        <v>0</v>
      </c>
      <c r="AJ243" s="208">
        <f t="shared" si="123"/>
        <v>0</v>
      </c>
      <c r="AK243" s="208">
        <f t="shared" si="124"/>
        <v>0</v>
      </c>
      <c r="AL243" s="208">
        <f t="shared" si="125"/>
        <v>0</v>
      </c>
      <c r="AM243" s="805"/>
      <c r="AN243" s="746">
        <f>U243*$P243/10^7</f>
        <v>0</v>
      </c>
      <c r="AO243" s="746">
        <f t="shared" si="144"/>
        <v>0</v>
      </c>
      <c r="AP243" s="746">
        <f t="shared" si="144"/>
        <v>0</v>
      </c>
      <c r="AQ243" s="746">
        <f t="shared" si="144"/>
        <v>0</v>
      </c>
      <c r="AR243" s="746">
        <f t="shared" si="144"/>
        <v>0</v>
      </c>
      <c r="AS243" s="746">
        <f t="shared" si="144"/>
        <v>0</v>
      </c>
      <c r="AT243" s="746">
        <f t="shared" si="144"/>
        <v>0</v>
      </c>
      <c r="AU243" s="746">
        <f t="shared" si="144"/>
        <v>0</v>
      </c>
      <c r="AV243" s="746">
        <f t="shared" si="144"/>
        <v>0</v>
      </c>
      <c r="AW243" s="746">
        <f t="shared" si="143"/>
        <v>0</v>
      </c>
      <c r="AX243" s="746">
        <f t="shared" si="143"/>
        <v>0</v>
      </c>
      <c r="AY243" s="746">
        <f t="shared" si="143"/>
        <v>0</v>
      </c>
      <c r="AZ243" s="733">
        <f t="shared" si="126"/>
        <v>0</v>
      </c>
      <c r="BA243" s="636">
        <f t="shared" si="127"/>
        <v>0</v>
      </c>
      <c r="BB243" s="636">
        <f t="shared" si="128"/>
        <v>0</v>
      </c>
      <c r="BC243" s="636">
        <f t="shared" si="129"/>
        <v>0</v>
      </c>
      <c r="BD243" s="636">
        <f t="shared" si="130"/>
        <v>0</v>
      </c>
      <c r="BE243" s="735">
        <f t="shared" si="131"/>
        <v>0</v>
      </c>
      <c r="BF243" s="806"/>
      <c r="BG243" s="806"/>
      <c r="BH243" s="806"/>
      <c r="BI243" s="806"/>
      <c r="BJ243" s="680"/>
      <c r="BK243" s="680"/>
      <c r="BL243" s="680"/>
      <c r="BM243" s="680"/>
      <c r="BN243" s="680"/>
    </row>
    <row r="244" spans="1:66" ht="12.75">
      <c r="A244" s="802" t="s">
        <v>28</v>
      </c>
      <c r="B244" s="803" t="s">
        <v>28</v>
      </c>
      <c r="C244" s="820" t="s">
        <v>28</v>
      </c>
      <c r="D244" s="821" t="s">
        <v>28</v>
      </c>
      <c r="E244" s="822" t="s">
        <v>509</v>
      </c>
      <c r="F244" s="823"/>
      <c r="G244" s="823">
        <v>2.8294900000000003</v>
      </c>
      <c r="H244" s="823">
        <v>0.74243999999999999</v>
      </c>
      <c r="I244" s="740">
        <f>IF(ISERROR((H244-G244)/G244),0,((H244-G244)/G244))</f>
        <v>-0.73760642377248209</v>
      </c>
      <c r="J244" s="739">
        <v>1.2426199999999998</v>
      </c>
      <c r="K244" s="686">
        <v>1.44</v>
      </c>
      <c r="L244" s="739">
        <f>J244+K244</f>
        <v>2.68262</v>
      </c>
      <c r="M244" s="740">
        <f>IF(ISERROR((L244-H244)/H244),0,((L244-H244)/H244))</f>
        <v>2.6132482086094502</v>
      </c>
      <c r="N244" s="739">
        <f>SUM(N214:N243)</f>
        <v>35.476399999999998</v>
      </c>
      <c r="O244" s="740">
        <f>IF(ISERROR((N244-L244)/L244),0,((N244-L244)/L244))</f>
        <v>12.22453422400489</v>
      </c>
      <c r="P244" s="739">
        <v>0</v>
      </c>
      <c r="Q244" s="741"/>
      <c r="R244" s="781">
        <f>SUM(R214:R243)</f>
        <v>6.6581387548287578</v>
      </c>
      <c r="S244" s="742"/>
      <c r="T244" s="742"/>
      <c r="U244" s="739">
        <f t="shared" ref="U244:AF244" si="145">SUM(U214:U243)</f>
        <v>0</v>
      </c>
      <c r="V244" s="739">
        <f t="shared" si="145"/>
        <v>0</v>
      </c>
      <c r="W244" s="739">
        <f t="shared" si="145"/>
        <v>2.0754666666666663</v>
      </c>
      <c r="X244" s="739">
        <f t="shared" si="145"/>
        <v>0</v>
      </c>
      <c r="Y244" s="739">
        <f t="shared" si="145"/>
        <v>0</v>
      </c>
      <c r="Z244" s="739">
        <f t="shared" si="145"/>
        <v>2.0754666666666663</v>
      </c>
      <c r="AA244" s="739">
        <f t="shared" si="145"/>
        <v>0</v>
      </c>
      <c r="AB244" s="739">
        <f t="shared" si="145"/>
        <v>5.85</v>
      </c>
      <c r="AC244" s="739">
        <f t="shared" si="145"/>
        <v>7.925466666666666</v>
      </c>
      <c r="AD244" s="739">
        <f t="shared" si="145"/>
        <v>5.85</v>
      </c>
      <c r="AE244" s="739">
        <f t="shared" si="145"/>
        <v>5.85</v>
      </c>
      <c r="AF244" s="739">
        <f t="shared" si="145"/>
        <v>5.85</v>
      </c>
      <c r="AG244" s="733">
        <f t="shared" si="120"/>
        <v>0</v>
      </c>
      <c r="AH244" s="208">
        <f t="shared" si="121"/>
        <v>2.0754666666666663</v>
      </c>
      <c r="AI244" s="208">
        <f t="shared" si="122"/>
        <v>2.0754666666666663</v>
      </c>
      <c r="AJ244" s="208">
        <f t="shared" si="123"/>
        <v>13.775466666666667</v>
      </c>
      <c r="AK244" s="208">
        <f t="shared" si="124"/>
        <v>17.549999999999997</v>
      </c>
      <c r="AL244" s="208">
        <f t="shared" si="125"/>
        <v>35.476399999999998</v>
      </c>
      <c r="AM244" s="805"/>
      <c r="AN244" s="781">
        <f t="shared" ref="AN244:AY244" si="146">SUM(AN214:AN243)</f>
        <v>0</v>
      </c>
      <c r="AO244" s="781">
        <f t="shared" si="146"/>
        <v>0</v>
      </c>
      <c r="AP244" s="781">
        <f t="shared" si="146"/>
        <v>1.3753379182762517</v>
      </c>
      <c r="AQ244" s="781">
        <f t="shared" si="146"/>
        <v>0</v>
      </c>
      <c r="AR244" s="781">
        <f t="shared" si="146"/>
        <v>0</v>
      </c>
      <c r="AS244" s="781">
        <f t="shared" si="146"/>
        <v>1.3753379182762517</v>
      </c>
      <c r="AT244" s="781">
        <f t="shared" si="146"/>
        <v>0</v>
      </c>
      <c r="AU244" s="781">
        <f t="shared" si="146"/>
        <v>0.50642500000000001</v>
      </c>
      <c r="AV244" s="781">
        <f t="shared" si="146"/>
        <v>1.8817629182762516</v>
      </c>
      <c r="AW244" s="781">
        <f t="shared" si="146"/>
        <v>0.50642500000000001</v>
      </c>
      <c r="AX244" s="781">
        <f t="shared" si="146"/>
        <v>0.50642500000000001</v>
      </c>
      <c r="AY244" s="781">
        <f t="shared" si="146"/>
        <v>0.50642500000000001</v>
      </c>
      <c r="AZ244" s="733">
        <f t="shared" si="126"/>
        <v>0</v>
      </c>
      <c r="BA244" s="636">
        <f t="shared" si="127"/>
        <v>1.3753379182762517</v>
      </c>
      <c r="BB244" s="636">
        <f t="shared" si="128"/>
        <v>1.3753379182762517</v>
      </c>
      <c r="BC244" s="636">
        <f t="shared" si="129"/>
        <v>2.3881879182762518</v>
      </c>
      <c r="BD244" s="636">
        <f t="shared" si="130"/>
        <v>1.5192749999999999</v>
      </c>
      <c r="BE244" s="735">
        <f t="shared" si="131"/>
        <v>6.6581387548287552</v>
      </c>
      <c r="BF244" s="806"/>
      <c r="BG244" s="806"/>
      <c r="BH244" s="806"/>
      <c r="BI244" s="806"/>
      <c r="BJ244" s="680"/>
      <c r="BK244" s="680"/>
      <c r="BL244" s="680"/>
      <c r="BM244" s="680"/>
      <c r="BN244" s="680"/>
    </row>
    <row r="245" spans="1:66" ht="12.75">
      <c r="A245" s="802"/>
      <c r="B245" s="848"/>
      <c r="C245" s="1093" t="s">
        <v>353</v>
      </c>
      <c r="D245" s="1094" t="s">
        <v>21</v>
      </c>
      <c r="E245" s="1095"/>
      <c r="F245" s="772">
        <f>SUM(F184:F244)</f>
        <v>0</v>
      </c>
      <c r="G245" s="772">
        <f>SUM(G184:G244)</f>
        <v>645.57304476000002</v>
      </c>
      <c r="H245" s="772">
        <f>SUM(H184:H244)</f>
        <v>230.82698959999996</v>
      </c>
      <c r="I245" s="773">
        <f>IF(ISERROR((H245-G245)/G245),0,((H245-G245)/G245))</f>
        <v>-0.64244636377931053</v>
      </c>
      <c r="J245" s="772">
        <f>J244+J213+J194</f>
        <v>434.52300000000002</v>
      </c>
      <c r="K245" s="772">
        <f>K244+K213+K194</f>
        <v>189.44</v>
      </c>
      <c r="L245" s="772">
        <f>L244+L213+L194</f>
        <v>623.96299999999997</v>
      </c>
      <c r="M245" s="773">
        <f>IF(ISERROR((L245-H245)/H245),0,((L245-H245)/H245))</f>
        <v>1.7031630966606865</v>
      </c>
      <c r="N245" s="772">
        <f>N244+N213+N194</f>
        <v>697.27639999999997</v>
      </c>
      <c r="O245" s="773">
        <f>IF(ISERROR((N245-L245)/L245),0,((N245-L245)/L245))</f>
        <v>0.11749639001030511</v>
      </c>
      <c r="P245" s="772"/>
      <c r="Q245" s="741"/>
      <c r="R245" s="774">
        <f>R244+R213+R194</f>
        <v>46.502791671355681</v>
      </c>
      <c r="S245" s="742"/>
      <c r="T245" s="742"/>
      <c r="U245" s="772">
        <f t="shared" ref="U245:AF245" si="147">U244+U213+U194</f>
        <v>47.083333333333329</v>
      </c>
      <c r="V245" s="772">
        <f t="shared" si="147"/>
        <v>47.083333333333329</v>
      </c>
      <c r="W245" s="772">
        <f t="shared" si="147"/>
        <v>61.258800000000001</v>
      </c>
      <c r="X245" s="772">
        <f t="shared" si="147"/>
        <v>47.083333333333329</v>
      </c>
      <c r="Y245" s="772">
        <f t="shared" si="147"/>
        <v>54.343333333333334</v>
      </c>
      <c r="Z245" s="772">
        <f t="shared" si="147"/>
        <v>61.258800000000001</v>
      </c>
      <c r="AA245" s="772">
        <f t="shared" si="147"/>
        <v>59.183333333333337</v>
      </c>
      <c r="AB245" s="772">
        <f t="shared" si="147"/>
        <v>65.033333333333331</v>
      </c>
      <c r="AC245" s="772">
        <f t="shared" si="147"/>
        <v>69.52879999999999</v>
      </c>
      <c r="AD245" s="772">
        <f t="shared" si="147"/>
        <v>67.453333333333333</v>
      </c>
      <c r="AE245" s="772">
        <f t="shared" si="147"/>
        <v>65.033333333333331</v>
      </c>
      <c r="AF245" s="772">
        <f t="shared" si="147"/>
        <v>52.933333333333337</v>
      </c>
      <c r="AG245" s="733">
        <f t="shared" si="120"/>
        <v>0</v>
      </c>
      <c r="AH245" s="208">
        <f t="shared" si="121"/>
        <v>155.42546666666667</v>
      </c>
      <c r="AI245" s="208">
        <f t="shared" si="122"/>
        <v>162.68546666666666</v>
      </c>
      <c r="AJ245" s="208">
        <f t="shared" si="123"/>
        <v>193.74546666666666</v>
      </c>
      <c r="AK245" s="208">
        <f t="shared" si="124"/>
        <v>185.42000000000002</v>
      </c>
      <c r="AL245" s="208">
        <f t="shared" si="125"/>
        <v>697.27639999999997</v>
      </c>
      <c r="AM245" s="805"/>
      <c r="AN245" s="774">
        <f t="shared" ref="AN245:AY245" si="148">AN244+AN213+AN194</f>
        <v>2.5564412203734781</v>
      </c>
      <c r="AO245" s="774">
        <f t="shared" si="148"/>
        <v>2.5564412203734781</v>
      </c>
      <c r="AP245" s="774">
        <f t="shared" si="148"/>
        <v>5.0776989226553795</v>
      </c>
      <c r="AQ245" s="774">
        <f t="shared" si="148"/>
        <v>2.5564412203734781</v>
      </c>
      <c r="AR245" s="774">
        <f t="shared" si="148"/>
        <v>3.2439930907768675</v>
      </c>
      <c r="AS245" s="774">
        <f t="shared" si="148"/>
        <v>5.0776989226553795</v>
      </c>
      <c r="AT245" s="774">
        <f t="shared" si="148"/>
        <v>3.7023610043791275</v>
      </c>
      <c r="AU245" s="774">
        <f t="shared" si="148"/>
        <v>4.2087860043791272</v>
      </c>
      <c r="AV245" s="774">
        <f t="shared" si="148"/>
        <v>5.8133078794565094</v>
      </c>
      <c r="AW245" s="774">
        <f t="shared" si="148"/>
        <v>4.437969961180257</v>
      </c>
      <c r="AX245" s="774">
        <f t="shared" si="148"/>
        <v>4.2087860043791272</v>
      </c>
      <c r="AY245" s="774">
        <f t="shared" si="148"/>
        <v>3.0628662203734782</v>
      </c>
      <c r="AZ245" s="733">
        <f t="shared" si="126"/>
        <v>0</v>
      </c>
      <c r="BA245" s="636">
        <f t="shared" si="127"/>
        <v>10.190581363402336</v>
      </c>
      <c r="BB245" s="636">
        <f t="shared" si="128"/>
        <v>10.878133233805725</v>
      </c>
      <c r="BC245" s="636">
        <f t="shared" si="129"/>
        <v>13.724454888214764</v>
      </c>
      <c r="BD245" s="636">
        <f t="shared" si="130"/>
        <v>11.709622185932862</v>
      </c>
      <c r="BE245" s="735">
        <f t="shared" si="131"/>
        <v>46.502791671355681</v>
      </c>
      <c r="BF245" s="806"/>
      <c r="BG245" s="806"/>
      <c r="BH245" s="806"/>
      <c r="BI245" s="806"/>
      <c r="BJ245" s="680"/>
      <c r="BK245" s="680"/>
      <c r="BL245" s="680"/>
      <c r="BM245" s="680"/>
      <c r="BN245" s="680"/>
    </row>
    <row r="246" spans="1:66" ht="12.75">
      <c r="A246" s="802"/>
      <c r="B246" s="848"/>
      <c r="C246" s="820"/>
      <c r="D246" s="849"/>
      <c r="E246" s="849"/>
      <c r="F246" s="850"/>
      <c r="G246" s="850"/>
      <c r="H246" s="850"/>
      <c r="I246" s="851"/>
      <c r="J246" s="850"/>
      <c r="K246" s="850"/>
      <c r="L246" s="850"/>
      <c r="M246" s="851"/>
      <c r="N246" s="852"/>
      <c r="O246" s="816"/>
      <c r="P246" s="816"/>
      <c r="Q246" s="816"/>
      <c r="R246" s="817">
        <f t="shared" si="133"/>
        <v>0</v>
      </c>
      <c r="S246" s="817"/>
      <c r="T246" s="817"/>
      <c r="U246" s="812"/>
      <c r="V246" s="812"/>
      <c r="W246" s="812"/>
      <c r="X246" s="812"/>
      <c r="Y246" s="812"/>
      <c r="Z246" s="812"/>
      <c r="AA246" s="812"/>
      <c r="AB246" s="812"/>
      <c r="AC246" s="812"/>
      <c r="AD246" s="812"/>
      <c r="AE246" s="812"/>
      <c r="AF246" s="818"/>
      <c r="AG246" s="733">
        <f t="shared" si="120"/>
        <v>0</v>
      </c>
      <c r="AH246" s="208">
        <f t="shared" si="121"/>
        <v>0</v>
      </c>
      <c r="AI246" s="208">
        <f t="shared" si="122"/>
        <v>0</v>
      </c>
      <c r="AJ246" s="208">
        <f t="shared" si="123"/>
        <v>0</v>
      </c>
      <c r="AK246" s="208">
        <f t="shared" si="124"/>
        <v>0</v>
      </c>
      <c r="AL246" s="208">
        <f t="shared" si="125"/>
        <v>0</v>
      </c>
      <c r="AM246" s="805"/>
      <c r="AN246" s="816"/>
      <c r="AO246" s="816"/>
      <c r="AP246" s="816"/>
      <c r="AQ246" s="816"/>
      <c r="AR246" s="816"/>
      <c r="AS246" s="816"/>
      <c r="AT246" s="816"/>
      <c r="AU246" s="816"/>
      <c r="AV246" s="816"/>
      <c r="AW246" s="816"/>
      <c r="AX246" s="816"/>
      <c r="AY246" s="816"/>
      <c r="AZ246" s="733">
        <f t="shared" si="126"/>
        <v>0</v>
      </c>
      <c r="BA246" s="636">
        <f t="shared" si="127"/>
        <v>0</v>
      </c>
      <c r="BB246" s="636">
        <f t="shared" si="128"/>
        <v>0</v>
      </c>
      <c r="BC246" s="636">
        <f t="shared" si="129"/>
        <v>0</v>
      </c>
      <c r="BD246" s="636">
        <f t="shared" si="130"/>
        <v>0</v>
      </c>
      <c r="BE246" s="735">
        <f t="shared" si="131"/>
        <v>0</v>
      </c>
      <c r="BF246" s="806"/>
      <c r="BG246" s="806"/>
      <c r="BH246" s="806"/>
      <c r="BI246" s="806"/>
      <c r="BJ246" s="680"/>
      <c r="BK246" s="680"/>
      <c r="BL246" s="680"/>
      <c r="BM246" s="680"/>
      <c r="BN246" s="680"/>
    </row>
    <row r="247" spans="1:66" ht="13.5" thickBot="1">
      <c r="A247" s="853"/>
      <c r="B247" s="854"/>
      <c r="C247" s="1101" t="s">
        <v>558</v>
      </c>
      <c r="D247" s="1102"/>
      <c r="E247" s="1102"/>
      <c r="F247" s="855">
        <f>+F177+F162+F137+F183+F245</f>
        <v>43832.70960200001</v>
      </c>
      <c r="G247" s="855">
        <f>+G177+G162+G137+G183+G245</f>
        <v>39008.343044759989</v>
      </c>
      <c r="H247" s="855">
        <f>+H177+H162+H137+H183+H245</f>
        <v>40545.911989599997</v>
      </c>
      <c r="I247" s="856">
        <f>IF(ISERROR((H247-G247)/G247),0,((H247-G247)/G247))</f>
        <v>3.9416412613981829E-2</v>
      </c>
      <c r="J247" s="855">
        <f>+J177+J162+J137+J183+J245</f>
        <v>25095.214000000004</v>
      </c>
      <c r="K247" s="855">
        <f>+K177+K162+K137+K183+K245</f>
        <v>10295.599008333334</v>
      </c>
      <c r="L247" s="855">
        <f>+L177+L162+L137+L183+L245</f>
        <v>35386.813008333345</v>
      </c>
      <c r="M247" s="856">
        <f>IF(ISERROR((L247-H247)/H247),0,((L247-H247)/H247))</f>
        <v>-0.12724091599148044</v>
      </c>
      <c r="N247" s="855">
        <f>+N177+N162+N137+N183+N245</f>
        <v>46184.364400000006</v>
      </c>
      <c r="O247" s="856">
        <f>IF(ISERROR((N247-L247)/L247),0,((N247-L247)/L247))</f>
        <v>0.30512924091592858</v>
      </c>
      <c r="P247" s="855"/>
      <c r="Q247" s="857"/>
      <c r="R247" s="858">
        <f>+R177+R162+R137+R183+R245</f>
        <v>435.74113127203299</v>
      </c>
      <c r="S247" s="859"/>
      <c r="T247" s="859"/>
      <c r="U247" s="855">
        <f t="shared" ref="U247:AF247" si="149">+U177+U162+U137+U183+U245</f>
        <v>2387.7033333333334</v>
      </c>
      <c r="V247" s="855">
        <f t="shared" si="149"/>
        <v>3196.0993333333336</v>
      </c>
      <c r="W247" s="855">
        <f t="shared" si="149"/>
        <v>3952.3748000000001</v>
      </c>
      <c r="X247" s="855">
        <f t="shared" si="149"/>
        <v>3370.5033333333336</v>
      </c>
      <c r="Y247" s="855">
        <f t="shared" si="149"/>
        <v>3607.9633333333331</v>
      </c>
      <c r="Z247" s="855">
        <f t="shared" si="149"/>
        <v>4685.6787999999997</v>
      </c>
      <c r="AA247" s="855">
        <f t="shared" si="149"/>
        <v>4276.0033333333331</v>
      </c>
      <c r="AB247" s="855">
        <f t="shared" si="149"/>
        <v>3964.4533333333334</v>
      </c>
      <c r="AC247" s="855">
        <f t="shared" si="149"/>
        <v>4068.1088</v>
      </c>
      <c r="AD247" s="855">
        <f t="shared" si="149"/>
        <v>4508.9733333333334</v>
      </c>
      <c r="AE247" s="855">
        <f t="shared" si="149"/>
        <v>4381.7493333333341</v>
      </c>
      <c r="AF247" s="860">
        <f t="shared" si="149"/>
        <v>3784.7533333333331</v>
      </c>
      <c r="AG247" s="733">
        <f t="shared" si="120"/>
        <v>0</v>
      </c>
      <c r="AH247" s="208">
        <f t="shared" si="121"/>
        <v>9536.1774666666661</v>
      </c>
      <c r="AI247" s="208">
        <f t="shared" si="122"/>
        <v>11664.145466666667</v>
      </c>
      <c r="AJ247" s="208">
        <f t="shared" si="123"/>
        <v>12308.565466666667</v>
      </c>
      <c r="AK247" s="208">
        <f t="shared" si="124"/>
        <v>12675.476000000002</v>
      </c>
      <c r="AL247" s="208">
        <f t="shared" si="125"/>
        <v>46184.364399999999</v>
      </c>
      <c r="AM247" s="805"/>
      <c r="AN247" s="858">
        <f>+AN177+AN162+AN137+AN183+AN245</f>
        <v>24.913670499537599</v>
      </c>
      <c r="AO247" s="858">
        <f t="shared" ref="AO247:AY247" si="150">+AO177+AO162+AO137+AO183+AO245</f>
        <v>31.764169473394642</v>
      </c>
      <c r="AP247" s="858">
        <f t="shared" si="150"/>
        <v>39.222963453421663</v>
      </c>
      <c r="AQ247" s="858">
        <f t="shared" si="150"/>
        <v>32.433959158550259</v>
      </c>
      <c r="AR247" s="858">
        <f t="shared" si="150"/>
        <v>33.673801712433601</v>
      </c>
      <c r="AS247" s="858">
        <f t="shared" si="150"/>
        <v>44.956938190639669</v>
      </c>
      <c r="AT247" s="858">
        <f t="shared" si="150"/>
        <v>38.530701520662454</v>
      </c>
      <c r="AU247" s="858">
        <f t="shared" si="150"/>
        <v>35.802588729134257</v>
      </c>
      <c r="AV247" s="858">
        <f t="shared" si="150"/>
        <v>39.00453099272525</v>
      </c>
      <c r="AW247" s="858">
        <f t="shared" si="150"/>
        <v>41.054530852111235</v>
      </c>
      <c r="AX247" s="858">
        <f t="shared" si="150"/>
        <v>39.501692175297826</v>
      </c>
      <c r="AY247" s="858">
        <f t="shared" si="150"/>
        <v>34.881584514124562</v>
      </c>
      <c r="AZ247" s="733">
        <f t="shared" si="126"/>
        <v>0</v>
      </c>
      <c r="BA247" s="636">
        <f t="shared" si="127"/>
        <v>95.900803426353903</v>
      </c>
      <c r="BB247" s="636">
        <f t="shared" si="128"/>
        <v>111.06469906162354</v>
      </c>
      <c r="BC247" s="636">
        <f t="shared" si="129"/>
        <v>113.33782124252195</v>
      </c>
      <c r="BD247" s="636">
        <f t="shared" si="130"/>
        <v>115.43780754153363</v>
      </c>
      <c r="BE247" s="735">
        <f t="shared" si="131"/>
        <v>435.74113127203304</v>
      </c>
      <c r="BF247" s="806"/>
      <c r="BG247" s="806"/>
      <c r="BH247" s="806"/>
      <c r="BI247" s="806"/>
      <c r="BJ247" s="680"/>
      <c r="BK247" s="680"/>
      <c r="BL247" s="680"/>
      <c r="BM247" s="680"/>
      <c r="BN247" s="680"/>
    </row>
    <row r="248" spans="1:66" ht="12.75">
      <c r="B248" s="861"/>
      <c r="D248" s="862"/>
      <c r="E248" s="862"/>
      <c r="F248" s="863"/>
      <c r="G248" s="864"/>
      <c r="H248" s="864"/>
      <c r="I248" s="863"/>
      <c r="J248" s="864"/>
      <c r="K248" s="865"/>
      <c r="L248" s="862"/>
      <c r="M248" s="866"/>
      <c r="N248" s="864">
        <v>0</v>
      </c>
      <c r="O248" s="867"/>
      <c r="P248" s="867"/>
      <c r="Q248" s="867"/>
      <c r="R248" s="868"/>
      <c r="S248" s="868"/>
      <c r="T248" s="868"/>
      <c r="U248" s="864">
        <v>0</v>
      </c>
      <c r="V248" s="864">
        <v>0</v>
      </c>
      <c r="W248" s="864">
        <v>0</v>
      </c>
      <c r="X248" s="864">
        <v>0</v>
      </c>
      <c r="Y248" s="864">
        <v>0</v>
      </c>
      <c r="Z248" s="864">
        <v>0</v>
      </c>
      <c r="AA248" s="864">
        <v>0</v>
      </c>
      <c r="AB248" s="864">
        <v>0</v>
      </c>
      <c r="AC248" s="864">
        <v>0</v>
      </c>
      <c r="AD248" s="864">
        <v>0</v>
      </c>
      <c r="AE248" s="864">
        <v>0</v>
      </c>
      <c r="AF248" s="864">
        <v>0</v>
      </c>
      <c r="AG248" s="733">
        <f t="shared" si="120"/>
        <v>0</v>
      </c>
      <c r="AH248" s="208">
        <f t="shared" si="121"/>
        <v>0</v>
      </c>
      <c r="AI248" s="208">
        <f t="shared" si="122"/>
        <v>0</v>
      </c>
      <c r="AJ248" s="208">
        <f t="shared" si="123"/>
        <v>0</v>
      </c>
      <c r="AK248" s="208">
        <f t="shared" si="124"/>
        <v>0</v>
      </c>
      <c r="AL248" s="208">
        <f t="shared" si="125"/>
        <v>0</v>
      </c>
      <c r="AM248" s="805"/>
      <c r="AN248" s="864">
        <v>0</v>
      </c>
      <c r="AO248" s="864">
        <v>0</v>
      </c>
      <c r="AP248" s="864">
        <v>0</v>
      </c>
      <c r="AQ248" s="864">
        <v>0</v>
      </c>
      <c r="AR248" s="864">
        <v>0</v>
      </c>
      <c r="AS248" s="864">
        <v>0</v>
      </c>
      <c r="AT248" s="864">
        <v>0</v>
      </c>
      <c r="AU248" s="864">
        <v>0</v>
      </c>
      <c r="AV248" s="864">
        <v>0</v>
      </c>
      <c r="AW248" s="864">
        <v>0</v>
      </c>
      <c r="AX248" s="864">
        <v>0</v>
      </c>
      <c r="AY248" s="864">
        <v>0</v>
      </c>
      <c r="AZ248" s="733">
        <f t="shared" si="126"/>
        <v>0</v>
      </c>
      <c r="BA248" s="636">
        <f t="shared" si="127"/>
        <v>0</v>
      </c>
      <c r="BB248" s="636">
        <f t="shared" si="128"/>
        <v>0</v>
      </c>
      <c r="BC248" s="636">
        <f t="shared" si="129"/>
        <v>0</v>
      </c>
      <c r="BD248" s="636">
        <f t="shared" si="130"/>
        <v>0</v>
      </c>
      <c r="BE248" s="735">
        <f t="shared" si="131"/>
        <v>0</v>
      </c>
      <c r="BF248" s="806"/>
      <c r="BG248" s="806"/>
      <c r="BH248" s="806"/>
      <c r="BI248" s="806"/>
      <c r="BJ248" s="680"/>
      <c r="BK248" s="680"/>
      <c r="BL248" s="680"/>
      <c r="BM248" s="680"/>
      <c r="BN248" s="680"/>
    </row>
    <row r="249" spans="1:66" s="879" customFormat="1" ht="12.75">
      <c r="A249" s="869"/>
      <c r="B249" s="870"/>
      <c r="C249" s="871" t="s">
        <v>349</v>
      </c>
      <c r="D249" s="870"/>
      <c r="E249" s="870"/>
      <c r="F249" s="872">
        <v>43832.709902000002</v>
      </c>
      <c r="G249" s="872">
        <v>42771.085565488953</v>
      </c>
      <c r="H249" s="872">
        <v>40797.777549600003</v>
      </c>
      <c r="I249" s="873"/>
      <c r="J249" s="872">
        <v>25420.310160000001</v>
      </c>
      <c r="K249" s="870"/>
      <c r="L249" s="870"/>
      <c r="M249" s="874"/>
      <c r="N249" s="872"/>
      <c r="O249" s="875"/>
      <c r="P249" s="875"/>
      <c r="Q249" s="875"/>
      <c r="R249" s="875"/>
      <c r="S249" s="875"/>
      <c r="T249" s="875"/>
      <c r="U249" s="864">
        <f>U247-U248</f>
        <v>2387.7033333333334</v>
      </c>
      <c r="V249" s="872">
        <f>V247-V248</f>
        <v>3196.0993333333336</v>
      </c>
      <c r="W249" s="872">
        <f t="shared" ref="W249:AF249" si="151">W247-W248</f>
        <v>3952.3748000000001</v>
      </c>
      <c r="X249" s="872">
        <f t="shared" si="151"/>
        <v>3370.5033333333336</v>
      </c>
      <c r="Y249" s="872">
        <f t="shared" si="151"/>
        <v>3607.9633333333331</v>
      </c>
      <c r="Z249" s="872">
        <f t="shared" si="151"/>
        <v>4685.6787999999997</v>
      </c>
      <c r="AA249" s="872">
        <f t="shared" si="151"/>
        <v>4276.0033333333331</v>
      </c>
      <c r="AB249" s="872">
        <f t="shared" si="151"/>
        <v>3964.4533333333334</v>
      </c>
      <c r="AC249" s="872">
        <f t="shared" si="151"/>
        <v>4068.1088</v>
      </c>
      <c r="AD249" s="872">
        <f t="shared" si="151"/>
        <v>4508.9733333333334</v>
      </c>
      <c r="AE249" s="872">
        <f t="shared" si="151"/>
        <v>4381.7493333333341</v>
      </c>
      <c r="AF249" s="872">
        <f t="shared" si="151"/>
        <v>3784.7533333333331</v>
      </c>
      <c r="AG249" s="876"/>
      <c r="AH249" s="208">
        <f t="shared" si="121"/>
        <v>9536.1774666666661</v>
      </c>
      <c r="AI249" s="208">
        <f t="shared" si="122"/>
        <v>11664.145466666667</v>
      </c>
      <c r="AJ249" s="208">
        <f t="shared" si="123"/>
        <v>12308.565466666667</v>
      </c>
      <c r="AK249" s="208">
        <f t="shared" si="124"/>
        <v>12675.476000000002</v>
      </c>
      <c r="AL249" s="208">
        <f t="shared" si="125"/>
        <v>46184.364399999999</v>
      </c>
      <c r="AM249" s="877"/>
      <c r="AN249" s="875">
        <f>AN247-AN248</f>
        <v>24.913670499537599</v>
      </c>
      <c r="AO249" s="875">
        <f>AO247-AO248</f>
        <v>31.764169473394642</v>
      </c>
      <c r="AP249" s="875">
        <f t="shared" ref="AP249:AY249" si="152">AP247-AP248</f>
        <v>39.222963453421663</v>
      </c>
      <c r="AQ249" s="875">
        <f t="shared" si="152"/>
        <v>32.433959158550259</v>
      </c>
      <c r="AR249" s="875">
        <f t="shared" si="152"/>
        <v>33.673801712433601</v>
      </c>
      <c r="AS249" s="875">
        <f t="shared" si="152"/>
        <v>44.956938190639669</v>
      </c>
      <c r="AT249" s="875">
        <f t="shared" si="152"/>
        <v>38.530701520662454</v>
      </c>
      <c r="AU249" s="875">
        <f t="shared" si="152"/>
        <v>35.802588729134257</v>
      </c>
      <c r="AV249" s="875">
        <f t="shared" si="152"/>
        <v>39.00453099272525</v>
      </c>
      <c r="AW249" s="875">
        <f t="shared" si="152"/>
        <v>41.054530852111235</v>
      </c>
      <c r="AX249" s="875">
        <f t="shared" si="152"/>
        <v>39.501692175297826</v>
      </c>
      <c r="AY249" s="875">
        <f t="shared" si="152"/>
        <v>34.881584514124562</v>
      </c>
      <c r="AZ249" s="376">
        <f t="shared" si="126"/>
        <v>435.74113127203299</v>
      </c>
      <c r="BA249" s="376">
        <f t="shared" si="127"/>
        <v>95.900803426353903</v>
      </c>
      <c r="BB249" s="376">
        <f t="shared" si="128"/>
        <v>111.06469906162354</v>
      </c>
      <c r="BC249" s="376">
        <f t="shared" si="129"/>
        <v>113.33782124252195</v>
      </c>
      <c r="BD249" s="376">
        <f t="shared" si="130"/>
        <v>115.43780754153363</v>
      </c>
      <c r="BE249" s="878">
        <f t="shared" si="131"/>
        <v>435.74113127203304</v>
      </c>
      <c r="BF249" s="709"/>
      <c r="BG249" s="709"/>
      <c r="BH249" s="709"/>
      <c r="BI249" s="709"/>
    </row>
    <row r="250" spans="1:66" ht="12.75">
      <c r="B250" s="861"/>
      <c r="C250" s="862"/>
      <c r="D250" s="862"/>
      <c r="E250" s="862"/>
      <c r="F250" s="864">
        <f>+F247-F249</f>
        <v>-2.9999999242136255E-4</v>
      </c>
      <c r="G250" s="864">
        <f>+G247-G249</f>
        <v>-3762.7425207289634</v>
      </c>
      <c r="H250" s="867">
        <f>+H247-H249</f>
        <v>-251.86556000000564</v>
      </c>
      <c r="I250" s="863"/>
      <c r="J250" s="864">
        <f>+J247-J249</f>
        <v>-325.09615999999733</v>
      </c>
      <c r="K250" s="865"/>
      <c r="L250" s="862"/>
      <c r="M250" s="866"/>
      <c r="N250" s="880"/>
      <c r="O250" s="862"/>
      <c r="P250" s="862"/>
      <c r="Q250" s="863"/>
      <c r="R250" s="868"/>
      <c r="S250" s="881"/>
      <c r="T250" s="881"/>
      <c r="U250" s="864"/>
      <c r="V250" s="864"/>
      <c r="W250" s="864"/>
      <c r="X250" s="864"/>
      <c r="Y250" s="864"/>
      <c r="Z250" s="864"/>
      <c r="AA250" s="864"/>
      <c r="AB250" s="864"/>
      <c r="AC250" s="864"/>
      <c r="AD250" s="864"/>
      <c r="AE250" s="864"/>
      <c r="AF250" s="864"/>
      <c r="AG250" s="733">
        <f t="shared" si="120"/>
        <v>0</v>
      </c>
      <c r="AH250" s="208">
        <f t="shared" si="121"/>
        <v>0</v>
      </c>
      <c r="AI250" s="208">
        <f t="shared" si="122"/>
        <v>0</v>
      </c>
      <c r="AJ250" s="208">
        <f t="shared" si="123"/>
        <v>0</v>
      </c>
      <c r="AK250" s="208">
        <f t="shared" si="124"/>
        <v>0</v>
      </c>
      <c r="AL250" s="208">
        <f t="shared" si="125"/>
        <v>0</v>
      </c>
      <c r="AM250" s="805"/>
      <c r="AN250" s="864"/>
      <c r="AO250" s="864"/>
      <c r="AP250" s="864"/>
      <c r="AQ250" s="864"/>
      <c r="AR250" s="864"/>
      <c r="AS250" s="864"/>
      <c r="AT250" s="864"/>
      <c r="AU250" s="864"/>
      <c r="AV250" s="864"/>
      <c r="AW250" s="864"/>
      <c r="AX250" s="864"/>
      <c r="AY250" s="864"/>
      <c r="AZ250" s="733">
        <f t="shared" si="126"/>
        <v>0</v>
      </c>
      <c r="BA250" s="636">
        <f t="shared" si="127"/>
        <v>0</v>
      </c>
      <c r="BB250" s="636">
        <f t="shared" si="128"/>
        <v>0</v>
      </c>
      <c r="BC250" s="636">
        <f t="shared" si="129"/>
        <v>0</v>
      </c>
      <c r="BD250" s="636">
        <f t="shared" si="130"/>
        <v>0</v>
      </c>
      <c r="BE250" s="735">
        <f t="shared" si="131"/>
        <v>0</v>
      </c>
      <c r="BF250" s="806"/>
      <c r="BG250" s="806"/>
      <c r="BH250" s="806"/>
      <c r="BI250" s="806"/>
      <c r="BJ250" s="680"/>
      <c r="BK250" s="680"/>
      <c r="BL250" s="680"/>
      <c r="BM250" s="680"/>
      <c r="BN250" s="680"/>
    </row>
    <row r="251" spans="1:66" ht="12.75">
      <c r="B251" s="861"/>
      <c r="C251" s="882" t="s">
        <v>559</v>
      </c>
      <c r="D251" s="862"/>
      <c r="E251" s="862"/>
      <c r="F251" s="867"/>
      <c r="G251" s="864"/>
      <c r="H251" s="864"/>
      <c r="I251" s="867"/>
      <c r="J251" s="864"/>
      <c r="K251" s="868"/>
      <c r="L251" s="867"/>
      <c r="M251" s="866"/>
      <c r="N251" s="864"/>
      <c r="O251" s="862"/>
      <c r="P251" s="862"/>
      <c r="Q251" s="864"/>
      <c r="R251" s="868"/>
      <c r="S251" s="880"/>
      <c r="T251" s="880"/>
      <c r="U251" s="864"/>
      <c r="V251" s="864"/>
      <c r="W251" s="864"/>
      <c r="X251" s="864"/>
      <c r="Y251" s="864"/>
      <c r="Z251" s="864"/>
      <c r="AA251" s="864"/>
      <c r="AB251" s="864"/>
      <c r="AC251" s="864"/>
      <c r="AD251" s="864"/>
      <c r="AE251" s="864"/>
      <c r="AF251" s="864"/>
      <c r="AG251" s="733">
        <f t="shared" si="120"/>
        <v>0</v>
      </c>
      <c r="AH251" s="208">
        <f t="shared" si="121"/>
        <v>0</v>
      </c>
      <c r="AI251" s="208">
        <f t="shared" si="122"/>
        <v>0</v>
      </c>
      <c r="AJ251" s="208">
        <f t="shared" si="123"/>
        <v>0</v>
      </c>
      <c r="AK251" s="208">
        <f t="shared" si="124"/>
        <v>0</v>
      </c>
      <c r="AL251" s="208">
        <f t="shared" si="125"/>
        <v>0</v>
      </c>
      <c r="AM251" s="805"/>
      <c r="AN251" s="864"/>
      <c r="AO251" s="864"/>
      <c r="AP251" s="864"/>
      <c r="AQ251" s="864"/>
      <c r="AR251" s="864"/>
      <c r="AS251" s="864"/>
      <c r="AT251" s="864"/>
      <c r="AU251" s="864"/>
      <c r="AV251" s="864"/>
      <c r="AW251" s="864"/>
      <c r="AX251" s="864"/>
      <c r="AY251" s="864"/>
      <c r="AZ251" s="733">
        <f t="shared" si="126"/>
        <v>0</v>
      </c>
      <c r="BA251" s="636">
        <f t="shared" si="127"/>
        <v>0</v>
      </c>
      <c r="BB251" s="636">
        <f t="shared" si="128"/>
        <v>0</v>
      </c>
      <c r="BC251" s="636">
        <f t="shared" si="129"/>
        <v>0</v>
      </c>
      <c r="BD251" s="636">
        <f t="shared" si="130"/>
        <v>0</v>
      </c>
      <c r="BE251" s="735">
        <f t="shared" si="131"/>
        <v>0</v>
      </c>
      <c r="BF251" s="806"/>
      <c r="BG251" s="806"/>
      <c r="BH251" s="806"/>
      <c r="BI251" s="806"/>
      <c r="BJ251" s="680"/>
      <c r="BK251" s="680"/>
      <c r="BL251" s="680"/>
      <c r="BM251" s="680"/>
      <c r="BN251" s="680"/>
    </row>
    <row r="252" spans="1:66">
      <c r="B252" s="861"/>
      <c r="C252" s="883" t="s">
        <v>560</v>
      </c>
      <c r="D252" s="884"/>
      <c r="E252" s="885"/>
      <c r="F252" s="886">
        <f>F103+F157</f>
        <v>22654.098782000008</v>
      </c>
      <c r="G252" s="886">
        <f>G103+G157</f>
        <v>18791.55</v>
      </c>
      <c r="H252" s="886">
        <f>H103+H157</f>
        <v>16811.994999999999</v>
      </c>
      <c r="I252" s="887">
        <f t="shared" ref="I252:I260" si="153">IF(ISERROR((H252-G252)/G252),0,((H252-G252)/G252))</f>
        <v>-0.10534282696211864</v>
      </c>
      <c r="J252" s="886">
        <f>J103+J157</f>
        <v>11601.714</v>
      </c>
      <c r="K252" s="888">
        <f>K103+K157</f>
        <v>3648.9008305555558</v>
      </c>
      <c r="L252" s="886">
        <f>L103+L157</f>
        <v>15246.614830555556</v>
      </c>
      <c r="M252" s="887">
        <f t="shared" ref="M252:M260" si="154">IF(ISERROR((L252-H252)/H252),0,((L252-H252)/H252))</f>
        <v>-9.3110910956400048E-2</v>
      </c>
      <c r="N252" s="886">
        <f>N103+N157</f>
        <v>18132.900000000001</v>
      </c>
      <c r="O252" s="887">
        <f t="shared" ref="O252:O260" si="155">IF(ISERROR((N252-L252)/L252),0,((N252-L252)/L252))</f>
        <v>0.1893066232420377</v>
      </c>
      <c r="P252" s="889"/>
      <c r="Q252" s="890"/>
      <c r="R252" s="891">
        <f>R103+R157</f>
        <v>222.36137464832942</v>
      </c>
      <c r="S252" s="892"/>
      <c r="T252" s="892"/>
      <c r="U252" s="886">
        <f t="shared" ref="U252:AF252" si="156">U103+U157</f>
        <v>1205.3</v>
      </c>
      <c r="V252" s="886">
        <f t="shared" si="156"/>
        <v>1311.8</v>
      </c>
      <c r="W252" s="886">
        <f t="shared" si="156"/>
        <v>1693.5</v>
      </c>
      <c r="X252" s="886">
        <f t="shared" si="156"/>
        <v>1399.3</v>
      </c>
      <c r="Y252" s="886">
        <f t="shared" si="156"/>
        <v>1435.3</v>
      </c>
      <c r="Z252" s="886">
        <f t="shared" si="156"/>
        <v>1914.5</v>
      </c>
      <c r="AA252" s="886">
        <f t="shared" si="156"/>
        <v>1481</v>
      </c>
      <c r="AB252" s="886">
        <f t="shared" si="156"/>
        <v>1400.1</v>
      </c>
      <c r="AC252" s="886">
        <f t="shared" si="156"/>
        <v>1475.5</v>
      </c>
      <c r="AD252" s="886">
        <f t="shared" si="156"/>
        <v>1550.5</v>
      </c>
      <c r="AE252" s="886">
        <f t="shared" si="156"/>
        <v>1647.3</v>
      </c>
      <c r="AF252" s="893">
        <f t="shared" si="156"/>
        <v>1618.8</v>
      </c>
      <c r="AG252" s="733">
        <f t="shared" si="120"/>
        <v>0</v>
      </c>
      <c r="AH252" s="208">
        <f t="shared" si="121"/>
        <v>4210.6000000000004</v>
      </c>
      <c r="AI252" s="208">
        <f t="shared" si="122"/>
        <v>4749.1000000000004</v>
      </c>
      <c r="AJ252" s="208">
        <f t="shared" si="123"/>
        <v>4356.6000000000004</v>
      </c>
      <c r="AK252" s="208">
        <f t="shared" si="124"/>
        <v>4816.6000000000004</v>
      </c>
      <c r="AL252" s="208">
        <f t="shared" si="125"/>
        <v>18132.900000000001</v>
      </c>
      <c r="AM252" s="805"/>
      <c r="AN252" s="889">
        <f t="shared" ref="AN252:AY252" si="157">AN103+AN157</f>
        <v>15.477363488102219</v>
      </c>
      <c r="AO252" s="889">
        <f t="shared" si="157"/>
        <v>17.655123960155723</v>
      </c>
      <c r="AP252" s="889">
        <f t="shared" si="157"/>
        <v>20.673262358356912</v>
      </c>
      <c r="AQ252" s="889">
        <f t="shared" si="157"/>
        <v>17.418011552728146</v>
      </c>
      <c r="AR252" s="889">
        <f t="shared" si="157"/>
        <v>17.664949021457168</v>
      </c>
      <c r="AS252" s="889">
        <f t="shared" si="157"/>
        <v>23.182972350295401</v>
      </c>
      <c r="AT252" s="889">
        <f t="shared" si="157"/>
        <v>18.316848862945566</v>
      </c>
      <c r="AU252" s="889">
        <f t="shared" si="157"/>
        <v>17.088615381975302</v>
      </c>
      <c r="AV252" s="889">
        <f t="shared" si="157"/>
        <v>18.161280840052402</v>
      </c>
      <c r="AW252" s="889">
        <f t="shared" si="157"/>
        <v>18.936522157986595</v>
      </c>
      <c r="AX252" s="889">
        <f t="shared" si="157"/>
        <v>19.166849067643032</v>
      </c>
      <c r="AY252" s="894">
        <f t="shared" si="157"/>
        <v>18.619575606630949</v>
      </c>
      <c r="AZ252" s="895">
        <f t="shared" si="126"/>
        <v>0</v>
      </c>
      <c r="BA252" s="636">
        <f t="shared" si="127"/>
        <v>53.805749806614855</v>
      </c>
      <c r="BB252" s="636">
        <f t="shared" si="128"/>
        <v>58.265932924480715</v>
      </c>
      <c r="BC252" s="636">
        <f t="shared" si="129"/>
        <v>53.566745084973263</v>
      </c>
      <c r="BD252" s="636">
        <f t="shared" si="130"/>
        <v>56.722946832260575</v>
      </c>
      <c r="BE252" s="683">
        <f t="shared" si="131"/>
        <v>222.36137464832939</v>
      </c>
      <c r="BF252" s="806"/>
      <c r="BG252" s="806"/>
      <c r="BH252" s="806"/>
      <c r="BI252" s="806"/>
      <c r="BJ252" s="680"/>
      <c r="BK252" s="680"/>
      <c r="BL252" s="680"/>
      <c r="BM252" s="680"/>
      <c r="BN252" s="680"/>
    </row>
    <row r="253" spans="1:66">
      <c r="B253" s="861"/>
      <c r="C253" s="896" t="s">
        <v>198</v>
      </c>
      <c r="D253" s="897"/>
      <c r="E253" s="898"/>
      <c r="F253" s="899">
        <f>+F132</f>
        <v>0</v>
      </c>
      <c r="G253" s="899">
        <f>+G132</f>
        <v>0</v>
      </c>
      <c r="H253" s="899">
        <f>+H132</f>
        <v>0</v>
      </c>
      <c r="I253" s="900">
        <f t="shared" si="153"/>
        <v>0</v>
      </c>
      <c r="J253" s="899">
        <f>+J132</f>
        <v>0</v>
      </c>
      <c r="K253" s="901">
        <f>+K132</f>
        <v>0</v>
      </c>
      <c r="L253" s="899">
        <f>+L132</f>
        <v>0</v>
      </c>
      <c r="M253" s="900">
        <f t="shared" si="154"/>
        <v>0</v>
      </c>
      <c r="N253" s="899">
        <f>+N132</f>
        <v>0</v>
      </c>
      <c r="O253" s="900">
        <f t="shared" si="155"/>
        <v>0</v>
      </c>
      <c r="P253" s="902"/>
      <c r="Q253" s="903"/>
      <c r="R253" s="904">
        <f>+R132</f>
        <v>0</v>
      </c>
      <c r="S253" s="905"/>
      <c r="T253" s="905"/>
      <c r="U253" s="899">
        <f t="shared" ref="U253:AF253" si="158">+U132</f>
        <v>0</v>
      </c>
      <c r="V253" s="899">
        <f t="shared" si="158"/>
        <v>0</v>
      </c>
      <c r="W253" s="899">
        <f t="shared" si="158"/>
        <v>0</v>
      </c>
      <c r="X253" s="899">
        <f t="shared" si="158"/>
        <v>0</v>
      </c>
      <c r="Y253" s="899">
        <f t="shared" si="158"/>
        <v>0</v>
      </c>
      <c r="Z253" s="899">
        <f t="shared" si="158"/>
        <v>0</v>
      </c>
      <c r="AA253" s="899">
        <f t="shared" si="158"/>
        <v>0</v>
      </c>
      <c r="AB253" s="899">
        <f t="shared" si="158"/>
        <v>0</v>
      </c>
      <c r="AC253" s="899">
        <f t="shared" si="158"/>
        <v>0</v>
      </c>
      <c r="AD253" s="899">
        <f t="shared" si="158"/>
        <v>0</v>
      </c>
      <c r="AE253" s="899">
        <f t="shared" si="158"/>
        <v>0</v>
      </c>
      <c r="AF253" s="906">
        <f t="shared" si="158"/>
        <v>0</v>
      </c>
      <c r="AG253" s="733">
        <f t="shared" si="120"/>
        <v>0</v>
      </c>
      <c r="AH253" s="208">
        <f t="shared" si="121"/>
        <v>0</v>
      </c>
      <c r="AI253" s="208">
        <f t="shared" si="122"/>
        <v>0</v>
      </c>
      <c r="AJ253" s="208">
        <f t="shared" si="123"/>
        <v>0</v>
      </c>
      <c r="AK253" s="208">
        <f t="shared" si="124"/>
        <v>0</v>
      </c>
      <c r="AL253" s="208">
        <f t="shared" si="125"/>
        <v>0</v>
      </c>
      <c r="AM253" s="805"/>
      <c r="AN253" s="902">
        <f t="shared" ref="AN253:AY253" si="159">+AN132</f>
        <v>0</v>
      </c>
      <c r="AO253" s="902">
        <f t="shared" si="159"/>
        <v>0</v>
      </c>
      <c r="AP253" s="902">
        <f t="shared" si="159"/>
        <v>0</v>
      </c>
      <c r="AQ253" s="902">
        <f t="shared" si="159"/>
        <v>0</v>
      </c>
      <c r="AR253" s="902">
        <f t="shared" si="159"/>
        <v>0</v>
      </c>
      <c r="AS253" s="902">
        <f t="shared" si="159"/>
        <v>0</v>
      </c>
      <c r="AT253" s="902">
        <f t="shared" si="159"/>
        <v>0</v>
      </c>
      <c r="AU253" s="902">
        <f t="shared" si="159"/>
        <v>0</v>
      </c>
      <c r="AV253" s="902">
        <f t="shared" si="159"/>
        <v>0</v>
      </c>
      <c r="AW253" s="902">
        <f t="shared" si="159"/>
        <v>0</v>
      </c>
      <c r="AX253" s="902">
        <f t="shared" si="159"/>
        <v>0</v>
      </c>
      <c r="AY253" s="907">
        <f t="shared" si="159"/>
        <v>0</v>
      </c>
      <c r="AZ253" s="895">
        <f t="shared" si="126"/>
        <v>0</v>
      </c>
      <c r="BA253" s="636">
        <f t="shared" si="127"/>
        <v>0</v>
      </c>
      <c r="BB253" s="636">
        <f t="shared" si="128"/>
        <v>0</v>
      </c>
      <c r="BC253" s="636">
        <f t="shared" si="129"/>
        <v>0</v>
      </c>
      <c r="BD253" s="636">
        <f t="shared" si="130"/>
        <v>0</v>
      </c>
      <c r="BE253" s="683">
        <f t="shared" si="131"/>
        <v>0</v>
      </c>
      <c r="BF253" s="806"/>
      <c r="BG253" s="806"/>
      <c r="BH253" s="806"/>
      <c r="BI253" s="806"/>
      <c r="BJ253" s="680"/>
      <c r="BK253" s="680"/>
      <c r="BL253" s="680"/>
      <c r="BM253" s="680"/>
      <c r="BN253" s="680"/>
    </row>
    <row r="254" spans="1:66">
      <c r="B254" s="861"/>
      <c r="C254" s="896" t="s">
        <v>159</v>
      </c>
      <c r="D254" s="897"/>
      <c r="E254" s="898"/>
      <c r="F254" s="899">
        <f>+F126</f>
        <v>4996.7361199999996</v>
      </c>
      <c r="G254" s="899">
        <f>+G126</f>
        <v>4897.3649999999998</v>
      </c>
      <c r="H254" s="899">
        <f>+H126</f>
        <v>5267.1170000000002</v>
      </c>
      <c r="I254" s="900">
        <f t="shared" si="153"/>
        <v>7.5500192450430062E-2</v>
      </c>
      <c r="J254" s="899">
        <f>+J126</f>
        <v>2799.1880000000001</v>
      </c>
      <c r="K254" s="901">
        <f>+K126</f>
        <v>1237.258177777778</v>
      </c>
      <c r="L254" s="899">
        <f>+L126</f>
        <v>4036.4461777777783</v>
      </c>
      <c r="M254" s="900">
        <f t="shared" si="154"/>
        <v>-0.23365169640663419</v>
      </c>
      <c r="N254" s="899">
        <f>+N126</f>
        <v>6279.1880000000001</v>
      </c>
      <c r="O254" s="900">
        <f t="shared" si="155"/>
        <v>0.55562287305337954</v>
      </c>
      <c r="P254" s="902"/>
      <c r="Q254" s="903"/>
      <c r="R254" s="904">
        <f>+R126</f>
        <v>51.711964952347905</v>
      </c>
      <c r="S254" s="905"/>
      <c r="T254" s="905"/>
      <c r="U254" s="899">
        <f t="shared" ref="U254:AF254" si="160">+U126</f>
        <v>360.32000000000005</v>
      </c>
      <c r="V254" s="899">
        <f t="shared" si="160"/>
        <v>544.21600000000001</v>
      </c>
      <c r="W254" s="899">
        <f t="shared" si="160"/>
        <v>622.61599999999999</v>
      </c>
      <c r="X254" s="899">
        <f t="shared" si="160"/>
        <v>595.12</v>
      </c>
      <c r="Y254" s="899">
        <f t="shared" si="160"/>
        <v>543.32000000000005</v>
      </c>
      <c r="Z254" s="899">
        <f t="shared" si="160"/>
        <v>580.91999999999996</v>
      </c>
      <c r="AA254" s="899">
        <f t="shared" si="160"/>
        <v>606.81999999999994</v>
      </c>
      <c r="AB254" s="899">
        <f t="shared" si="160"/>
        <v>424.32</v>
      </c>
      <c r="AC254" s="899">
        <f t="shared" si="160"/>
        <v>394.08000000000004</v>
      </c>
      <c r="AD254" s="899">
        <f t="shared" si="160"/>
        <v>512.02</v>
      </c>
      <c r="AE254" s="899">
        <f t="shared" si="160"/>
        <v>540.41599999999994</v>
      </c>
      <c r="AF254" s="906">
        <f t="shared" si="160"/>
        <v>555.01999999999987</v>
      </c>
      <c r="AG254" s="733">
        <f t="shared" si="120"/>
        <v>0</v>
      </c>
      <c r="AH254" s="208">
        <f t="shared" si="121"/>
        <v>1527.152</v>
      </c>
      <c r="AI254" s="208">
        <f t="shared" si="122"/>
        <v>1719.3600000000001</v>
      </c>
      <c r="AJ254" s="208">
        <f t="shared" si="123"/>
        <v>1425.2199999999998</v>
      </c>
      <c r="AK254" s="208">
        <f t="shared" si="124"/>
        <v>1607.4559999999997</v>
      </c>
      <c r="AL254" s="208">
        <f t="shared" si="125"/>
        <v>6279.1880000000001</v>
      </c>
      <c r="AM254" s="805"/>
      <c r="AN254" s="902">
        <f t="shared" ref="AN254:AY254" si="161">+AN126</f>
        <v>2.7423657910619013</v>
      </c>
      <c r="AO254" s="902">
        <f t="shared" si="161"/>
        <v>4.5533042928654393</v>
      </c>
      <c r="AP254" s="902">
        <f t="shared" si="161"/>
        <v>5.1995021724093711</v>
      </c>
      <c r="AQ254" s="902">
        <f t="shared" si="161"/>
        <v>4.9841063854486327</v>
      </c>
      <c r="AR254" s="902">
        <f t="shared" si="161"/>
        <v>4.469859600199567</v>
      </c>
      <c r="AS254" s="902">
        <f t="shared" si="161"/>
        <v>4.6308669176888921</v>
      </c>
      <c r="AT254" s="902">
        <f t="shared" si="161"/>
        <v>4.8560916533377601</v>
      </c>
      <c r="AU254" s="902">
        <f t="shared" si="161"/>
        <v>3.5301873427798265</v>
      </c>
      <c r="AV254" s="902">
        <f t="shared" si="161"/>
        <v>3.3745422732163428</v>
      </c>
      <c r="AW254" s="902">
        <f t="shared" si="161"/>
        <v>4.2746387329443829</v>
      </c>
      <c r="AX254" s="902">
        <f t="shared" si="161"/>
        <v>4.4481571032756664</v>
      </c>
      <c r="AY254" s="907">
        <f t="shared" si="161"/>
        <v>4.6483426871201354</v>
      </c>
      <c r="AZ254" s="895">
        <f t="shared" si="126"/>
        <v>0</v>
      </c>
      <c r="BA254" s="636">
        <f t="shared" si="127"/>
        <v>12.495172256336712</v>
      </c>
      <c r="BB254" s="636">
        <f t="shared" si="128"/>
        <v>14.084832903337091</v>
      </c>
      <c r="BC254" s="636">
        <f t="shared" si="129"/>
        <v>11.760821269333928</v>
      </c>
      <c r="BD254" s="636">
        <f t="shared" si="130"/>
        <v>13.371138523340186</v>
      </c>
      <c r="BE254" s="683">
        <f t="shared" si="131"/>
        <v>51.71196495234792</v>
      </c>
      <c r="BF254" s="806"/>
      <c r="BG254" s="806"/>
      <c r="BH254" s="806"/>
      <c r="BI254" s="806"/>
      <c r="BJ254" s="680"/>
      <c r="BK254" s="680"/>
      <c r="BL254" s="680"/>
      <c r="BM254" s="680"/>
      <c r="BN254" s="680"/>
    </row>
    <row r="255" spans="1:66">
      <c r="B255" s="861"/>
      <c r="C255" s="908" t="s">
        <v>225</v>
      </c>
      <c r="D255" s="897"/>
      <c r="E255" s="898"/>
      <c r="F255" s="899">
        <f>+F136</f>
        <v>457.19160000000011</v>
      </c>
      <c r="G255" s="899">
        <f>+G136</f>
        <v>276.81399999999996</v>
      </c>
      <c r="H255" s="899">
        <f>+H136</f>
        <v>548.94299999999998</v>
      </c>
      <c r="I255" s="900">
        <f t="shared" si="153"/>
        <v>0.98307527798449523</v>
      </c>
      <c r="J255" s="899">
        <f>+J136</f>
        <v>219.249</v>
      </c>
      <c r="K255" s="901">
        <f>+K136</f>
        <v>0</v>
      </c>
      <c r="L255" s="899">
        <f>+L136</f>
        <v>219.249</v>
      </c>
      <c r="M255" s="900">
        <f t="shared" si="154"/>
        <v>-0.60059787628223693</v>
      </c>
      <c r="N255" s="899">
        <f>+N136</f>
        <v>0</v>
      </c>
      <c r="O255" s="900">
        <f t="shared" si="155"/>
        <v>-1</v>
      </c>
      <c r="P255" s="902"/>
      <c r="Q255" s="903"/>
      <c r="R255" s="904">
        <f>+R136</f>
        <v>0</v>
      </c>
      <c r="S255" s="905"/>
      <c r="T255" s="905"/>
      <c r="U255" s="899">
        <f t="shared" ref="U255:AF255" si="162">+U136</f>
        <v>0</v>
      </c>
      <c r="V255" s="899">
        <f t="shared" si="162"/>
        <v>0</v>
      </c>
      <c r="W255" s="899">
        <f t="shared" si="162"/>
        <v>0</v>
      </c>
      <c r="X255" s="899">
        <f t="shared" si="162"/>
        <v>0</v>
      </c>
      <c r="Y255" s="899">
        <f t="shared" si="162"/>
        <v>0</v>
      </c>
      <c r="Z255" s="899">
        <f t="shared" si="162"/>
        <v>0</v>
      </c>
      <c r="AA255" s="899">
        <f t="shared" si="162"/>
        <v>0</v>
      </c>
      <c r="AB255" s="899">
        <f t="shared" si="162"/>
        <v>0</v>
      </c>
      <c r="AC255" s="899">
        <f t="shared" si="162"/>
        <v>0</v>
      </c>
      <c r="AD255" s="899">
        <f t="shared" si="162"/>
        <v>0</v>
      </c>
      <c r="AE255" s="899">
        <f t="shared" si="162"/>
        <v>0</v>
      </c>
      <c r="AF255" s="906">
        <f t="shared" si="162"/>
        <v>0</v>
      </c>
      <c r="AG255" s="733">
        <f t="shared" si="120"/>
        <v>0</v>
      </c>
      <c r="AH255" s="208">
        <f t="shared" si="121"/>
        <v>0</v>
      </c>
      <c r="AI255" s="208">
        <f t="shared" si="122"/>
        <v>0</v>
      </c>
      <c r="AJ255" s="208">
        <f t="shared" si="123"/>
        <v>0</v>
      </c>
      <c r="AK255" s="208">
        <f t="shared" si="124"/>
        <v>0</v>
      </c>
      <c r="AL255" s="208">
        <f t="shared" si="125"/>
        <v>0</v>
      </c>
      <c r="AM255" s="805"/>
      <c r="AN255" s="902">
        <f t="shared" ref="AN255:AY255" si="163">+AN136</f>
        <v>0</v>
      </c>
      <c r="AO255" s="902">
        <f t="shared" si="163"/>
        <v>0</v>
      </c>
      <c r="AP255" s="902">
        <f t="shared" si="163"/>
        <v>0</v>
      </c>
      <c r="AQ255" s="902">
        <f t="shared" si="163"/>
        <v>0</v>
      </c>
      <c r="AR255" s="902">
        <f t="shared" si="163"/>
        <v>0</v>
      </c>
      <c r="AS255" s="902">
        <f t="shared" si="163"/>
        <v>0</v>
      </c>
      <c r="AT255" s="902">
        <f t="shared" si="163"/>
        <v>0</v>
      </c>
      <c r="AU255" s="902">
        <f t="shared" si="163"/>
        <v>0</v>
      </c>
      <c r="AV255" s="902">
        <f t="shared" si="163"/>
        <v>0</v>
      </c>
      <c r="AW255" s="902">
        <f t="shared" si="163"/>
        <v>0</v>
      </c>
      <c r="AX255" s="902">
        <f t="shared" si="163"/>
        <v>0</v>
      </c>
      <c r="AY255" s="907">
        <f t="shared" si="163"/>
        <v>0</v>
      </c>
      <c r="AZ255" s="895">
        <f t="shared" si="126"/>
        <v>0</v>
      </c>
      <c r="BA255" s="636">
        <f t="shared" si="127"/>
        <v>0</v>
      </c>
      <c r="BB255" s="636">
        <f t="shared" si="128"/>
        <v>0</v>
      </c>
      <c r="BC255" s="636">
        <f t="shared" si="129"/>
        <v>0</v>
      </c>
      <c r="BD255" s="636">
        <f t="shared" si="130"/>
        <v>0</v>
      </c>
      <c r="BE255" s="683">
        <f t="shared" si="131"/>
        <v>0</v>
      </c>
      <c r="BF255" s="806"/>
      <c r="BG255" s="806"/>
      <c r="BH255" s="806"/>
      <c r="BI255" s="806"/>
      <c r="BJ255" s="680"/>
      <c r="BK255" s="680"/>
      <c r="BL255" s="680"/>
      <c r="BM255" s="680"/>
      <c r="BN255" s="680"/>
    </row>
    <row r="256" spans="1:66">
      <c r="B256" s="861"/>
      <c r="C256" s="896" t="s">
        <v>312</v>
      </c>
      <c r="D256" s="897"/>
      <c r="E256" s="898"/>
      <c r="F256" s="899">
        <f>+F177</f>
        <v>15724.6831</v>
      </c>
      <c r="G256" s="899">
        <f>+G177</f>
        <v>11107.550999999998</v>
      </c>
      <c r="H256" s="899">
        <f>+H177</f>
        <v>16360.659999999998</v>
      </c>
      <c r="I256" s="900">
        <f>IF(ISERROR((H256-G256)/G256),0,((H256-G256)/G256))</f>
        <v>0.47293134193126835</v>
      </c>
      <c r="J256" s="899">
        <f>+J177</f>
        <v>9612.4400000000041</v>
      </c>
      <c r="K256" s="901">
        <f>+K177</f>
        <v>5170</v>
      </c>
      <c r="L256" s="899">
        <f>+L177</f>
        <v>14782.440000000004</v>
      </c>
      <c r="M256" s="900">
        <f>IF(ISERROR((L256-H256)/H256),0,((L256-H256)/H256))</f>
        <v>-9.6464323566408328E-2</v>
      </c>
      <c r="N256" s="899">
        <f>+N177</f>
        <v>20775</v>
      </c>
      <c r="O256" s="900">
        <f>IF(ISERROR((N256-L256)/L256),0,((N256-L256)/L256))</f>
        <v>0.40538368496675747</v>
      </c>
      <c r="P256" s="902"/>
      <c r="Q256" s="903"/>
      <c r="R256" s="904">
        <f>+R177</f>
        <v>114.565</v>
      </c>
      <c r="S256" s="905"/>
      <c r="T256" s="905"/>
      <c r="U256" s="899">
        <f t="shared" ref="U256:AF256" si="164">+U177</f>
        <v>750</v>
      </c>
      <c r="V256" s="899">
        <f t="shared" si="164"/>
        <v>1268</v>
      </c>
      <c r="W256" s="899">
        <f t="shared" si="164"/>
        <v>1550</v>
      </c>
      <c r="X256" s="899">
        <f t="shared" si="164"/>
        <v>1304</v>
      </c>
      <c r="Y256" s="899">
        <f t="shared" si="164"/>
        <v>1550</v>
      </c>
      <c r="Z256" s="899">
        <f t="shared" si="164"/>
        <v>2104</v>
      </c>
      <c r="AA256" s="899">
        <f t="shared" si="164"/>
        <v>2104</v>
      </c>
      <c r="AB256" s="899">
        <f t="shared" si="164"/>
        <v>2050</v>
      </c>
      <c r="AC256" s="899">
        <f t="shared" si="164"/>
        <v>2104</v>
      </c>
      <c r="AD256" s="899">
        <f t="shared" si="164"/>
        <v>2354</v>
      </c>
      <c r="AE256" s="899">
        <f t="shared" si="164"/>
        <v>2104</v>
      </c>
      <c r="AF256" s="906">
        <f t="shared" si="164"/>
        <v>1533</v>
      </c>
      <c r="AG256" s="733">
        <f t="shared" si="120"/>
        <v>0</v>
      </c>
      <c r="AH256" s="208">
        <f t="shared" si="121"/>
        <v>3568</v>
      </c>
      <c r="AI256" s="208">
        <f t="shared" si="122"/>
        <v>4958</v>
      </c>
      <c r="AJ256" s="208">
        <f t="shared" si="123"/>
        <v>6258</v>
      </c>
      <c r="AK256" s="208">
        <f t="shared" si="124"/>
        <v>5991</v>
      </c>
      <c r="AL256" s="208">
        <f t="shared" si="125"/>
        <v>20775</v>
      </c>
      <c r="AM256" s="805"/>
      <c r="AN256" s="902">
        <f t="shared" ref="AN256:AY256" si="165">+AN177</f>
        <v>4.0875000000000004</v>
      </c>
      <c r="AO256" s="902">
        <f t="shared" si="165"/>
        <v>6.9492999999999991</v>
      </c>
      <c r="AP256" s="902">
        <f t="shared" si="165"/>
        <v>8.2225000000000001</v>
      </c>
      <c r="AQ256" s="902">
        <f t="shared" si="165"/>
        <v>7.4253999999999989</v>
      </c>
      <c r="AR256" s="902">
        <f t="shared" si="165"/>
        <v>8.2449999999999992</v>
      </c>
      <c r="AS256" s="902">
        <f t="shared" si="165"/>
        <v>12.015400000000001</v>
      </c>
      <c r="AT256" s="902">
        <f t="shared" si="165"/>
        <v>11.605400000000001</v>
      </c>
      <c r="AU256" s="902">
        <f t="shared" si="165"/>
        <v>10.925000000000001</v>
      </c>
      <c r="AV256" s="902">
        <f t="shared" si="165"/>
        <v>11.605400000000001</v>
      </c>
      <c r="AW256" s="902">
        <f t="shared" si="165"/>
        <v>13.355400000000001</v>
      </c>
      <c r="AX256" s="902">
        <f t="shared" si="165"/>
        <v>11.6279</v>
      </c>
      <c r="AY256" s="907">
        <f t="shared" si="165"/>
        <v>8.5007999999999999</v>
      </c>
      <c r="AZ256" s="895">
        <f t="shared" si="126"/>
        <v>0</v>
      </c>
      <c r="BA256" s="636">
        <f t="shared" si="127"/>
        <v>19.2593</v>
      </c>
      <c r="BB256" s="636">
        <f t="shared" si="128"/>
        <v>27.6858</v>
      </c>
      <c r="BC256" s="636">
        <f t="shared" si="129"/>
        <v>34.135800000000003</v>
      </c>
      <c r="BD256" s="636">
        <f t="shared" si="130"/>
        <v>33.484099999999998</v>
      </c>
      <c r="BE256" s="683">
        <f t="shared" si="131"/>
        <v>114.565</v>
      </c>
      <c r="BF256" s="806"/>
      <c r="BG256" s="806"/>
      <c r="BH256" s="806"/>
      <c r="BI256" s="806"/>
      <c r="BJ256" s="680"/>
      <c r="BK256" s="680"/>
      <c r="BL256" s="680"/>
      <c r="BM256" s="680"/>
      <c r="BN256" s="680"/>
    </row>
    <row r="257" spans="1:66">
      <c r="B257" s="861"/>
      <c r="C257" s="896" t="s">
        <v>494</v>
      </c>
      <c r="D257" s="897"/>
      <c r="E257" s="898"/>
      <c r="F257" s="899">
        <f>+F161</f>
        <v>0</v>
      </c>
      <c r="G257" s="899">
        <f>+G161</f>
        <v>0</v>
      </c>
      <c r="H257" s="899">
        <f>+H161</f>
        <v>0</v>
      </c>
      <c r="I257" s="900">
        <f t="shared" si="153"/>
        <v>0</v>
      </c>
      <c r="J257" s="899">
        <f>+J161</f>
        <v>0</v>
      </c>
      <c r="K257" s="901">
        <f>+K161</f>
        <v>0</v>
      </c>
      <c r="L257" s="899">
        <f>+L161</f>
        <v>0</v>
      </c>
      <c r="M257" s="900">
        <f t="shared" si="154"/>
        <v>0</v>
      </c>
      <c r="N257" s="899">
        <f>+N161</f>
        <v>0</v>
      </c>
      <c r="O257" s="900">
        <f t="shared" si="155"/>
        <v>0</v>
      </c>
      <c r="P257" s="902"/>
      <c r="Q257" s="903"/>
      <c r="R257" s="904">
        <f>+R161</f>
        <v>0</v>
      </c>
      <c r="S257" s="905"/>
      <c r="T257" s="905"/>
      <c r="U257" s="899">
        <f t="shared" ref="U257:AF257" si="166">+U161</f>
        <v>0</v>
      </c>
      <c r="V257" s="899">
        <f t="shared" si="166"/>
        <v>0</v>
      </c>
      <c r="W257" s="899">
        <f t="shared" si="166"/>
        <v>0</v>
      </c>
      <c r="X257" s="899">
        <f t="shared" si="166"/>
        <v>0</v>
      </c>
      <c r="Y257" s="899">
        <f t="shared" si="166"/>
        <v>0</v>
      </c>
      <c r="Z257" s="899">
        <f t="shared" si="166"/>
        <v>0</v>
      </c>
      <c r="AA257" s="899">
        <f t="shared" si="166"/>
        <v>0</v>
      </c>
      <c r="AB257" s="899">
        <f t="shared" si="166"/>
        <v>0</v>
      </c>
      <c r="AC257" s="899">
        <f t="shared" si="166"/>
        <v>0</v>
      </c>
      <c r="AD257" s="899">
        <f t="shared" si="166"/>
        <v>0</v>
      </c>
      <c r="AE257" s="899">
        <f t="shared" si="166"/>
        <v>0</v>
      </c>
      <c r="AF257" s="906">
        <f t="shared" si="166"/>
        <v>0</v>
      </c>
      <c r="AG257" s="733">
        <f t="shared" si="120"/>
        <v>0</v>
      </c>
      <c r="AH257" s="208">
        <f t="shared" si="121"/>
        <v>0</v>
      </c>
      <c r="AI257" s="208">
        <f t="shared" si="122"/>
        <v>0</v>
      </c>
      <c r="AJ257" s="208">
        <f t="shared" si="123"/>
        <v>0</v>
      </c>
      <c r="AK257" s="208">
        <f t="shared" si="124"/>
        <v>0</v>
      </c>
      <c r="AL257" s="208">
        <f t="shared" si="125"/>
        <v>0</v>
      </c>
      <c r="AM257" s="805"/>
      <c r="AN257" s="902">
        <f t="shared" ref="AN257:AY257" si="167">+AN161</f>
        <v>0</v>
      </c>
      <c r="AO257" s="902">
        <f t="shared" si="167"/>
        <v>0</v>
      </c>
      <c r="AP257" s="902">
        <f t="shared" si="167"/>
        <v>0</v>
      </c>
      <c r="AQ257" s="902">
        <f t="shared" si="167"/>
        <v>0</v>
      </c>
      <c r="AR257" s="902">
        <f t="shared" si="167"/>
        <v>0</v>
      </c>
      <c r="AS257" s="902">
        <f t="shared" si="167"/>
        <v>0</v>
      </c>
      <c r="AT257" s="902">
        <f t="shared" si="167"/>
        <v>0</v>
      </c>
      <c r="AU257" s="902">
        <f t="shared" si="167"/>
        <v>0</v>
      </c>
      <c r="AV257" s="902">
        <f t="shared" si="167"/>
        <v>0</v>
      </c>
      <c r="AW257" s="902">
        <f t="shared" si="167"/>
        <v>0</v>
      </c>
      <c r="AX257" s="902">
        <f t="shared" si="167"/>
        <v>0</v>
      </c>
      <c r="AY257" s="907">
        <f t="shared" si="167"/>
        <v>0</v>
      </c>
      <c r="AZ257" s="895">
        <f t="shared" si="126"/>
        <v>0</v>
      </c>
      <c r="BA257" s="636">
        <f t="shared" si="127"/>
        <v>0</v>
      </c>
      <c r="BB257" s="636">
        <f t="shared" si="128"/>
        <v>0</v>
      </c>
      <c r="BC257" s="636">
        <f t="shared" si="129"/>
        <v>0</v>
      </c>
      <c r="BD257" s="636">
        <f t="shared" si="130"/>
        <v>0</v>
      </c>
      <c r="BE257" s="683">
        <f t="shared" si="131"/>
        <v>0</v>
      </c>
      <c r="BF257" s="806"/>
      <c r="BG257" s="806"/>
      <c r="BH257" s="806"/>
      <c r="BI257" s="806"/>
      <c r="BJ257" s="680"/>
      <c r="BK257" s="680"/>
      <c r="BL257" s="680"/>
      <c r="BM257" s="680"/>
      <c r="BN257" s="680"/>
    </row>
    <row r="258" spans="1:66">
      <c r="B258" s="861"/>
      <c r="C258" s="896" t="s">
        <v>366</v>
      </c>
      <c r="D258" s="897"/>
      <c r="E258" s="898"/>
      <c r="F258" s="899">
        <f>F183</f>
        <v>0</v>
      </c>
      <c r="G258" s="899">
        <f>G183</f>
        <v>3289.49</v>
      </c>
      <c r="H258" s="899">
        <f>H183</f>
        <v>1326.37</v>
      </c>
      <c r="I258" s="900">
        <f t="shared" si="153"/>
        <v>-0.59678551994382112</v>
      </c>
      <c r="J258" s="899">
        <f>J183</f>
        <v>428.1</v>
      </c>
      <c r="K258" s="901">
        <f>K183</f>
        <v>50</v>
      </c>
      <c r="L258" s="899">
        <f>L183</f>
        <v>478.1</v>
      </c>
      <c r="M258" s="900">
        <f>IF(ISERROR((L258-H258)/H258),0,((L258-H258)/H258))</f>
        <v>-0.63954251076245694</v>
      </c>
      <c r="N258" s="899">
        <f>N183</f>
        <v>300</v>
      </c>
      <c r="O258" s="900">
        <f>IF(ISERROR((N258-L258)/L258),0,((N258-L258)/L258))</f>
        <v>-0.37251620999790841</v>
      </c>
      <c r="P258" s="902"/>
      <c r="Q258" s="903"/>
      <c r="R258" s="904">
        <f>R183</f>
        <v>0.6</v>
      </c>
      <c r="S258" s="905"/>
      <c r="T258" s="905"/>
      <c r="U258" s="899">
        <f t="shared" ref="U258:AF258" si="168">U183</f>
        <v>25</v>
      </c>
      <c r="V258" s="899">
        <f t="shared" si="168"/>
        <v>25</v>
      </c>
      <c r="W258" s="899">
        <f t="shared" si="168"/>
        <v>25</v>
      </c>
      <c r="X258" s="899">
        <f t="shared" si="168"/>
        <v>25</v>
      </c>
      <c r="Y258" s="899">
        <f t="shared" si="168"/>
        <v>25</v>
      </c>
      <c r="Z258" s="899">
        <f t="shared" si="168"/>
        <v>25</v>
      </c>
      <c r="AA258" s="899">
        <f t="shared" si="168"/>
        <v>25</v>
      </c>
      <c r="AB258" s="899">
        <f t="shared" si="168"/>
        <v>25</v>
      </c>
      <c r="AC258" s="899">
        <f t="shared" si="168"/>
        <v>25</v>
      </c>
      <c r="AD258" s="899">
        <f t="shared" si="168"/>
        <v>25</v>
      </c>
      <c r="AE258" s="899">
        <f t="shared" si="168"/>
        <v>25</v>
      </c>
      <c r="AF258" s="906">
        <f t="shared" si="168"/>
        <v>25</v>
      </c>
      <c r="AG258" s="733">
        <f t="shared" si="120"/>
        <v>0</v>
      </c>
      <c r="AH258" s="208">
        <f t="shared" si="121"/>
        <v>75</v>
      </c>
      <c r="AI258" s="208">
        <f t="shared" si="122"/>
        <v>75</v>
      </c>
      <c r="AJ258" s="208">
        <f t="shared" si="123"/>
        <v>75</v>
      </c>
      <c r="AK258" s="208">
        <f t="shared" si="124"/>
        <v>75</v>
      </c>
      <c r="AL258" s="208">
        <f t="shared" si="125"/>
        <v>300</v>
      </c>
      <c r="AM258" s="805"/>
      <c r="AN258" s="902">
        <f t="shared" ref="AN258:AY258" si="169">AN183</f>
        <v>0.05</v>
      </c>
      <c r="AO258" s="902">
        <f t="shared" si="169"/>
        <v>0.05</v>
      </c>
      <c r="AP258" s="902">
        <f t="shared" si="169"/>
        <v>0.05</v>
      </c>
      <c r="AQ258" s="902">
        <f t="shared" si="169"/>
        <v>0.05</v>
      </c>
      <c r="AR258" s="902">
        <f t="shared" si="169"/>
        <v>0.05</v>
      </c>
      <c r="AS258" s="902">
        <f t="shared" si="169"/>
        <v>0.05</v>
      </c>
      <c r="AT258" s="902">
        <f t="shared" si="169"/>
        <v>0.05</v>
      </c>
      <c r="AU258" s="902">
        <f t="shared" si="169"/>
        <v>0.05</v>
      </c>
      <c r="AV258" s="902">
        <f t="shared" si="169"/>
        <v>0.05</v>
      </c>
      <c r="AW258" s="902">
        <f t="shared" si="169"/>
        <v>0.05</v>
      </c>
      <c r="AX258" s="902">
        <f t="shared" si="169"/>
        <v>0.05</v>
      </c>
      <c r="AY258" s="907">
        <f t="shared" si="169"/>
        <v>0.05</v>
      </c>
      <c r="AZ258" s="895">
        <f t="shared" si="126"/>
        <v>0</v>
      </c>
      <c r="BA258" s="636">
        <f t="shared" si="127"/>
        <v>0.15000000000000002</v>
      </c>
      <c r="BB258" s="636">
        <f t="shared" si="128"/>
        <v>0.15000000000000002</v>
      </c>
      <c r="BC258" s="636">
        <f t="shared" si="129"/>
        <v>0.15000000000000002</v>
      </c>
      <c r="BD258" s="636">
        <f t="shared" si="130"/>
        <v>0.15000000000000002</v>
      </c>
      <c r="BE258" s="683">
        <f t="shared" si="131"/>
        <v>0.60000000000000009</v>
      </c>
      <c r="BF258" s="806"/>
      <c r="BG258" s="806"/>
      <c r="BH258" s="806"/>
      <c r="BI258" s="806"/>
      <c r="BJ258" s="680"/>
      <c r="BK258" s="680"/>
      <c r="BL258" s="680"/>
      <c r="BM258" s="680"/>
      <c r="BN258" s="680"/>
    </row>
    <row r="259" spans="1:66">
      <c r="B259" s="861"/>
      <c r="C259" s="896" t="s">
        <v>353</v>
      </c>
      <c r="D259" s="897"/>
      <c r="E259" s="898"/>
      <c r="F259" s="899">
        <f>F245</f>
        <v>0</v>
      </c>
      <c r="G259" s="899">
        <f>G245</f>
        <v>645.57304476000002</v>
      </c>
      <c r="H259" s="899">
        <f>H245</f>
        <v>230.82698959999996</v>
      </c>
      <c r="I259" s="900">
        <f t="shared" si="153"/>
        <v>-0.64244636377931053</v>
      </c>
      <c r="J259" s="899">
        <f>J245</f>
        <v>434.52300000000002</v>
      </c>
      <c r="K259" s="901">
        <f>K245</f>
        <v>189.44</v>
      </c>
      <c r="L259" s="899">
        <f>L245</f>
        <v>623.96299999999997</v>
      </c>
      <c r="M259" s="900">
        <f>IF(ISERROR((L259-H259)/H259),0,((L259-H259)/H259))</f>
        <v>1.7031630966606865</v>
      </c>
      <c r="N259" s="904">
        <f>N245</f>
        <v>697.27639999999997</v>
      </c>
      <c r="O259" s="900">
        <f>IF(ISERROR((N259-L259)/L259),0,((N259-L259)/L259))</f>
        <v>0.11749639001030511</v>
      </c>
      <c r="P259" s="902"/>
      <c r="Q259" s="903"/>
      <c r="R259" s="904">
        <f>R245</f>
        <v>46.502791671355681</v>
      </c>
      <c r="S259" s="905"/>
      <c r="T259" s="905"/>
      <c r="U259" s="899">
        <f>U245</f>
        <v>47.083333333333329</v>
      </c>
      <c r="V259" s="899">
        <f>V245</f>
        <v>47.083333333333329</v>
      </c>
      <c r="W259" s="899">
        <f t="shared" ref="W259:AF259" si="170">W245</f>
        <v>61.258800000000001</v>
      </c>
      <c r="X259" s="899">
        <f t="shared" si="170"/>
        <v>47.083333333333329</v>
      </c>
      <c r="Y259" s="899">
        <f t="shared" si="170"/>
        <v>54.343333333333334</v>
      </c>
      <c r="Z259" s="899">
        <f t="shared" si="170"/>
        <v>61.258800000000001</v>
      </c>
      <c r="AA259" s="899">
        <f t="shared" si="170"/>
        <v>59.183333333333337</v>
      </c>
      <c r="AB259" s="899">
        <f t="shared" si="170"/>
        <v>65.033333333333331</v>
      </c>
      <c r="AC259" s="899">
        <f t="shared" si="170"/>
        <v>69.52879999999999</v>
      </c>
      <c r="AD259" s="899">
        <f t="shared" si="170"/>
        <v>67.453333333333333</v>
      </c>
      <c r="AE259" s="899">
        <f t="shared" si="170"/>
        <v>65.033333333333331</v>
      </c>
      <c r="AF259" s="906">
        <f t="shared" si="170"/>
        <v>52.933333333333337</v>
      </c>
      <c r="AG259" s="733">
        <f t="shared" si="120"/>
        <v>0</v>
      </c>
      <c r="AH259" s="208">
        <f t="shared" si="121"/>
        <v>155.42546666666667</v>
      </c>
      <c r="AI259" s="208">
        <f t="shared" si="122"/>
        <v>162.68546666666666</v>
      </c>
      <c r="AJ259" s="208">
        <f t="shared" si="123"/>
        <v>193.74546666666666</v>
      </c>
      <c r="AK259" s="208">
        <f t="shared" si="124"/>
        <v>185.42000000000002</v>
      </c>
      <c r="AL259" s="208">
        <f t="shared" si="125"/>
        <v>697.27639999999997</v>
      </c>
      <c r="AM259" s="805"/>
      <c r="AN259" s="902">
        <f>AN245</f>
        <v>2.5564412203734781</v>
      </c>
      <c r="AO259" s="902">
        <f>AO245</f>
        <v>2.5564412203734781</v>
      </c>
      <c r="AP259" s="902">
        <f t="shared" ref="AP259:AY259" si="171">AP245</f>
        <v>5.0776989226553795</v>
      </c>
      <c r="AQ259" s="902">
        <f t="shared" si="171"/>
        <v>2.5564412203734781</v>
      </c>
      <c r="AR259" s="902">
        <f t="shared" si="171"/>
        <v>3.2439930907768675</v>
      </c>
      <c r="AS259" s="902">
        <f t="shared" si="171"/>
        <v>5.0776989226553795</v>
      </c>
      <c r="AT259" s="902">
        <f t="shared" si="171"/>
        <v>3.7023610043791275</v>
      </c>
      <c r="AU259" s="902">
        <f t="shared" si="171"/>
        <v>4.2087860043791272</v>
      </c>
      <c r="AV259" s="902">
        <f t="shared" si="171"/>
        <v>5.8133078794565094</v>
      </c>
      <c r="AW259" s="902">
        <f t="shared" si="171"/>
        <v>4.437969961180257</v>
      </c>
      <c r="AX259" s="902">
        <f t="shared" si="171"/>
        <v>4.2087860043791272</v>
      </c>
      <c r="AY259" s="907">
        <f t="shared" si="171"/>
        <v>3.0628662203734782</v>
      </c>
      <c r="AZ259" s="895">
        <f t="shared" si="126"/>
        <v>0</v>
      </c>
      <c r="BA259" s="636">
        <f t="shared" si="127"/>
        <v>10.190581363402336</v>
      </c>
      <c r="BB259" s="636">
        <f t="shared" si="128"/>
        <v>10.878133233805725</v>
      </c>
      <c r="BC259" s="636">
        <f t="shared" si="129"/>
        <v>13.724454888214764</v>
      </c>
      <c r="BD259" s="636">
        <f t="shared" si="130"/>
        <v>11.709622185932862</v>
      </c>
      <c r="BE259" s="683">
        <f t="shared" si="131"/>
        <v>46.502791671355681</v>
      </c>
      <c r="BF259" s="806"/>
      <c r="BG259" s="806"/>
      <c r="BH259" s="806"/>
      <c r="BI259" s="806"/>
      <c r="BJ259" s="680"/>
      <c r="BK259" s="680"/>
      <c r="BL259" s="680"/>
      <c r="BM259" s="680"/>
      <c r="BN259" s="680"/>
    </row>
    <row r="260" spans="1:66">
      <c r="B260" s="909"/>
      <c r="C260" s="910" t="s">
        <v>21</v>
      </c>
      <c r="D260" s="911"/>
      <c r="E260" s="912"/>
      <c r="F260" s="913">
        <f>SUM(F252:F259)</f>
        <v>43832.70960200001</v>
      </c>
      <c r="G260" s="913">
        <f>SUM(G252:G259)</f>
        <v>39008.343044759997</v>
      </c>
      <c r="H260" s="913">
        <f>SUM(H252:H259)</f>
        <v>40545.911989599997</v>
      </c>
      <c r="I260" s="914">
        <f t="shared" si="153"/>
        <v>3.9416412613981634E-2</v>
      </c>
      <c r="J260" s="913">
        <f>SUM(J252:J259)</f>
        <v>25095.214000000004</v>
      </c>
      <c r="K260" s="915">
        <f>SUM(K252:K259)</f>
        <v>10295.599008333334</v>
      </c>
      <c r="L260" s="913">
        <f>SUM(L252:L259)</f>
        <v>35386.813008333338</v>
      </c>
      <c r="M260" s="914">
        <f t="shared" si="154"/>
        <v>-0.1272409159914806</v>
      </c>
      <c r="N260" s="913">
        <f>SUM(N252:N259)</f>
        <v>46184.364400000006</v>
      </c>
      <c r="O260" s="914">
        <f t="shared" si="155"/>
        <v>0.30512924091592886</v>
      </c>
      <c r="P260" s="916"/>
      <c r="Q260" s="917"/>
      <c r="R260" s="918">
        <f>SUM(R252:R259)</f>
        <v>435.74113127203304</v>
      </c>
      <c r="S260" s="919"/>
      <c r="T260" s="919"/>
      <c r="U260" s="913">
        <f>SUM(U252:U259)</f>
        <v>2387.7033333333334</v>
      </c>
      <c r="V260" s="913">
        <f>SUM(V252:V259)</f>
        <v>3196.0993333333336</v>
      </c>
      <c r="W260" s="913">
        <f t="shared" ref="W260:AF260" si="172">SUM(W252:W259)</f>
        <v>3952.3748000000001</v>
      </c>
      <c r="X260" s="913">
        <f t="shared" si="172"/>
        <v>3370.5033333333336</v>
      </c>
      <c r="Y260" s="913">
        <f t="shared" si="172"/>
        <v>3607.9633333333331</v>
      </c>
      <c r="Z260" s="913">
        <f t="shared" si="172"/>
        <v>4685.6787999999997</v>
      </c>
      <c r="AA260" s="913">
        <f t="shared" si="172"/>
        <v>4276.0033333333331</v>
      </c>
      <c r="AB260" s="913">
        <f t="shared" si="172"/>
        <v>3964.4533333333334</v>
      </c>
      <c r="AC260" s="913">
        <f t="shared" si="172"/>
        <v>4068.1088</v>
      </c>
      <c r="AD260" s="913">
        <f t="shared" si="172"/>
        <v>4508.9733333333334</v>
      </c>
      <c r="AE260" s="913">
        <f t="shared" si="172"/>
        <v>4381.7493333333341</v>
      </c>
      <c r="AF260" s="920">
        <f t="shared" si="172"/>
        <v>3784.7533333333331</v>
      </c>
      <c r="AG260" s="733">
        <f t="shared" si="120"/>
        <v>0</v>
      </c>
      <c r="AH260" s="208">
        <f t="shared" si="121"/>
        <v>9536.1774666666661</v>
      </c>
      <c r="AI260" s="208">
        <f t="shared" si="122"/>
        <v>11664.145466666667</v>
      </c>
      <c r="AJ260" s="208">
        <f t="shared" si="123"/>
        <v>12308.565466666667</v>
      </c>
      <c r="AK260" s="208">
        <f t="shared" si="124"/>
        <v>12675.476000000002</v>
      </c>
      <c r="AL260" s="208">
        <f t="shared" si="125"/>
        <v>46184.364399999999</v>
      </c>
      <c r="AM260" s="805"/>
      <c r="AN260" s="916">
        <f>SUM(AN252:AN259)</f>
        <v>24.913670499537599</v>
      </c>
      <c r="AO260" s="916">
        <f>SUM(AO252:AO259)</f>
        <v>31.764169473394642</v>
      </c>
      <c r="AP260" s="916">
        <f t="shared" ref="AP260:AY260" si="173">SUM(AP252:AP259)</f>
        <v>39.222963453421663</v>
      </c>
      <c r="AQ260" s="916">
        <f t="shared" si="173"/>
        <v>32.433959158550259</v>
      </c>
      <c r="AR260" s="916">
        <f t="shared" si="173"/>
        <v>33.673801712433601</v>
      </c>
      <c r="AS260" s="916">
        <f t="shared" si="173"/>
        <v>44.956938190639669</v>
      </c>
      <c r="AT260" s="916">
        <f t="shared" si="173"/>
        <v>38.530701520662454</v>
      </c>
      <c r="AU260" s="916">
        <f t="shared" si="173"/>
        <v>35.802588729134257</v>
      </c>
      <c r="AV260" s="916">
        <f t="shared" si="173"/>
        <v>39.00453099272525</v>
      </c>
      <c r="AW260" s="916">
        <f t="shared" si="173"/>
        <v>41.054530852111235</v>
      </c>
      <c r="AX260" s="916">
        <f t="shared" si="173"/>
        <v>39.501692175297826</v>
      </c>
      <c r="AY260" s="921">
        <f t="shared" si="173"/>
        <v>34.881584514124562</v>
      </c>
      <c r="AZ260" s="895">
        <f t="shared" si="126"/>
        <v>0</v>
      </c>
      <c r="BA260" s="636">
        <f t="shared" si="127"/>
        <v>95.900803426353903</v>
      </c>
      <c r="BB260" s="636">
        <f t="shared" si="128"/>
        <v>111.06469906162354</v>
      </c>
      <c r="BC260" s="636">
        <f t="shared" si="129"/>
        <v>113.33782124252195</v>
      </c>
      <c r="BD260" s="636">
        <f t="shared" si="130"/>
        <v>115.43780754153363</v>
      </c>
      <c r="BE260" s="683">
        <f t="shared" si="131"/>
        <v>435.74113127203304</v>
      </c>
      <c r="BF260" s="806"/>
      <c r="BG260" s="806"/>
      <c r="BH260" s="806"/>
      <c r="BI260" s="806"/>
      <c r="BJ260" s="680"/>
      <c r="BK260" s="680"/>
      <c r="BL260" s="680"/>
      <c r="BM260" s="680"/>
      <c r="BN260" s="680"/>
    </row>
    <row r="261" spans="1:66" s="708" customFormat="1">
      <c r="A261" s="922"/>
      <c r="B261" s="861"/>
      <c r="C261" s="923" t="s">
        <v>349</v>
      </c>
      <c r="D261" s="862"/>
      <c r="E261" s="862"/>
      <c r="F261" s="691">
        <f>F247-F260</f>
        <v>0</v>
      </c>
      <c r="G261" s="691">
        <f>G247-G260</f>
        <v>0</v>
      </c>
      <c r="H261" s="691">
        <f>H247-H260</f>
        <v>0</v>
      </c>
      <c r="I261" s="895"/>
      <c r="J261" s="691">
        <f>J247-J260</f>
        <v>0</v>
      </c>
      <c r="K261" s="214">
        <f>K247-K260</f>
        <v>0</v>
      </c>
      <c r="L261" s="895">
        <f>L247-L260</f>
        <v>0</v>
      </c>
      <c r="M261" s="867"/>
      <c r="N261" s="895">
        <f>N247-N260</f>
        <v>0</v>
      </c>
      <c r="O261" s="867"/>
      <c r="P261" s="867"/>
      <c r="Q261" s="867"/>
      <c r="R261" s="868"/>
      <c r="S261" s="868"/>
      <c r="T261" s="868"/>
      <c r="U261" s="691">
        <f>U247-U260</f>
        <v>0</v>
      </c>
      <c r="V261" s="691">
        <f>V247-V260</f>
        <v>0</v>
      </c>
      <c r="W261" s="691">
        <f t="shared" ref="W261:AF261" si="174">W247-W260</f>
        <v>0</v>
      </c>
      <c r="X261" s="691">
        <f t="shared" si="174"/>
        <v>0</v>
      </c>
      <c r="Y261" s="691">
        <f t="shared" si="174"/>
        <v>0</v>
      </c>
      <c r="Z261" s="691">
        <f t="shared" si="174"/>
        <v>0</v>
      </c>
      <c r="AA261" s="691">
        <f t="shared" si="174"/>
        <v>0</v>
      </c>
      <c r="AB261" s="691">
        <f t="shared" si="174"/>
        <v>0</v>
      </c>
      <c r="AC261" s="691">
        <f t="shared" si="174"/>
        <v>0</v>
      </c>
      <c r="AD261" s="691">
        <f t="shared" si="174"/>
        <v>0</v>
      </c>
      <c r="AE261" s="691">
        <f t="shared" si="174"/>
        <v>0</v>
      </c>
      <c r="AF261" s="691">
        <f t="shared" si="174"/>
        <v>0</v>
      </c>
      <c r="AG261" s="733">
        <f t="shared" si="120"/>
        <v>0</v>
      </c>
      <c r="AH261" s="208">
        <f t="shared" si="121"/>
        <v>0</v>
      </c>
      <c r="AI261" s="208">
        <f t="shared" si="122"/>
        <v>0</v>
      </c>
      <c r="AJ261" s="208">
        <f t="shared" si="123"/>
        <v>0</v>
      </c>
      <c r="AK261" s="208">
        <f t="shared" si="124"/>
        <v>0</v>
      </c>
      <c r="AL261" s="208">
        <f t="shared" si="125"/>
        <v>0</v>
      </c>
      <c r="AM261" s="843"/>
      <c r="AN261" s="895">
        <f>AN247-AN260</f>
        <v>0</v>
      </c>
      <c r="AO261" s="895">
        <f>AO247-AO260</f>
        <v>0</v>
      </c>
      <c r="AP261" s="895">
        <f t="shared" ref="AP261:AY261" si="175">AP247-AP260</f>
        <v>0</v>
      </c>
      <c r="AQ261" s="895">
        <f t="shared" si="175"/>
        <v>0</v>
      </c>
      <c r="AR261" s="895">
        <f t="shared" si="175"/>
        <v>0</v>
      </c>
      <c r="AS261" s="895">
        <f t="shared" si="175"/>
        <v>0</v>
      </c>
      <c r="AT261" s="895">
        <f t="shared" si="175"/>
        <v>0</v>
      </c>
      <c r="AU261" s="895">
        <f t="shared" si="175"/>
        <v>0</v>
      </c>
      <c r="AV261" s="895">
        <f t="shared" si="175"/>
        <v>0</v>
      </c>
      <c r="AW261" s="895">
        <f t="shared" si="175"/>
        <v>0</v>
      </c>
      <c r="AX261" s="895">
        <f t="shared" si="175"/>
        <v>0</v>
      </c>
      <c r="AY261" s="895">
        <f t="shared" si="175"/>
        <v>0</v>
      </c>
      <c r="AZ261" s="895">
        <f t="shared" si="126"/>
        <v>0</v>
      </c>
      <c r="BA261" s="636">
        <f t="shared" si="127"/>
        <v>0</v>
      </c>
      <c r="BB261" s="636">
        <f t="shared" si="128"/>
        <v>0</v>
      </c>
      <c r="BC261" s="636">
        <f t="shared" si="129"/>
        <v>0</v>
      </c>
      <c r="BD261" s="636">
        <f t="shared" si="130"/>
        <v>0</v>
      </c>
      <c r="BE261" s="683">
        <f t="shared" si="131"/>
        <v>0</v>
      </c>
      <c r="BF261" s="844"/>
      <c r="BG261" s="844"/>
      <c r="BH261" s="844"/>
      <c r="BI261" s="844"/>
      <c r="BJ261" s="707"/>
      <c r="BK261" s="707"/>
      <c r="BL261" s="707"/>
      <c r="BM261" s="707"/>
      <c r="BN261" s="707"/>
    </row>
    <row r="262" spans="1:66">
      <c r="B262" s="861"/>
      <c r="C262" s="862"/>
      <c r="D262" s="862"/>
      <c r="E262" s="862"/>
      <c r="F262" s="863"/>
      <c r="G262" s="864"/>
      <c r="H262" s="864"/>
      <c r="I262" s="862"/>
      <c r="J262" s="864"/>
      <c r="K262" s="865"/>
      <c r="L262" s="862"/>
      <c r="M262" s="866"/>
      <c r="N262" s="862"/>
      <c r="O262" s="862"/>
      <c r="P262" s="862"/>
      <c r="Q262" s="924"/>
      <c r="R262" s="868"/>
      <c r="S262" s="865"/>
      <c r="T262" s="865"/>
      <c r="U262" s="863"/>
      <c r="V262" s="863"/>
      <c r="W262" s="863"/>
      <c r="X262" s="863"/>
      <c r="Y262" s="863"/>
      <c r="Z262" s="863"/>
      <c r="AA262" s="863"/>
      <c r="AB262" s="863"/>
      <c r="AC262" s="863"/>
      <c r="AD262" s="863"/>
      <c r="AE262" s="863"/>
      <c r="AF262" s="863"/>
      <c r="AG262" s="733"/>
      <c r="AH262" s="208"/>
      <c r="AI262" s="208"/>
      <c r="AJ262" s="208"/>
      <c r="AK262" s="208"/>
      <c r="AL262" s="208"/>
      <c r="AM262" s="805"/>
      <c r="AN262" s="867"/>
      <c r="AO262" s="867"/>
      <c r="AP262" s="867"/>
      <c r="AQ262" s="867"/>
      <c r="AR262" s="867"/>
      <c r="AS262" s="867"/>
      <c r="AT262" s="867"/>
      <c r="AU262" s="867"/>
      <c r="AV262" s="867"/>
      <c r="AW262" s="867"/>
      <c r="AX262" s="867"/>
      <c r="AY262" s="867"/>
      <c r="AZ262" s="895"/>
      <c r="BA262" s="636"/>
      <c r="BB262" s="636"/>
      <c r="BC262" s="636"/>
      <c r="BD262" s="636"/>
      <c r="BE262" s="683"/>
      <c r="BF262" s="806"/>
      <c r="BG262" s="806"/>
      <c r="BH262" s="806"/>
      <c r="BI262" s="806"/>
      <c r="BJ262" s="680"/>
      <c r="BK262" s="680"/>
      <c r="BL262" s="680"/>
      <c r="BM262" s="680"/>
      <c r="BN262" s="680"/>
    </row>
    <row r="263" spans="1:66">
      <c r="B263" s="861"/>
      <c r="C263" s="882"/>
      <c r="D263" s="862"/>
      <c r="E263" s="862"/>
      <c r="F263" s="864"/>
      <c r="G263" s="864"/>
      <c r="H263" s="864"/>
      <c r="I263" s="867"/>
      <c r="J263" s="864"/>
      <c r="K263" s="868"/>
      <c r="L263" s="867"/>
      <c r="M263" s="866"/>
      <c r="N263" s="867"/>
      <c r="O263" s="862"/>
      <c r="P263" s="862"/>
      <c r="Q263" s="864"/>
      <c r="R263" s="868"/>
      <c r="S263" s="880"/>
      <c r="T263" s="880"/>
      <c r="U263" s="864"/>
      <c r="V263" s="864"/>
      <c r="W263" s="864"/>
      <c r="X263" s="864"/>
      <c r="Y263" s="864"/>
      <c r="Z263" s="864"/>
      <c r="AA263" s="864"/>
      <c r="AB263" s="864"/>
      <c r="AC263" s="864"/>
      <c r="AD263" s="864"/>
      <c r="AE263" s="864"/>
      <c r="AF263" s="864"/>
      <c r="AG263" s="733"/>
      <c r="AH263" s="208"/>
      <c r="AI263" s="208"/>
      <c r="AJ263" s="208"/>
      <c r="AK263" s="208"/>
      <c r="AL263" s="208"/>
      <c r="AM263" s="806"/>
      <c r="AN263" s="867"/>
      <c r="AO263" s="867"/>
      <c r="AP263" s="867"/>
      <c r="AQ263" s="867"/>
      <c r="AR263" s="867"/>
      <c r="AS263" s="867"/>
      <c r="AT263" s="867"/>
      <c r="AU263" s="867"/>
      <c r="AV263" s="867"/>
      <c r="AW263" s="867"/>
      <c r="AX263" s="867"/>
      <c r="AY263" s="867"/>
      <c r="AZ263" s="895"/>
      <c r="BA263" s="636"/>
      <c r="BB263" s="636"/>
      <c r="BC263" s="636"/>
      <c r="BD263" s="636"/>
      <c r="BE263" s="683"/>
      <c r="BF263" s="806"/>
      <c r="BG263" s="806"/>
      <c r="BH263" s="806"/>
      <c r="BI263" s="806"/>
      <c r="BJ263" s="680"/>
      <c r="BK263" s="680"/>
      <c r="BL263" s="680"/>
      <c r="BM263" s="680"/>
      <c r="BN263" s="680"/>
    </row>
    <row r="264" spans="1:66">
      <c r="C264" s="925" t="s">
        <v>136</v>
      </c>
      <c r="D264" s="884"/>
      <c r="E264" s="885"/>
      <c r="F264" s="886">
        <f t="shared" ref="F264:H270" si="176">SUMIF($C$7:$C$247,$C264,F$7:F$247)</f>
        <v>14821.16648</v>
      </c>
      <c r="G264" s="886">
        <f t="shared" si="176"/>
        <v>13319.444999999998</v>
      </c>
      <c r="H264" s="886">
        <f t="shared" si="176"/>
        <v>14409.175000000001</v>
      </c>
      <c r="I264" s="887">
        <f t="shared" ref="I264:I274" si="177">IF(ISERROR((H264-G264)/G264),0,((H264-G264)/G264))</f>
        <v>8.1814970518666763E-2</v>
      </c>
      <c r="J264" s="886">
        <f t="shared" ref="J264:L272" si="178">SUMIF($C$7:$C$247,$C264,J$7:J$247)</f>
        <v>9689.9340000000011</v>
      </c>
      <c r="K264" s="888">
        <f t="shared" si="178"/>
        <v>3036.6081222222228</v>
      </c>
      <c r="L264" s="886">
        <f t="shared" si="178"/>
        <v>12726.542122222225</v>
      </c>
      <c r="M264" s="887">
        <f t="shared" ref="M264:M274" si="179">IF(ISERROR((L264-H264)/H264),0,((L264-H264)/H264))</f>
        <v>-0.11677510182073408</v>
      </c>
      <c r="N264" s="886">
        <f t="shared" ref="N264:N272" si="180">SUMIF($C$7:$C$247,$C264,N$7:N$247)</f>
        <v>16022.788000000002</v>
      </c>
      <c r="O264" s="887">
        <f t="shared" ref="O264:O274" si="181">IF(ISERROR((N264-L264)/L264),0,((N264-L264)/L264))</f>
        <v>0.25900561567482627</v>
      </c>
      <c r="P264" s="889"/>
      <c r="Q264" s="890"/>
      <c r="R264" s="889">
        <f t="shared" ref="R264:R272" si="182">SUMIF($C$7:$C$247,$C264,R$7:R$247)</f>
        <v>173.88088811312721</v>
      </c>
      <c r="S264" s="892"/>
      <c r="T264" s="892"/>
      <c r="U264" s="886">
        <f t="shared" ref="U264:AF272" si="183">SUMIF($C$7:$C$247,$C264,U$7:U$247)</f>
        <v>1160.52</v>
      </c>
      <c r="V264" s="886">
        <f t="shared" si="183"/>
        <v>1332.4159999999999</v>
      </c>
      <c r="W264" s="886">
        <f t="shared" si="183"/>
        <v>1531.616</v>
      </c>
      <c r="X264" s="886">
        <f t="shared" si="183"/>
        <v>1323.62</v>
      </c>
      <c r="Y264" s="886">
        <f t="shared" si="183"/>
        <v>1307.1199999999999</v>
      </c>
      <c r="Z264" s="886">
        <f t="shared" si="183"/>
        <v>1782.32</v>
      </c>
      <c r="AA264" s="886">
        <f t="shared" si="183"/>
        <v>1336.8200000000002</v>
      </c>
      <c r="AB264" s="886">
        <f t="shared" si="183"/>
        <v>1152.92</v>
      </c>
      <c r="AC264" s="886">
        <f t="shared" si="183"/>
        <v>1197.08</v>
      </c>
      <c r="AD264" s="886">
        <f t="shared" si="183"/>
        <v>1229.7200000000003</v>
      </c>
      <c r="AE264" s="886">
        <f t="shared" si="183"/>
        <v>1222.0159999999998</v>
      </c>
      <c r="AF264" s="893">
        <f t="shared" si="183"/>
        <v>1446.62</v>
      </c>
      <c r="AG264" s="733">
        <f t="shared" ref="AG264:AG291" si="184">SUM(U264:AF264)-N264</f>
        <v>0</v>
      </c>
      <c r="AH264" s="208">
        <f t="shared" ref="AH264:AH292" si="185">SUM(U264:W264)</f>
        <v>4024.5519999999997</v>
      </c>
      <c r="AI264" s="208">
        <f t="shared" ref="AI264:AI292" si="186">SUM(X264:Z264)</f>
        <v>4413.0599999999995</v>
      </c>
      <c r="AJ264" s="208">
        <f t="shared" ref="AJ264:AJ292" si="187">SUM(AA264:AC264)</f>
        <v>3686.82</v>
      </c>
      <c r="AK264" s="208">
        <f t="shared" ref="AK264:AK292" si="188">SUM(AD264:AF264)</f>
        <v>3898.3559999999998</v>
      </c>
      <c r="AL264" s="208">
        <f t="shared" ref="AL264:AL292" si="189">SUM(AH264:AK264)</f>
        <v>16022.787999999999</v>
      </c>
      <c r="AM264" s="805"/>
      <c r="AN264" s="889">
        <f t="shared" ref="AN264:AY272" si="190">SUMIF($C$7:$C$247,$C264,AN$7:AN$247)</f>
        <v>12.541903833296953</v>
      </c>
      <c r="AO264" s="889">
        <f t="shared" si="190"/>
        <v>14.607595761699217</v>
      </c>
      <c r="AP264" s="889">
        <f t="shared" si="190"/>
        <v>16.424716901212463</v>
      </c>
      <c r="AQ264" s="889">
        <f t="shared" si="190"/>
        <v>14.401745617297978</v>
      </c>
      <c r="AR264" s="889">
        <f t="shared" si="190"/>
        <v>13.99715297908719</v>
      </c>
      <c r="AS264" s="889">
        <f t="shared" si="190"/>
        <v>19.233324394930005</v>
      </c>
      <c r="AT264" s="889">
        <f t="shared" si="190"/>
        <v>14.288059457214283</v>
      </c>
      <c r="AU264" s="889">
        <f t="shared" si="190"/>
        <v>12.510998517661312</v>
      </c>
      <c r="AV264" s="889">
        <f t="shared" si="190"/>
        <v>13.524491957818761</v>
      </c>
      <c r="AW264" s="889">
        <f t="shared" si="190"/>
        <v>13.571521451697203</v>
      </c>
      <c r="AX264" s="889">
        <f t="shared" si="190"/>
        <v>13.063572606040807</v>
      </c>
      <c r="AY264" s="894">
        <f t="shared" si="190"/>
        <v>15.715804635171047</v>
      </c>
      <c r="AZ264" s="895">
        <f t="shared" ref="AZ264:AZ276" si="191">SUM(AN264:AY264)-R264</f>
        <v>0</v>
      </c>
      <c r="BA264" s="636">
        <f t="shared" ref="BA264:BA291" si="192">SUM(AN264:AP264)</f>
        <v>43.574216496208635</v>
      </c>
      <c r="BB264" s="636">
        <f t="shared" ref="BB264:BB291" si="193">SUM(AQ264:AS264)</f>
        <v>47.632222991315174</v>
      </c>
      <c r="BC264" s="636">
        <f t="shared" ref="BC264:BC291" si="194">SUM(AT264:AV264)</f>
        <v>40.323549932694355</v>
      </c>
      <c r="BD264" s="636">
        <f t="shared" ref="BD264:BD291" si="195">SUM(AW264:AY264)</f>
        <v>42.350898692909055</v>
      </c>
      <c r="BE264" s="683">
        <f t="shared" ref="BE264:BE291" si="196">SUM(BA264:BD264)</f>
        <v>173.88088811312721</v>
      </c>
      <c r="BF264" s="806"/>
      <c r="BG264" s="806"/>
      <c r="BH264" s="806"/>
      <c r="BI264" s="806"/>
      <c r="BJ264" s="680"/>
      <c r="BK264" s="680"/>
      <c r="BL264" s="680"/>
      <c r="BM264" s="680"/>
      <c r="BN264" s="680"/>
    </row>
    <row r="265" spans="1:66">
      <c r="C265" s="908" t="s">
        <v>72</v>
      </c>
      <c r="D265" s="897"/>
      <c r="E265" s="898"/>
      <c r="F265" s="899">
        <f t="shared" si="176"/>
        <v>1017.8724199999999</v>
      </c>
      <c r="G265" s="899">
        <f t="shared" si="176"/>
        <v>2012.6899999999987</v>
      </c>
      <c r="H265" s="899">
        <f t="shared" si="176"/>
        <v>444.17999999999989</v>
      </c>
      <c r="I265" s="900">
        <f t="shared" si="177"/>
        <v>-0.77931027629689609</v>
      </c>
      <c r="J265" s="899">
        <f t="shared" si="178"/>
        <v>487.82999999999976</v>
      </c>
      <c r="K265" s="901">
        <f t="shared" si="178"/>
        <v>0</v>
      </c>
      <c r="L265" s="899">
        <f t="shared" si="178"/>
        <v>487.82999999999976</v>
      </c>
      <c r="M265" s="900">
        <f t="shared" si="179"/>
        <v>9.827097122788031E-2</v>
      </c>
      <c r="N265" s="899">
        <f t="shared" si="180"/>
        <v>0</v>
      </c>
      <c r="O265" s="900">
        <f t="shared" si="181"/>
        <v>-1</v>
      </c>
      <c r="P265" s="902"/>
      <c r="Q265" s="903"/>
      <c r="R265" s="902">
        <f t="shared" si="182"/>
        <v>0</v>
      </c>
      <c r="S265" s="905"/>
      <c r="T265" s="905"/>
      <c r="U265" s="899">
        <f t="shared" si="183"/>
        <v>0</v>
      </c>
      <c r="V265" s="899">
        <f t="shared" si="183"/>
        <v>0</v>
      </c>
      <c r="W265" s="899">
        <f t="shared" si="183"/>
        <v>0</v>
      </c>
      <c r="X265" s="899">
        <f t="shared" si="183"/>
        <v>0</v>
      </c>
      <c r="Y265" s="899">
        <f t="shared" si="183"/>
        <v>0</v>
      </c>
      <c r="Z265" s="899">
        <f t="shared" si="183"/>
        <v>0</v>
      </c>
      <c r="AA265" s="899">
        <f t="shared" si="183"/>
        <v>0</v>
      </c>
      <c r="AB265" s="899">
        <f t="shared" si="183"/>
        <v>0</v>
      </c>
      <c r="AC265" s="899">
        <f t="shared" si="183"/>
        <v>0</v>
      </c>
      <c r="AD265" s="899">
        <f t="shared" si="183"/>
        <v>0</v>
      </c>
      <c r="AE265" s="899">
        <f t="shared" si="183"/>
        <v>0</v>
      </c>
      <c r="AF265" s="906">
        <f t="shared" si="183"/>
        <v>0</v>
      </c>
      <c r="AG265" s="733">
        <f t="shared" si="184"/>
        <v>0</v>
      </c>
      <c r="AH265" s="208">
        <f t="shared" si="185"/>
        <v>0</v>
      </c>
      <c r="AI265" s="208">
        <f t="shared" si="186"/>
        <v>0</v>
      </c>
      <c r="AJ265" s="208">
        <f t="shared" si="187"/>
        <v>0</v>
      </c>
      <c r="AK265" s="208">
        <f t="shared" si="188"/>
        <v>0</v>
      </c>
      <c r="AL265" s="208">
        <f t="shared" si="189"/>
        <v>0</v>
      </c>
      <c r="AM265" s="805"/>
      <c r="AN265" s="902">
        <f t="shared" si="190"/>
        <v>0</v>
      </c>
      <c r="AO265" s="902">
        <f t="shared" si="190"/>
        <v>0</v>
      </c>
      <c r="AP265" s="902">
        <f t="shared" si="190"/>
        <v>0</v>
      </c>
      <c r="AQ265" s="902">
        <f t="shared" si="190"/>
        <v>0</v>
      </c>
      <c r="AR265" s="902">
        <f t="shared" si="190"/>
        <v>0</v>
      </c>
      <c r="AS265" s="902">
        <f t="shared" si="190"/>
        <v>0</v>
      </c>
      <c r="AT265" s="902">
        <f t="shared" si="190"/>
        <v>0</v>
      </c>
      <c r="AU265" s="902">
        <f t="shared" si="190"/>
        <v>0</v>
      </c>
      <c r="AV265" s="902">
        <f t="shared" si="190"/>
        <v>0</v>
      </c>
      <c r="AW265" s="902">
        <f t="shared" si="190"/>
        <v>0</v>
      </c>
      <c r="AX265" s="902">
        <f t="shared" si="190"/>
        <v>0</v>
      </c>
      <c r="AY265" s="907">
        <f t="shared" si="190"/>
        <v>0</v>
      </c>
      <c r="AZ265" s="895">
        <f t="shared" si="191"/>
        <v>0</v>
      </c>
      <c r="BA265" s="636">
        <f t="shared" si="192"/>
        <v>0</v>
      </c>
      <c r="BB265" s="636">
        <f t="shared" si="193"/>
        <v>0</v>
      </c>
      <c r="BC265" s="636">
        <f t="shared" si="194"/>
        <v>0</v>
      </c>
      <c r="BD265" s="636">
        <f t="shared" si="195"/>
        <v>0</v>
      </c>
      <c r="BE265" s="683">
        <f t="shared" si="196"/>
        <v>0</v>
      </c>
      <c r="BF265" s="806"/>
      <c r="BG265" s="806"/>
      <c r="BH265" s="806"/>
      <c r="BI265" s="806"/>
      <c r="BJ265" s="680"/>
      <c r="BK265" s="680"/>
      <c r="BL265" s="680"/>
      <c r="BM265" s="680"/>
      <c r="BN265" s="680"/>
    </row>
    <row r="266" spans="1:66">
      <c r="C266" s="908" t="s">
        <v>216</v>
      </c>
      <c r="D266" s="897"/>
      <c r="E266" s="898"/>
      <c r="F266" s="899">
        <f t="shared" si="176"/>
        <v>7635.5646720000004</v>
      </c>
      <c r="G266" s="899">
        <f t="shared" si="176"/>
        <v>4052.4590000000003</v>
      </c>
      <c r="H266" s="899">
        <f t="shared" si="176"/>
        <v>2523.1680000000001</v>
      </c>
      <c r="I266" s="900">
        <f>IF(ISERROR((H266-G266)/G266),0,((H266-G266)/G266))</f>
        <v>-0.37737358971429447</v>
      </c>
      <c r="J266" s="899">
        <f t="shared" si="178"/>
        <v>359.899</v>
      </c>
      <c r="K266" s="901">
        <f t="shared" si="178"/>
        <v>0</v>
      </c>
      <c r="L266" s="899">
        <f t="shared" si="178"/>
        <v>359.899</v>
      </c>
      <c r="M266" s="900">
        <f>IF(ISERROR((L266-H266)/H266),0,((L266-H266)/H266))</f>
        <v>-0.85736225253332321</v>
      </c>
      <c r="N266" s="899">
        <f t="shared" si="180"/>
        <v>2400</v>
      </c>
      <c r="O266" s="900">
        <f>IF(ISERROR((N266-L266)/L266),0,((N266-L266)/L266))</f>
        <v>5.6685375619270966</v>
      </c>
      <c r="P266" s="902"/>
      <c r="Q266" s="903"/>
      <c r="R266" s="902">
        <f t="shared" si="182"/>
        <v>12</v>
      </c>
      <c r="S266" s="905"/>
      <c r="T266" s="905"/>
      <c r="U266" s="899">
        <f t="shared" si="183"/>
        <v>0</v>
      </c>
      <c r="V266" s="899">
        <f t="shared" si="183"/>
        <v>0</v>
      </c>
      <c r="W266" s="899">
        <f t="shared" si="183"/>
        <v>300</v>
      </c>
      <c r="X266" s="899">
        <f t="shared" si="183"/>
        <v>0</v>
      </c>
      <c r="Y266" s="899">
        <f t="shared" si="183"/>
        <v>300</v>
      </c>
      <c r="Z266" s="899">
        <f t="shared" si="183"/>
        <v>300</v>
      </c>
      <c r="AA266" s="899">
        <f t="shared" si="183"/>
        <v>300</v>
      </c>
      <c r="AB266" s="899">
        <f t="shared" si="183"/>
        <v>300</v>
      </c>
      <c r="AC266" s="899">
        <f t="shared" si="183"/>
        <v>300</v>
      </c>
      <c r="AD266" s="899">
        <f t="shared" si="183"/>
        <v>300</v>
      </c>
      <c r="AE266" s="899">
        <f t="shared" si="183"/>
        <v>300</v>
      </c>
      <c r="AF266" s="906">
        <f t="shared" si="183"/>
        <v>0</v>
      </c>
      <c r="AG266" s="733">
        <f t="shared" si="184"/>
        <v>0</v>
      </c>
      <c r="AH266" s="208">
        <f t="shared" si="185"/>
        <v>300</v>
      </c>
      <c r="AI266" s="208">
        <f t="shared" si="186"/>
        <v>600</v>
      </c>
      <c r="AJ266" s="208">
        <f t="shared" si="187"/>
        <v>900</v>
      </c>
      <c r="AK266" s="208">
        <f t="shared" si="188"/>
        <v>600</v>
      </c>
      <c r="AL266" s="208">
        <f t="shared" si="189"/>
        <v>2400</v>
      </c>
      <c r="AM266" s="805"/>
      <c r="AN266" s="902">
        <f t="shared" si="190"/>
        <v>0</v>
      </c>
      <c r="AO266" s="902">
        <f t="shared" si="190"/>
        <v>0</v>
      </c>
      <c r="AP266" s="902">
        <f t="shared" si="190"/>
        <v>1.5</v>
      </c>
      <c r="AQ266" s="902">
        <f t="shared" si="190"/>
        <v>0</v>
      </c>
      <c r="AR266" s="902">
        <f t="shared" si="190"/>
        <v>1.5</v>
      </c>
      <c r="AS266" s="902">
        <f t="shared" si="190"/>
        <v>1.5</v>
      </c>
      <c r="AT266" s="902">
        <f t="shared" si="190"/>
        <v>1.5</v>
      </c>
      <c r="AU266" s="902">
        <f t="shared" si="190"/>
        <v>1.5</v>
      </c>
      <c r="AV266" s="902">
        <f t="shared" si="190"/>
        <v>1.5</v>
      </c>
      <c r="AW266" s="902">
        <f t="shared" si="190"/>
        <v>1.5</v>
      </c>
      <c r="AX266" s="902">
        <f t="shared" si="190"/>
        <v>1.5</v>
      </c>
      <c r="AY266" s="907">
        <f t="shared" si="190"/>
        <v>0</v>
      </c>
      <c r="AZ266" s="895">
        <f t="shared" si="191"/>
        <v>0</v>
      </c>
      <c r="BA266" s="636">
        <f t="shared" si="192"/>
        <v>1.5</v>
      </c>
      <c r="BB266" s="636">
        <f t="shared" si="193"/>
        <v>3</v>
      </c>
      <c r="BC266" s="636">
        <f t="shared" si="194"/>
        <v>4.5</v>
      </c>
      <c r="BD266" s="636">
        <f t="shared" si="195"/>
        <v>3</v>
      </c>
      <c r="BE266" s="683">
        <f t="shared" si="196"/>
        <v>12</v>
      </c>
      <c r="BF266" s="806"/>
      <c r="BG266" s="806"/>
      <c r="BH266" s="806"/>
      <c r="BI266" s="806"/>
      <c r="BJ266" s="680"/>
      <c r="BK266" s="680"/>
      <c r="BL266" s="680"/>
      <c r="BM266" s="680"/>
      <c r="BN266" s="680"/>
    </row>
    <row r="267" spans="1:66">
      <c r="C267" s="908" t="s">
        <v>313</v>
      </c>
      <c r="D267" s="897"/>
      <c r="E267" s="898"/>
      <c r="F267" s="899">
        <f t="shared" si="176"/>
        <v>13835.775</v>
      </c>
      <c r="G267" s="899">
        <f t="shared" si="176"/>
        <v>8425.8249999999989</v>
      </c>
      <c r="H267" s="899">
        <f t="shared" si="176"/>
        <v>15788.709999999997</v>
      </c>
      <c r="I267" s="900">
        <f t="shared" si="177"/>
        <v>0.87384736806188112</v>
      </c>
      <c r="J267" s="899">
        <f t="shared" si="178"/>
        <v>9204.2100000000028</v>
      </c>
      <c r="K267" s="901">
        <f t="shared" si="178"/>
        <v>5248</v>
      </c>
      <c r="L267" s="899">
        <f t="shared" si="178"/>
        <v>14452.210000000003</v>
      </c>
      <c r="M267" s="900">
        <f t="shared" si="179"/>
        <v>-8.4649094194522212E-2</v>
      </c>
      <c r="N267" s="899">
        <f t="shared" si="180"/>
        <v>16127.599999999999</v>
      </c>
      <c r="O267" s="900">
        <f t="shared" si="181"/>
        <v>0.115926214745011</v>
      </c>
      <c r="P267" s="902"/>
      <c r="Q267" s="903"/>
      <c r="R267" s="902">
        <f t="shared" si="182"/>
        <v>146.99930583305385</v>
      </c>
      <c r="S267" s="905"/>
      <c r="T267" s="905"/>
      <c r="U267" s="899">
        <f t="shared" si="183"/>
        <v>786.16666666666674</v>
      </c>
      <c r="V267" s="899">
        <f t="shared" si="183"/>
        <v>1036.1666666666667</v>
      </c>
      <c r="W267" s="899">
        <f t="shared" si="183"/>
        <v>1060.3666666666668</v>
      </c>
      <c r="X267" s="899">
        <f t="shared" si="183"/>
        <v>1286.1666666666667</v>
      </c>
      <c r="Y267" s="899">
        <f t="shared" si="183"/>
        <v>1300.6866666666665</v>
      </c>
      <c r="Z267" s="899">
        <f t="shared" si="183"/>
        <v>1560.3666666666668</v>
      </c>
      <c r="AA267" s="899">
        <f t="shared" si="183"/>
        <v>1560.3666666666668</v>
      </c>
      <c r="AB267" s="899">
        <f t="shared" si="183"/>
        <v>1560.3666666666668</v>
      </c>
      <c r="AC267" s="899">
        <f t="shared" si="183"/>
        <v>1565.2066666666667</v>
      </c>
      <c r="AD267" s="899">
        <f t="shared" si="183"/>
        <v>1565.2066666666667</v>
      </c>
      <c r="AE267" s="899">
        <f t="shared" si="183"/>
        <v>1560.3666666666668</v>
      </c>
      <c r="AF267" s="906">
        <f t="shared" si="183"/>
        <v>1286.1666666666667</v>
      </c>
      <c r="AG267" s="733">
        <f t="shared" si="184"/>
        <v>0</v>
      </c>
      <c r="AH267" s="208">
        <f t="shared" si="185"/>
        <v>2882.7000000000003</v>
      </c>
      <c r="AI267" s="208">
        <f t="shared" si="186"/>
        <v>4147.22</v>
      </c>
      <c r="AJ267" s="208">
        <f t="shared" si="187"/>
        <v>4685.9400000000005</v>
      </c>
      <c r="AK267" s="208">
        <f t="shared" si="188"/>
        <v>4411.7400000000007</v>
      </c>
      <c r="AL267" s="208">
        <f t="shared" si="189"/>
        <v>16127.600000000002</v>
      </c>
      <c r="AM267" s="805"/>
      <c r="AN267" s="902">
        <f t="shared" si="190"/>
        <v>7.8412157740802897</v>
      </c>
      <c r="AO267" s="902">
        <f t="shared" si="190"/>
        <v>9.1362157740802878</v>
      </c>
      <c r="AP267" s="902">
        <f t="shared" si="190"/>
        <v>11.428055342091588</v>
      </c>
      <c r="AQ267" s="902">
        <f t="shared" si="190"/>
        <v>10.498715774080289</v>
      </c>
      <c r="AR267" s="902">
        <f t="shared" si="190"/>
        <v>11.873819514887067</v>
      </c>
      <c r="AS267" s="902">
        <f t="shared" si="190"/>
        <v>14.130555342091588</v>
      </c>
      <c r="AT267" s="902">
        <f t="shared" si="190"/>
        <v>14.130555342091588</v>
      </c>
      <c r="AU267" s="902">
        <f t="shared" si="190"/>
        <v>14.130555342091588</v>
      </c>
      <c r="AV267" s="902">
        <f t="shared" si="190"/>
        <v>14.588923255693848</v>
      </c>
      <c r="AW267" s="902">
        <f t="shared" si="190"/>
        <v>14.588923255693848</v>
      </c>
      <c r="AX267" s="902">
        <f t="shared" si="190"/>
        <v>14.153055342091587</v>
      </c>
      <c r="AY267" s="907">
        <f t="shared" si="190"/>
        <v>10.498715774080289</v>
      </c>
      <c r="AZ267" s="895">
        <f t="shared" si="191"/>
        <v>0</v>
      </c>
      <c r="BA267" s="636">
        <f t="shared" si="192"/>
        <v>28.405486890252163</v>
      </c>
      <c r="BB267" s="636">
        <f t="shared" si="193"/>
        <v>36.503090631058946</v>
      </c>
      <c r="BC267" s="636">
        <f t="shared" si="194"/>
        <v>42.850033939877022</v>
      </c>
      <c r="BD267" s="636">
        <f t="shared" si="195"/>
        <v>39.240694371865722</v>
      </c>
      <c r="BE267" s="683">
        <f t="shared" si="196"/>
        <v>146.99930583305385</v>
      </c>
      <c r="BF267" s="806"/>
      <c r="BG267" s="806"/>
      <c r="BH267" s="806"/>
      <c r="BI267" s="806"/>
      <c r="BJ267" s="680"/>
      <c r="BK267" s="680"/>
      <c r="BL267" s="680"/>
      <c r="BM267" s="680"/>
      <c r="BN267" s="680"/>
    </row>
    <row r="268" spans="1:66">
      <c r="C268" s="908" t="s">
        <v>27</v>
      </c>
      <c r="D268" s="897"/>
      <c r="E268" s="898"/>
      <c r="F268" s="899">
        <f t="shared" si="176"/>
        <v>1525.5319999999999</v>
      </c>
      <c r="G268" s="899">
        <f t="shared" si="176"/>
        <v>1325.3690000000004</v>
      </c>
      <c r="H268" s="899">
        <f t="shared" si="176"/>
        <v>596.36699999999996</v>
      </c>
      <c r="I268" s="900">
        <f t="shared" si="177"/>
        <v>-0.55003700856138948</v>
      </c>
      <c r="J268" s="899">
        <f t="shared" si="178"/>
        <v>936.83900000000006</v>
      </c>
      <c r="K268" s="901">
        <f t="shared" si="178"/>
        <v>514.16099999999994</v>
      </c>
      <c r="L268" s="899">
        <f t="shared" si="178"/>
        <v>1451</v>
      </c>
      <c r="M268" s="900">
        <f t="shared" si="179"/>
        <v>1.4330655452095775</v>
      </c>
      <c r="N268" s="899">
        <f t="shared" si="180"/>
        <v>1450</v>
      </c>
      <c r="O268" s="900">
        <f t="shared" si="181"/>
        <v>-6.8917987594762232E-4</v>
      </c>
      <c r="P268" s="902"/>
      <c r="Q268" s="903"/>
      <c r="R268" s="902">
        <f t="shared" si="182"/>
        <v>11.931093528775705</v>
      </c>
      <c r="S268" s="905"/>
      <c r="T268" s="905"/>
      <c r="U268" s="899">
        <f t="shared" si="183"/>
        <v>80</v>
      </c>
      <c r="V268" s="899">
        <f t="shared" si="183"/>
        <v>71</v>
      </c>
      <c r="W268" s="899">
        <f t="shared" si="183"/>
        <v>79</v>
      </c>
      <c r="X268" s="899">
        <f t="shared" si="183"/>
        <v>79</v>
      </c>
      <c r="Y268" s="899">
        <f t="shared" si="183"/>
        <v>79</v>
      </c>
      <c r="Z268" s="899">
        <f t="shared" si="183"/>
        <v>79</v>
      </c>
      <c r="AA268" s="899">
        <f t="shared" si="183"/>
        <v>79</v>
      </c>
      <c r="AB268" s="899">
        <f t="shared" si="183"/>
        <v>79</v>
      </c>
      <c r="AC268" s="899">
        <f t="shared" si="183"/>
        <v>79</v>
      </c>
      <c r="AD268" s="899">
        <f t="shared" si="183"/>
        <v>191</v>
      </c>
      <c r="AE268" s="899">
        <f t="shared" si="183"/>
        <v>286</v>
      </c>
      <c r="AF268" s="906">
        <f t="shared" si="183"/>
        <v>269</v>
      </c>
      <c r="AG268" s="733">
        <f t="shared" si="184"/>
        <v>0</v>
      </c>
      <c r="AH268" s="208">
        <f t="shared" si="185"/>
        <v>230</v>
      </c>
      <c r="AI268" s="208">
        <f t="shared" si="186"/>
        <v>237</v>
      </c>
      <c r="AJ268" s="208">
        <f t="shared" si="187"/>
        <v>237</v>
      </c>
      <c r="AK268" s="208">
        <f t="shared" si="188"/>
        <v>746</v>
      </c>
      <c r="AL268" s="208">
        <f t="shared" si="189"/>
        <v>1450</v>
      </c>
      <c r="AM268" s="805"/>
      <c r="AN268" s="902">
        <f t="shared" si="190"/>
        <v>0.65826722917383207</v>
      </c>
      <c r="AO268" s="902">
        <f t="shared" si="190"/>
        <v>0.58421216589177583</v>
      </c>
      <c r="AP268" s="902">
        <f t="shared" si="190"/>
        <v>0.65003888880915917</v>
      </c>
      <c r="AQ268" s="902">
        <f t="shared" si="190"/>
        <v>0.65003888880915917</v>
      </c>
      <c r="AR268" s="902">
        <f t="shared" si="190"/>
        <v>0.65003888880915917</v>
      </c>
      <c r="AS268" s="902">
        <f t="shared" si="190"/>
        <v>0.65003888880915917</v>
      </c>
      <c r="AT268" s="902">
        <f t="shared" si="190"/>
        <v>0.65003888880915917</v>
      </c>
      <c r="AU268" s="902">
        <f t="shared" si="190"/>
        <v>0.65003888880915917</v>
      </c>
      <c r="AV268" s="902">
        <f t="shared" si="190"/>
        <v>0.65003888880915917</v>
      </c>
      <c r="AW268" s="902">
        <f t="shared" si="190"/>
        <v>1.5716130096525238</v>
      </c>
      <c r="AX268" s="902">
        <f t="shared" si="190"/>
        <v>2.3533053442964493</v>
      </c>
      <c r="AY268" s="907">
        <f t="shared" si="190"/>
        <v>2.2134235580970101</v>
      </c>
      <c r="AZ268" s="895">
        <f t="shared" si="191"/>
        <v>0</v>
      </c>
      <c r="BA268" s="636">
        <f t="shared" si="192"/>
        <v>1.8925182838747672</v>
      </c>
      <c r="BB268" s="636">
        <f t="shared" si="193"/>
        <v>1.9501166664274776</v>
      </c>
      <c r="BC268" s="636">
        <f t="shared" si="194"/>
        <v>1.9501166664274776</v>
      </c>
      <c r="BD268" s="636">
        <f t="shared" si="195"/>
        <v>6.1383419120459832</v>
      </c>
      <c r="BE268" s="683">
        <f t="shared" si="196"/>
        <v>11.931093528775705</v>
      </c>
      <c r="BF268" s="806"/>
      <c r="BG268" s="806"/>
      <c r="BH268" s="806"/>
      <c r="BI268" s="806"/>
      <c r="BJ268" s="680"/>
      <c r="BK268" s="680"/>
      <c r="BL268" s="680"/>
      <c r="BM268" s="680"/>
      <c r="BN268" s="680"/>
    </row>
    <row r="269" spans="1:66">
      <c r="C269" s="908" t="s">
        <v>49</v>
      </c>
      <c r="D269" s="897"/>
      <c r="E269" s="898"/>
      <c r="F269" s="899">
        <f t="shared" si="176"/>
        <v>1807.03748</v>
      </c>
      <c r="G269" s="899">
        <f t="shared" si="176"/>
        <v>2329.8320000000003</v>
      </c>
      <c r="H269" s="899">
        <f t="shared" si="176"/>
        <v>1810.3189999999997</v>
      </c>
      <c r="I269" s="900">
        <f t="shared" si="177"/>
        <v>-0.22298303053610755</v>
      </c>
      <c r="J269" s="899">
        <f t="shared" si="178"/>
        <v>1031.5310000000002</v>
      </c>
      <c r="K269" s="901">
        <f t="shared" si="178"/>
        <v>145</v>
      </c>
      <c r="L269" s="899">
        <f t="shared" si="178"/>
        <v>1176.5309999999999</v>
      </c>
      <c r="M269" s="900">
        <f t="shared" si="179"/>
        <v>-0.35009741377072212</v>
      </c>
      <c r="N269" s="899">
        <f t="shared" si="180"/>
        <v>3200</v>
      </c>
      <c r="O269" s="900">
        <f t="shared" si="181"/>
        <v>1.7198603351717892</v>
      </c>
      <c r="P269" s="902"/>
      <c r="Q269" s="903"/>
      <c r="R269" s="902">
        <f t="shared" si="182"/>
        <v>11.440000000000001</v>
      </c>
      <c r="S269" s="905"/>
      <c r="T269" s="905"/>
      <c r="U269" s="899">
        <f t="shared" si="183"/>
        <v>0</v>
      </c>
      <c r="V269" s="899">
        <f t="shared" si="183"/>
        <v>250</v>
      </c>
      <c r="W269" s="899">
        <f t="shared" si="183"/>
        <v>370</v>
      </c>
      <c r="X269" s="899">
        <f t="shared" si="183"/>
        <v>120</v>
      </c>
      <c r="Y269" s="899">
        <f t="shared" si="183"/>
        <v>120</v>
      </c>
      <c r="Z269" s="899">
        <f t="shared" si="183"/>
        <v>120</v>
      </c>
      <c r="AA269" s="899">
        <f t="shared" si="183"/>
        <v>370</v>
      </c>
      <c r="AB269" s="899">
        <f t="shared" si="183"/>
        <v>370</v>
      </c>
      <c r="AC269" s="899">
        <f t="shared" si="183"/>
        <v>370</v>
      </c>
      <c r="AD269" s="899">
        <f t="shared" si="183"/>
        <v>370</v>
      </c>
      <c r="AE269" s="899">
        <f t="shared" si="183"/>
        <v>370</v>
      </c>
      <c r="AF269" s="906">
        <f t="shared" si="183"/>
        <v>370</v>
      </c>
      <c r="AG269" s="733">
        <f t="shared" si="184"/>
        <v>0</v>
      </c>
      <c r="AH269" s="208">
        <f t="shared" si="185"/>
        <v>620</v>
      </c>
      <c r="AI269" s="208">
        <f t="shared" si="186"/>
        <v>360</v>
      </c>
      <c r="AJ269" s="208">
        <f t="shared" si="187"/>
        <v>1110</v>
      </c>
      <c r="AK269" s="208">
        <f t="shared" si="188"/>
        <v>1110</v>
      </c>
      <c r="AL269" s="208">
        <f t="shared" si="189"/>
        <v>3200</v>
      </c>
      <c r="AM269" s="805"/>
      <c r="AN269" s="902">
        <f t="shared" si="190"/>
        <v>0</v>
      </c>
      <c r="AO269" s="902">
        <f t="shared" si="190"/>
        <v>1.34</v>
      </c>
      <c r="AP269" s="902">
        <f t="shared" si="190"/>
        <v>1.4120000000000001</v>
      </c>
      <c r="AQ269" s="902">
        <f t="shared" si="190"/>
        <v>7.1999999999999995E-2</v>
      </c>
      <c r="AR269" s="902">
        <f t="shared" si="190"/>
        <v>7.1999999999999995E-2</v>
      </c>
      <c r="AS269" s="902">
        <f t="shared" si="190"/>
        <v>7.1999999999999995E-2</v>
      </c>
      <c r="AT269" s="902">
        <f t="shared" si="190"/>
        <v>1.4120000000000001</v>
      </c>
      <c r="AU269" s="902">
        <f t="shared" si="190"/>
        <v>1.4120000000000001</v>
      </c>
      <c r="AV269" s="902">
        <f t="shared" si="190"/>
        <v>1.4120000000000001</v>
      </c>
      <c r="AW269" s="902">
        <f t="shared" si="190"/>
        <v>1.4120000000000001</v>
      </c>
      <c r="AX269" s="902">
        <f t="shared" si="190"/>
        <v>1.4120000000000001</v>
      </c>
      <c r="AY269" s="907">
        <f t="shared" si="190"/>
        <v>1.4120000000000001</v>
      </c>
      <c r="AZ269" s="895">
        <f t="shared" si="191"/>
        <v>0</v>
      </c>
      <c r="BA269" s="636">
        <f t="shared" si="192"/>
        <v>2.7520000000000002</v>
      </c>
      <c r="BB269" s="636">
        <f t="shared" si="193"/>
        <v>0.21599999999999997</v>
      </c>
      <c r="BC269" s="636">
        <f t="shared" si="194"/>
        <v>4.2360000000000007</v>
      </c>
      <c r="BD269" s="636">
        <f t="shared" si="195"/>
        <v>4.2360000000000007</v>
      </c>
      <c r="BE269" s="683">
        <f t="shared" si="196"/>
        <v>11.440000000000001</v>
      </c>
      <c r="BF269" s="806"/>
      <c r="BG269" s="806"/>
      <c r="BH269" s="806"/>
      <c r="BI269" s="806"/>
      <c r="BJ269" s="680"/>
      <c r="BK269" s="680"/>
      <c r="BL269" s="680"/>
      <c r="BM269" s="680"/>
      <c r="BN269" s="680"/>
    </row>
    <row r="270" spans="1:66">
      <c r="C270" s="908" t="s">
        <v>329</v>
      </c>
      <c r="D270" s="897"/>
      <c r="E270" s="898"/>
      <c r="F270" s="899">
        <f t="shared" si="176"/>
        <v>672.5</v>
      </c>
      <c r="G270" s="899">
        <f t="shared" si="176"/>
        <v>0</v>
      </c>
      <c r="H270" s="899">
        <f t="shared" si="176"/>
        <v>0</v>
      </c>
      <c r="I270" s="900">
        <f t="shared" si="177"/>
        <v>0</v>
      </c>
      <c r="J270" s="899">
        <f t="shared" si="178"/>
        <v>0</v>
      </c>
      <c r="K270" s="901">
        <f t="shared" si="178"/>
        <v>0</v>
      </c>
      <c r="L270" s="899">
        <f t="shared" si="178"/>
        <v>0</v>
      </c>
      <c r="M270" s="900">
        <f t="shared" si="179"/>
        <v>0</v>
      </c>
      <c r="N270" s="899">
        <f t="shared" si="180"/>
        <v>0</v>
      </c>
      <c r="O270" s="900">
        <f t="shared" si="181"/>
        <v>0</v>
      </c>
      <c r="P270" s="902"/>
      <c r="Q270" s="903"/>
      <c r="R270" s="902">
        <f t="shared" si="182"/>
        <v>0</v>
      </c>
      <c r="S270" s="905"/>
      <c r="T270" s="905"/>
      <c r="U270" s="899">
        <f t="shared" si="183"/>
        <v>0</v>
      </c>
      <c r="V270" s="899">
        <f t="shared" si="183"/>
        <v>0</v>
      </c>
      <c r="W270" s="899">
        <f t="shared" si="183"/>
        <v>0</v>
      </c>
      <c r="X270" s="899">
        <f t="shared" si="183"/>
        <v>0</v>
      </c>
      <c r="Y270" s="899">
        <f t="shared" si="183"/>
        <v>0</v>
      </c>
      <c r="Z270" s="899">
        <f t="shared" si="183"/>
        <v>0</v>
      </c>
      <c r="AA270" s="899">
        <f t="shared" si="183"/>
        <v>0</v>
      </c>
      <c r="AB270" s="899">
        <f t="shared" si="183"/>
        <v>0</v>
      </c>
      <c r="AC270" s="899">
        <f t="shared" si="183"/>
        <v>0</v>
      </c>
      <c r="AD270" s="899">
        <f t="shared" si="183"/>
        <v>0</v>
      </c>
      <c r="AE270" s="899">
        <f t="shared" si="183"/>
        <v>0</v>
      </c>
      <c r="AF270" s="906">
        <f t="shared" si="183"/>
        <v>0</v>
      </c>
      <c r="AG270" s="733">
        <f t="shared" si="184"/>
        <v>0</v>
      </c>
      <c r="AH270" s="208">
        <f t="shared" si="185"/>
        <v>0</v>
      </c>
      <c r="AI270" s="208">
        <f t="shared" si="186"/>
        <v>0</v>
      </c>
      <c r="AJ270" s="208">
        <f t="shared" si="187"/>
        <v>0</v>
      </c>
      <c r="AK270" s="208">
        <f t="shared" si="188"/>
        <v>0</v>
      </c>
      <c r="AL270" s="208">
        <f t="shared" si="189"/>
        <v>0</v>
      </c>
      <c r="AM270" s="805"/>
      <c r="AN270" s="902">
        <f t="shared" si="190"/>
        <v>0</v>
      </c>
      <c r="AO270" s="902">
        <f t="shared" si="190"/>
        <v>0</v>
      </c>
      <c r="AP270" s="902">
        <f t="shared" si="190"/>
        <v>0</v>
      </c>
      <c r="AQ270" s="902">
        <f t="shared" si="190"/>
        <v>0</v>
      </c>
      <c r="AR270" s="902">
        <f t="shared" si="190"/>
        <v>0</v>
      </c>
      <c r="AS270" s="902">
        <f t="shared" si="190"/>
        <v>0</v>
      </c>
      <c r="AT270" s="902">
        <f t="shared" si="190"/>
        <v>0</v>
      </c>
      <c r="AU270" s="902">
        <f t="shared" si="190"/>
        <v>0</v>
      </c>
      <c r="AV270" s="902">
        <f t="shared" si="190"/>
        <v>0</v>
      </c>
      <c r="AW270" s="902">
        <f t="shared" si="190"/>
        <v>0</v>
      </c>
      <c r="AX270" s="902">
        <f t="shared" si="190"/>
        <v>0</v>
      </c>
      <c r="AY270" s="907">
        <f t="shared" si="190"/>
        <v>0</v>
      </c>
      <c r="AZ270" s="895">
        <f t="shared" si="191"/>
        <v>0</v>
      </c>
      <c r="BA270" s="636">
        <f t="shared" si="192"/>
        <v>0</v>
      </c>
      <c r="BB270" s="636">
        <f t="shared" si="193"/>
        <v>0</v>
      </c>
      <c r="BC270" s="636">
        <f t="shared" si="194"/>
        <v>0</v>
      </c>
      <c r="BD270" s="636">
        <f t="shared" si="195"/>
        <v>0</v>
      </c>
      <c r="BE270" s="683">
        <f t="shared" si="196"/>
        <v>0</v>
      </c>
      <c r="BF270" s="806"/>
      <c r="BG270" s="806"/>
      <c r="BH270" s="806"/>
      <c r="BI270" s="806"/>
      <c r="BJ270" s="680"/>
      <c r="BK270" s="680"/>
      <c r="BL270" s="680"/>
      <c r="BM270" s="680"/>
      <c r="BN270" s="680"/>
    </row>
    <row r="271" spans="1:66">
      <c r="C271" s="908" t="s">
        <v>52</v>
      </c>
      <c r="D271" s="897"/>
      <c r="E271" s="898"/>
      <c r="F271" s="899"/>
      <c r="G271" s="899">
        <f>SUMIF($C$7:$C$247,$C271,G$7:G$247)</f>
        <v>720.17399999999998</v>
      </c>
      <c r="H271" s="899">
        <f>SUMIF($C$7:$C$247,$C271,H$7:H$247)</f>
        <v>552.29399999999998</v>
      </c>
      <c r="I271" s="900">
        <f>IF(ISERROR((H271-G271)/G271),0,((H271-G271)/G271))</f>
        <v>-0.23311033166984646</v>
      </c>
      <c r="J271" s="899">
        <f t="shared" si="178"/>
        <v>464.18900000000002</v>
      </c>
      <c r="K271" s="901">
        <f t="shared" si="178"/>
        <v>123.52322222222224</v>
      </c>
      <c r="L271" s="899">
        <f t="shared" si="178"/>
        <v>587.71222222222218</v>
      </c>
      <c r="M271" s="900">
        <f>IF(ISERROR((L271-H271)/H271),0,((L271-H271)/H271))</f>
        <v>6.4129290237124062E-2</v>
      </c>
      <c r="N271" s="899">
        <f t="shared" si="180"/>
        <v>600</v>
      </c>
      <c r="O271" s="900">
        <f>IF(ISERROR((N271-L271)/L271),0,((N271-L271)/L271))</f>
        <v>2.0907813914973577E-2</v>
      </c>
      <c r="P271" s="902"/>
      <c r="Q271" s="903"/>
      <c r="R271" s="902">
        <f t="shared" si="182"/>
        <v>13.743859838654387</v>
      </c>
      <c r="S271" s="905"/>
      <c r="T271" s="905"/>
      <c r="U271" s="899">
        <f t="shared" si="183"/>
        <v>50</v>
      </c>
      <c r="V271" s="899">
        <f t="shared" si="183"/>
        <v>50</v>
      </c>
      <c r="W271" s="899">
        <f t="shared" si="183"/>
        <v>50</v>
      </c>
      <c r="X271" s="899">
        <f t="shared" si="183"/>
        <v>50</v>
      </c>
      <c r="Y271" s="899">
        <f t="shared" si="183"/>
        <v>50</v>
      </c>
      <c r="Z271" s="899">
        <f t="shared" si="183"/>
        <v>50</v>
      </c>
      <c r="AA271" s="899">
        <f t="shared" si="183"/>
        <v>50</v>
      </c>
      <c r="AB271" s="899">
        <f t="shared" si="183"/>
        <v>50</v>
      </c>
      <c r="AC271" s="899">
        <f t="shared" si="183"/>
        <v>50</v>
      </c>
      <c r="AD271" s="899">
        <f t="shared" si="183"/>
        <v>50</v>
      </c>
      <c r="AE271" s="899">
        <f t="shared" si="183"/>
        <v>50</v>
      </c>
      <c r="AF271" s="906">
        <f t="shared" si="183"/>
        <v>50</v>
      </c>
      <c r="AG271" s="733">
        <f t="shared" si="184"/>
        <v>0</v>
      </c>
      <c r="AH271" s="208">
        <f t="shared" si="185"/>
        <v>150</v>
      </c>
      <c r="AI271" s="208">
        <f t="shared" si="186"/>
        <v>150</v>
      </c>
      <c r="AJ271" s="208">
        <f t="shared" si="187"/>
        <v>150</v>
      </c>
      <c r="AK271" s="208">
        <f t="shared" si="188"/>
        <v>150</v>
      </c>
      <c r="AL271" s="208">
        <f t="shared" si="189"/>
        <v>600</v>
      </c>
      <c r="AM271" s="805"/>
      <c r="AN271" s="902">
        <f t="shared" si="190"/>
        <v>1.1453216532211989</v>
      </c>
      <c r="AO271" s="902">
        <f t="shared" si="190"/>
        <v>1.1453216532211989</v>
      </c>
      <c r="AP271" s="902">
        <f t="shared" si="190"/>
        <v>1.1453216532211989</v>
      </c>
      <c r="AQ271" s="902">
        <f t="shared" si="190"/>
        <v>1.1453216532211989</v>
      </c>
      <c r="AR271" s="902">
        <f t="shared" si="190"/>
        <v>1.1453216532211989</v>
      </c>
      <c r="AS271" s="902">
        <f t="shared" si="190"/>
        <v>1.1453216532211989</v>
      </c>
      <c r="AT271" s="902">
        <f t="shared" si="190"/>
        <v>1.1453216532211989</v>
      </c>
      <c r="AU271" s="902">
        <f t="shared" si="190"/>
        <v>1.1453216532211989</v>
      </c>
      <c r="AV271" s="902">
        <f t="shared" si="190"/>
        <v>1.1453216532211989</v>
      </c>
      <c r="AW271" s="902">
        <f t="shared" si="190"/>
        <v>1.1453216532211989</v>
      </c>
      <c r="AX271" s="902">
        <f t="shared" si="190"/>
        <v>1.1453216532211989</v>
      </c>
      <c r="AY271" s="907">
        <f t="shared" si="190"/>
        <v>1.1453216532211989</v>
      </c>
      <c r="AZ271" s="895">
        <f t="shared" si="191"/>
        <v>0</v>
      </c>
      <c r="BA271" s="636">
        <f t="shared" si="192"/>
        <v>3.4359649596635968</v>
      </c>
      <c r="BB271" s="636">
        <f t="shared" si="193"/>
        <v>3.4359649596635968</v>
      </c>
      <c r="BC271" s="636">
        <f t="shared" si="194"/>
        <v>3.4359649596635968</v>
      </c>
      <c r="BD271" s="636">
        <f t="shared" si="195"/>
        <v>3.4359649596635968</v>
      </c>
      <c r="BE271" s="683">
        <f t="shared" si="196"/>
        <v>13.743859838654387</v>
      </c>
      <c r="BF271" s="806"/>
      <c r="BG271" s="806"/>
      <c r="BH271" s="806"/>
      <c r="BI271" s="806"/>
      <c r="BJ271" s="680"/>
      <c r="BK271" s="680"/>
      <c r="BL271" s="680"/>
      <c r="BM271" s="680"/>
      <c r="BN271" s="680"/>
    </row>
    <row r="272" spans="1:66">
      <c r="C272" s="908" t="s">
        <v>210</v>
      </c>
      <c r="D272" s="897"/>
      <c r="E272" s="898"/>
      <c r="F272" s="899">
        <f>SUMIF($C$7:$C$247,$C272,F$7:F$247)</f>
        <v>864.81600000000003</v>
      </c>
      <c r="G272" s="899">
        <f>SUMIF($C$7:$C$247,$C272,G$7:G$247)</f>
        <v>1030.769</v>
      </c>
      <c r="H272" s="899">
        <f>SUMIF($C$7:$C$247,$C272,H$7:H$247)</f>
        <v>1059.6310000000001</v>
      </c>
      <c r="I272" s="900">
        <f t="shared" si="177"/>
        <v>2.8000454029952472E-2</v>
      </c>
      <c r="J272" s="899">
        <f t="shared" si="178"/>
        <v>755.72</v>
      </c>
      <c r="K272" s="901">
        <f t="shared" si="178"/>
        <v>378.28000000000003</v>
      </c>
      <c r="L272" s="899">
        <f t="shared" si="178"/>
        <v>1134</v>
      </c>
      <c r="M272" s="900">
        <f t="shared" si="179"/>
        <v>7.018386589293811E-2</v>
      </c>
      <c r="N272" s="899">
        <f t="shared" si="180"/>
        <v>1200</v>
      </c>
      <c r="O272" s="900">
        <f t="shared" si="181"/>
        <v>5.8201058201058198E-2</v>
      </c>
      <c r="P272" s="902"/>
      <c r="Q272" s="903"/>
      <c r="R272" s="902">
        <f t="shared" si="182"/>
        <v>18.060045538662873</v>
      </c>
      <c r="S272" s="905"/>
      <c r="T272" s="905"/>
      <c r="U272" s="899">
        <f t="shared" si="183"/>
        <v>80</v>
      </c>
      <c r="V272" s="899">
        <f t="shared" si="183"/>
        <v>140</v>
      </c>
      <c r="W272" s="899">
        <f t="shared" si="183"/>
        <v>90</v>
      </c>
      <c r="X272" s="899">
        <f t="shared" si="183"/>
        <v>80</v>
      </c>
      <c r="Y272" s="899">
        <f t="shared" si="183"/>
        <v>100</v>
      </c>
      <c r="Z272" s="899">
        <f t="shared" si="183"/>
        <v>100</v>
      </c>
      <c r="AA272" s="899">
        <f t="shared" si="183"/>
        <v>100</v>
      </c>
      <c r="AB272" s="899">
        <f t="shared" si="183"/>
        <v>100</v>
      </c>
      <c r="AC272" s="899">
        <f t="shared" si="183"/>
        <v>100</v>
      </c>
      <c r="AD272" s="899">
        <f t="shared" si="183"/>
        <v>100</v>
      </c>
      <c r="AE272" s="899">
        <f t="shared" si="183"/>
        <v>120</v>
      </c>
      <c r="AF272" s="906">
        <f t="shared" si="183"/>
        <v>90</v>
      </c>
      <c r="AH272" s="208">
        <f t="shared" si="185"/>
        <v>310</v>
      </c>
      <c r="AI272" s="208">
        <f t="shared" si="186"/>
        <v>280</v>
      </c>
      <c r="AJ272" s="208">
        <f t="shared" si="187"/>
        <v>300</v>
      </c>
      <c r="AK272" s="208">
        <f t="shared" si="188"/>
        <v>310</v>
      </c>
      <c r="AL272" s="208">
        <f t="shared" si="189"/>
        <v>1200</v>
      </c>
      <c r="AM272" s="805"/>
      <c r="AN272" s="902">
        <f t="shared" si="190"/>
        <v>1.204003035910858</v>
      </c>
      <c r="AO272" s="902">
        <f t="shared" si="190"/>
        <v>2.1070053128440014</v>
      </c>
      <c r="AP272" s="902">
        <f t="shared" si="190"/>
        <v>1.3545034153997153</v>
      </c>
      <c r="AQ272" s="902">
        <f t="shared" si="190"/>
        <v>1.204003035910858</v>
      </c>
      <c r="AR272" s="902">
        <f t="shared" si="190"/>
        <v>1.5050037948885726</v>
      </c>
      <c r="AS272" s="902">
        <f t="shared" si="190"/>
        <v>1.5050037948885726</v>
      </c>
      <c r="AT272" s="902">
        <f t="shared" si="190"/>
        <v>1.5050037948885726</v>
      </c>
      <c r="AU272" s="902">
        <f t="shared" si="190"/>
        <v>1.5050037948885726</v>
      </c>
      <c r="AV272" s="902">
        <f t="shared" si="190"/>
        <v>1.5050037948885726</v>
      </c>
      <c r="AW272" s="902">
        <f t="shared" si="190"/>
        <v>1.5050037948885726</v>
      </c>
      <c r="AX272" s="902">
        <f t="shared" si="190"/>
        <v>1.806004553866287</v>
      </c>
      <c r="AY272" s="907">
        <f t="shared" si="190"/>
        <v>1.3545034153997153</v>
      </c>
      <c r="AZ272" s="895">
        <f t="shared" si="191"/>
        <v>0</v>
      </c>
      <c r="BA272" s="636">
        <f t="shared" si="192"/>
        <v>4.6655117641545747</v>
      </c>
      <c r="BB272" s="636">
        <f t="shared" si="193"/>
        <v>4.2140106256880028</v>
      </c>
      <c r="BC272" s="636">
        <f t="shared" si="194"/>
        <v>4.5150113846657174</v>
      </c>
      <c r="BD272" s="636">
        <f t="shared" si="195"/>
        <v>4.6655117641545747</v>
      </c>
      <c r="BE272" s="683">
        <f t="shared" si="196"/>
        <v>18.06004553866287</v>
      </c>
      <c r="BF272" s="806"/>
      <c r="BG272" s="806"/>
      <c r="BH272" s="806"/>
      <c r="BI272" s="806"/>
      <c r="BJ272" s="680"/>
      <c r="BK272" s="680"/>
      <c r="BL272" s="680"/>
      <c r="BM272" s="680"/>
      <c r="BN272" s="680"/>
    </row>
    <row r="273" spans="3:256">
      <c r="C273" s="908" t="s">
        <v>28</v>
      </c>
      <c r="D273" s="897"/>
      <c r="E273" s="898"/>
      <c r="F273" s="899">
        <f>+F274-SUM(F264:F272)</f>
        <v>1652.4455500000113</v>
      </c>
      <c r="G273" s="899">
        <f>+G274-SUM(G264:G272)</f>
        <v>5791.7800447599948</v>
      </c>
      <c r="H273" s="899">
        <f>+H274-SUM(H264:H272)</f>
        <v>3362.0679895999929</v>
      </c>
      <c r="I273" s="900">
        <f t="shared" si="177"/>
        <v>-0.41951041586225962</v>
      </c>
      <c r="J273" s="899">
        <f>+J274-SUM(J264:J272)</f>
        <v>2165.0620000000017</v>
      </c>
      <c r="K273" s="901">
        <f>+K274-SUM(K264:K272)</f>
        <v>850.02666388888792</v>
      </c>
      <c r="L273" s="899">
        <f>+L274-SUM(L264:L272)</f>
        <v>3011.0886638888987</v>
      </c>
      <c r="M273" s="900">
        <f t="shared" si="179"/>
        <v>-0.10439388102703194</v>
      </c>
      <c r="N273" s="899">
        <f>+N274-SUM(N264:N272)</f>
        <v>5183.9764000000068</v>
      </c>
      <c r="O273" s="900">
        <f t="shared" si="181"/>
        <v>0.72162861298968439</v>
      </c>
      <c r="P273" s="902"/>
      <c r="Q273" s="903"/>
      <c r="R273" s="902">
        <f>+R274-SUM(R264:R272)</f>
        <v>47.685938419758997</v>
      </c>
      <c r="S273" s="905"/>
      <c r="T273" s="905"/>
      <c r="U273" s="899">
        <f>+U274-SUM(U264:U272)</f>
        <v>231.01666666666688</v>
      </c>
      <c r="V273" s="899">
        <f>+V274-SUM(V264:V272)</f>
        <v>316.51666666666688</v>
      </c>
      <c r="W273" s="899">
        <f t="shared" ref="W273:AF273" si="197">+W274-SUM(W264:W272)</f>
        <v>471.39213333333328</v>
      </c>
      <c r="X273" s="899">
        <f t="shared" si="197"/>
        <v>431.7166666666667</v>
      </c>
      <c r="Y273" s="899">
        <f t="shared" si="197"/>
        <v>351.15666666666675</v>
      </c>
      <c r="Z273" s="899">
        <f t="shared" si="197"/>
        <v>693.99213333333319</v>
      </c>
      <c r="AA273" s="899">
        <f t="shared" si="197"/>
        <v>479.81666666666615</v>
      </c>
      <c r="AB273" s="899">
        <f t="shared" si="197"/>
        <v>352.16666666666652</v>
      </c>
      <c r="AC273" s="899">
        <f t="shared" si="197"/>
        <v>406.82213333333311</v>
      </c>
      <c r="AD273" s="899">
        <f t="shared" si="197"/>
        <v>703.04666666666617</v>
      </c>
      <c r="AE273" s="899">
        <f t="shared" si="197"/>
        <v>473.3666666666677</v>
      </c>
      <c r="AF273" s="906">
        <f t="shared" si="197"/>
        <v>272.96666666666624</v>
      </c>
      <c r="AG273" s="733">
        <f>SUM(U272:AF272)-N272</f>
        <v>0</v>
      </c>
      <c r="AH273" s="208">
        <f t="shared" si="185"/>
        <v>1018.925466666667</v>
      </c>
      <c r="AI273" s="208">
        <f t="shared" si="186"/>
        <v>1476.8654666666666</v>
      </c>
      <c r="AJ273" s="208">
        <f t="shared" si="187"/>
        <v>1238.8054666666658</v>
      </c>
      <c r="AK273" s="208">
        <f t="shared" si="188"/>
        <v>1449.38</v>
      </c>
      <c r="AL273" s="208">
        <f t="shared" si="189"/>
        <v>5183.9763999999996</v>
      </c>
      <c r="AM273" s="805"/>
      <c r="AN273" s="902">
        <f>+AN274-SUM(AN264:AN272)</f>
        <v>1.5229589738544682</v>
      </c>
      <c r="AO273" s="902">
        <f>+AO274-SUM(AO264:AO272)</f>
        <v>2.8438188056581559</v>
      </c>
      <c r="AP273" s="902">
        <f t="shared" ref="AP273:AY273" si="198">+AP274-SUM(AP264:AP272)</f>
        <v>5.3083272526875405</v>
      </c>
      <c r="AQ273" s="902">
        <f t="shared" si="198"/>
        <v>4.4621341892307775</v>
      </c>
      <c r="AR273" s="902">
        <f t="shared" si="198"/>
        <v>2.9304648815404128</v>
      </c>
      <c r="AS273" s="902">
        <f t="shared" si="198"/>
        <v>6.7206941166991498</v>
      </c>
      <c r="AT273" s="902">
        <f t="shared" si="198"/>
        <v>3.8997223844376521</v>
      </c>
      <c r="AU273" s="902">
        <f t="shared" si="198"/>
        <v>2.9486705324624296</v>
      </c>
      <c r="AV273" s="902">
        <f t="shared" si="198"/>
        <v>4.6787514422937093</v>
      </c>
      <c r="AW273" s="902">
        <f t="shared" si="198"/>
        <v>5.7601476869578931</v>
      </c>
      <c r="AX273" s="902">
        <f t="shared" si="198"/>
        <v>4.0684326757815015</v>
      </c>
      <c r="AY273" s="907">
        <f t="shared" si="198"/>
        <v>2.5418154781553071</v>
      </c>
      <c r="AZ273" s="895">
        <f t="shared" si="191"/>
        <v>0</v>
      </c>
      <c r="BA273" s="636">
        <f t="shared" si="192"/>
        <v>9.6751050322001646</v>
      </c>
      <c r="BB273" s="636">
        <f t="shared" si="193"/>
        <v>14.11329318747034</v>
      </c>
      <c r="BC273" s="636">
        <f t="shared" si="194"/>
        <v>11.527144359193791</v>
      </c>
      <c r="BD273" s="636">
        <f t="shared" si="195"/>
        <v>12.370395840894702</v>
      </c>
      <c r="BE273" s="683">
        <f t="shared" si="196"/>
        <v>47.685938419758997</v>
      </c>
      <c r="BF273" s="806"/>
      <c r="BG273" s="806"/>
      <c r="BH273" s="806"/>
      <c r="BI273" s="806"/>
      <c r="BJ273" s="680"/>
      <c r="BK273" s="680"/>
      <c r="BL273" s="680"/>
      <c r="BM273" s="680"/>
      <c r="BN273" s="680"/>
    </row>
    <row r="274" spans="3:256">
      <c r="C274" s="910" t="s">
        <v>21</v>
      </c>
      <c r="D274" s="911"/>
      <c r="E274" s="912"/>
      <c r="F274" s="913">
        <f>F247</f>
        <v>43832.70960200001</v>
      </c>
      <c r="G274" s="913">
        <f>G247</f>
        <v>39008.343044759989</v>
      </c>
      <c r="H274" s="913">
        <f>H247</f>
        <v>40545.911989599997</v>
      </c>
      <c r="I274" s="914">
        <f t="shared" si="177"/>
        <v>3.9416412613981829E-2</v>
      </c>
      <c r="J274" s="913">
        <f>J247</f>
        <v>25095.214000000004</v>
      </c>
      <c r="K274" s="915">
        <f>K247</f>
        <v>10295.599008333334</v>
      </c>
      <c r="L274" s="913">
        <f>L247</f>
        <v>35386.813008333345</v>
      </c>
      <c r="M274" s="914">
        <f t="shared" si="179"/>
        <v>-0.12724091599148044</v>
      </c>
      <c r="N274" s="913">
        <f>N247</f>
        <v>46184.364400000006</v>
      </c>
      <c r="O274" s="914">
        <f t="shared" si="181"/>
        <v>0.30512924091592858</v>
      </c>
      <c r="P274" s="916"/>
      <c r="Q274" s="917"/>
      <c r="R274" s="916">
        <f>R247</f>
        <v>435.74113127203299</v>
      </c>
      <c r="S274" s="919"/>
      <c r="T274" s="919"/>
      <c r="U274" s="913">
        <f>U247</f>
        <v>2387.7033333333334</v>
      </c>
      <c r="V274" s="913">
        <f>V247</f>
        <v>3196.0993333333336</v>
      </c>
      <c r="W274" s="913">
        <f t="shared" ref="W274:AF274" si="199">W247</f>
        <v>3952.3748000000001</v>
      </c>
      <c r="X274" s="913">
        <f t="shared" si="199"/>
        <v>3370.5033333333336</v>
      </c>
      <c r="Y274" s="913">
        <f t="shared" si="199"/>
        <v>3607.9633333333331</v>
      </c>
      <c r="Z274" s="913">
        <f t="shared" si="199"/>
        <v>4685.6787999999997</v>
      </c>
      <c r="AA274" s="913">
        <f t="shared" si="199"/>
        <v>4276.0033333333331</v>
      </c>
      <c r="AB274" s="913">
        <f t="shared" si="199"/>
        <v>3964.4533333333334</v>
      </c>
      <c r="AC274" s="913">
        <f t="shared" si="199"/>
        <v>4068.1088</v>
      </c>
      <c r="AD274" s="913">
        <f t="shared" si="199"/>
        <v>4508.9733333333334</v>
      </c>
      <c r="AE274" s="913">
        <f t="shared" si="199"/>
        <v>4381.7493333333341</v>
      </c>
      <c r="AF274" s="920">
        <f t="shared" si="199"/>
        <v>3784.7533333333331</v>
      </c>
      <c r="AG274" s="733">
        <f t="shared" si="184"/>
        <v>0</v>
      </c>
      <c r="AH274" s="208">
        <f t="shared" si="185"/>
        <v>9536.1774666666661</v>
      </c>
      <c r="AI274" s="208">
        <f t="shared" si="186"/>
        <v>11664.145466666667</v>
      </c>
      <c r="AJ274" s="208">
        <f t="shared" si="187"/>
        <v>12308.565466666667</v>
      </c>
      <c r="AK274" s="208">
        <f t="shared" si="188"/>
        <v>12675.476000000002</v>
      </c>
      <c r="AL274" s="208">
        <f t="shared" si="189"/>
        <v>46184.364399999999</v>
      </c>
      <c r="AM274" s="843"/>
      <c r="AN274" s="916">
        <f>AN247</f>
        <v>24.913670499537599</v>
      </c>
      <c r="AO274" s="916">
        <f>AO247</f>
        <v>31.764169473394642</v>
      </c>
      <c r="AP274" s="916">
        <f t="shared" ref="AP274:AY274" si="200">AP247</f>
        <v>39.222963453421663</v>
      </c>
      <c r="AQ274" s="916">
        <f t="shared" si="200"/>
        <v>32.433959158550259</v>
      </c>
      <c r="AR274" s="916">
        <f t="shared" si="200"/>
        <v>33.673801712433601</v>
      </c>
      <c r="AS274" s="916">
        <f t="shared" si="200"/>
        <v>44.956938190639669</v>
      </c>
      <c r="AT274" s="916">
        <f t="shared" si="200"/>
        <v>38.530701520662454</v>
      </c>
      <c r="AU274" s="916">
        <f t="shared" si="200"/>
        <v>35.802588729134257</v>
      </c>
      <c r="AV274" s="916">
        <f t="shared" si="200"/>
        <v>39.00453099272525</v>
      </c>
      <c r="AW274" s="916">
        <f t="shared" si="200"/>
        <v>41.054530852111235</v>
      </c>
      <c r="AX274" s="916">
        <f t="shared" si="200"/>
        <v>39.501692175297826</v>
      </c>
      <c r="AY274" s="921">
        <f t="shared" si="200"/>
        <v>34.881584514124562</v>
      </c>
      <c r="AZ274" s="895">
        <f t="shared" si="191"/>
        <v>0</v>
      </c>
      <c r="BA274" s="636">
        <f t="shared" si="192"/>
        <v>95.900803426353903</v>
      </c>
      <c r="BB274" s="636">
        <f t="shared" si="193"/>
        <v>111.06469906162354</v>
      </c>
      <c r="BC274" s="636">
        <f t="shared" si="194"/>
        <v>113.33782124252195</v>
      </c>
      <c r="BD274" s="636">
        <f t="shared" si="195"/>
        <v>115.43780754153363</v>
      </c>
      <c r="BE274" s="683">
        <f t="shared" si="196"/>
        <v>435.74113127203304</v>
      </c>
      <c r="BF274" s="844"/>
      <c r="BG274" s="844"/>
      <c r="BH274" s="844"/>
      <c r="BI274" s="844"/>
      <c r="BJ274" s="707"/>
      <c r="BK274" s="707"/>
      <c r="BL274" s="707"/>
      <c r="BM274" s="707"/>
      <c r="BN274" s="707"/>
      <c r="BO274" s="708"/>
      <c r="BP274" s="708"/>
      <c r="BQ274" s="708"/>
      <c r="BR274" s="708"/>
      <c r="BS274" s="708"/>
      <c r="BT274" s="708"/>
      <c r="BU274" s="708"/>
      <c r="BV274" s="708"/>
      <c r="BW274" s="708"/>
      <c r="BX274" s="708"/>
      <c r="BY274" s="708"/>
      <c r="BZ274" s="708"/>
      <c r="CA274" s="708"/>
      <c r="CB274" s="708"/>
      <c r="CC274" s="708"/>
      <c r="CD274" s="708"/>
      <c r="CE274" s="708"/>
      <c r="CF274" s="708"/>
      <c r="CG274" s="708"/>
      <c r="CH274" s="708"/>
      <c r="CI274" s="708"/>
      <c r="CJ274" s="708"/>
      <c r="CK274" s="708"/>
      <c r="CL274" s="708"/>
      <c r="CM274" s="708"/>
      <c r="CN274" s="708"/>
      <c r="CO274" s="708"/>
      <c r="CP274" s="708"/>
      <c r="CQ274" s="708"/>
      <c r="CR274" s="708"/>
      <c r="CS274" s="708"/>
      <c r="CT274" s="708"/>
      <c r="CU274" s="708"/>
      <c r="CV274" s="708"/>
      <c r="CW274" s="708"/>
      <c r="CX274" s="708"/>
      <c r="CY274" s="708"/>
      <c r="CZ274" s="708"/>
      <c r="DA274" s="708"/>
      <c r="DB274" s="708"/>
      <c r="DC274" s="708"/>
      <c r="DD274" s="708"/>
      <c r="DE274" s="708"/>
      <c r="DF274" s="708"/>
      <c r="DG274" s="708"/>
      <c r="DH274" s="708"/>
      <c r="DI274" s="708"/>
      <c r="DJ274" s="708"/>
      <c r="DK274" s="708"/>
      <c r="DL274" s="708"/>
      <c r="DM274" s="708"/>
      <c r="DN274" s="708"/>
      <c r="DO274" s="708"/>
      <c r="DP274" s="708"/>
      <c r="DQ274" s="708"/>
      <c r="DR274" s="708"/>
      <c r="DS274" s="708"/>
      <c r="DT274" s="708"/>
      <c r="DU274" s="708"/>
      <c r="DV274" s="708"/>
      <c r="DW274" s="708"/>
      <c r="DX274" s="708"/>
      <c r="DY274" s="708"/>
      <c r="DZ274" s="708"/>
      <c r="EA274" s="708"/>
      <c r="EB274" s="708"/>
      <c r="EC274" s="708"/>
      <c r="ED274" s="708"/>
      <c r="EE274" s="708"/>
      <c r="EF274" s="708"/>
      <c r="EG274" s="708"/>
      <c r="EH274" s="708"/>
      <c r="EI274" s="708"/>
      <c r="EJ274" s="708"/>
      <c r="EK274" s="708"/>
      <c r="EL274" s="708"/>
      <c r="EM274" s="708"/>
      <c r="EN274" s="708"/>
      <c r="EO274" s="708"/>
      <c r="EP274" s="708"/>
      <c r="EQ274" s="708"/>
      <c r="ER274" s="708"/>
      <c r="ES274" s="708"/>
      <c r="ET274" s="708"/>
      <c r="EU274" s="708"/>
      <c r="EV274" s="708"/>
      <c r="EW274" s="708"/>
      <c r="EX274" s="708"/>
      <c r="EY274" s="708"/>
      <c r="EZ274" s="708"/>
      <c r="FA274" s="708"/>
      <c r="FB274" s="708"/>
      <c r="FC274" s="708"/>
      <c r="FD274" s="708"/>
      <c r="FE274" s="708"/>
      <c r="FF274" s="708"/>
      <c r="FG274" s="708"/>
      <c r="FH274" s="708"/>
      <c r="FI274" s="708"/>
      <c r="FJ274" s="708"/>
      <c r="FK274" s="708"/>
      <c r="FL274" s="708"/>
      <c r="FM274" s="708"/>
      <c r="FN274" s="708"/>
      <c r="FO274" s="708"/>
      <c r="FP274" s="708"/>
      <c r="FQ274" s="708"/>
      <c r="FR274" s="708"/>
      <c r="FS274" s="708"/>
      <c r="FT274" s="708"/>
      <c r="FU274" s="708"/>
      <c r="FV274" s="708"/>
      <c r="FW274" s="708"/>
      <c r="FX274" s="708"/>
      <c r="FY274" s="708"/>
      <c r="FZ274" s="708"/>
      <c r="GA274" s="708"/>
      <c r="GB274" s="708"/>
      <c r="GC274" s="708"/>
      <c r="GD274" s="708"/>
      <c r="GE274" s="708"/>
      <c r="GF274" s="708"/>
      <c r="GG274" s="708"/>
      <c r="GH274" s="708"/>
      <c r="GI274" s="708"/>
      <c r="GJ274" s="708"/>
      <c r="GK274" s="708"/>
      <c r="GL274" s="708"/>
      <c r="GM274" s="708"/>
      <c r="GN274" s="708"/>
      <c r="GO274" s="708"/>
      <c r="GP274" s="708"/>
      <c r="GQ274" s="708"/>
      <c r="GR274" s="708"/>
      <c r="GS274" s="708"/>
      <c r="GT274" s="708"/>
      <c r="GU274" s="708"/>
      <c r="GV274" s="708"/>
      <c r="GW274" s="708"/>
      <c r="GX274" s="708"/>
      <c r="GY274" s="708"/>
      <c r="GZ274" s="708"/>
      <c r="HA274" s="708"/>
      <c r="HB274" s="708"/>
      <c r="HC274" s="708"/>
      <c r="HD274" s="708"/>
      <c r="HE274" s="708"/>
      <c r="HF274" s="708"/>
      <c r="HG274" s="708"/>
      <c r="HH274" s="708"/>
      <c r="HI274" s="708"/>
      <c r="HJ274" s="708"/>
      <c r="HK274" s="708"/>
      <c r="HL274" s="708"/>
      <c r="HM274" s="708"/>
      <c r="HN274" s="708"/>
      <c r="HO274" s="708"/>
      <c r="HP274" s="708"/>
      <c r="HQ274" s="708"/>
      <c r="HR274" s="708"/>
      <c r="HS274" s="708"/>
      <c r="HT274" s="708"/>
      <c r="HU274" s="708"/>
      <c r="HV274" s="708"/>
      <c r="HW274" s="708"/>
      <c r="HX274" s="708"/>
      <c r="HY274" s="708"/>
      <c r="HZ274" s="708"/>
      <c r="IA274" s="708"/>
      <c r="IB274" s="708"/>
      <c r="IC274" s="708"/>
      <c r="ID274" s="708"/>
      <c r="IE274" s="708"/>
      <c r="IF274" s="708"/>
      <c r="IG274" s="708"/>
      <c r="IH274" s="708"/>
      <c r="II274" s="708"/>
      <c r="IJ274" s="708"/>
      <c r="IK274" s="708"/>
      <c r="IL274" s="708"/>
      <c r="IM274" s="708"/>
      <c r="IN274" s="708"/>
      <c r="IO274" s="708"/>
      <c r="IP274" s="708"/>
      <c r="IQ274" s="708"/>
      <c r="IR274" s="708"/>
      <c r="IS274" s="708"/>
      <c r="IT274" s="708"/>
      <c r="IU274" s="708"/>
      <c r="IV274" s="708"/>
    </row>
    <row r="275" spans="3:256">
      <c r="C275" s="923" t="s">
        <v>349</v>
      </c>
      <c r="D275" s="862"/>
      <c r="E275" s="862"/>
      <c r="F275" s="691">
        <f>F247-F274</f>
        <v>0</v>
      </c>
      <c r="G275" s="691">
        <f>G247-G274</f>
        <v>0</v>
      </c>
      <c r="H275" s="691">
        <f>H247-H274</f>
        <v>0</v>
      </c>
      <c r="I275" s="895"/>
      <c r="J275" s="691">
        <f>J247-J274</f>
        <v>0</v>
      </c>
      <c r="K275" s="926">
        <f>K247-K274</f>
        <v>0</v>
      </c>
      <c r="L275" s="691">
        <f>L247-L274</f>
        <v>0</v>
      </c>
      <c r="M275" s="867"/>
      <c r="N275" s="895">
        <f>N247-N274</f>
        <v>0</v>
      </c>
      <c r="O275" s="867"/>
      <c r="P275" s="867"/>
      <c r="Q275" s="867"/>
      <c r="R275" s="895">
        <f>R247-R274</f>
        <v>0</v>
      </c>
      <c r="S275" s="868"/>
      <c r="T275" s="868"/>
      <c r="U275" s="895">
        <f>U247-U274</f>
        <v>0</v>
      </c>
      <c r="V275" s="895">
        <f>V247-V274</f>
        <v>0</v>
      </c>
      <c r="W275" s="895">
        <f t="shared" ref="W275:AF275" si="201">W247-W274</f>
        <v>0</v>
      </c>
      <c r="X275" s="895">
        <f t="shared" si="201"/>
        <v>0</v>
      </c>
      <c r="Y275" s="895">
        <f t="shared" si="201"/>
        <v>0</v>
      </c>
      <c r="Z275" s="895">
        <f t="shared" si="201"/>
        <v>0</v>
      </c>
      <c r="AA275" s="895">
        <f t="shared" si="201"/>
        <v>0</v>
      </c>
      <c r="AB275" s="895">
        <f t="shared" si="201"/>
        <v>0</v>
      </c>
      <c r="AC275" s="895">
        <f t="shared" si="201"/>
        <v>0</v>
      </c>
      <c r="AD275" s="895">
        <f t="shared" si="201"/>
        <v>0</v>
      </c>
      <c r="AE275" s="895">
        <f t="shared" si="201"/>
        <v>0</v>
      </c>
      <c r="AF275" s="895">
        <f t="shared" si="201"/>
        <v>0</v>
      </c>
      <c r="AG275" s="733">
        <f t="shared" si="184"/>
        <v>0</v>
      </c>
      <c r="AH275" s="208">
        <f t="shared" si="185"/>
        <v>0</v>
      </c>
      <c r="AI275" s="208">
        <f t="shared" si="186"/>
        <v>0</v>
      </c>
      <c r="AJ275" s="208">
        <f t="shared" si="187"/>
        <v>0</v>
      </c>
      <c r="AK275" s="208">
        <f t="shared" si="188"/>
        <v>0</v>
      </c>
      <c r="AL275" s="208">
        <f t="shared" si="189"/>
        <v>0</v>
      </c>
      <c r="AM275" s="805"/>
      <c r="AN275" s="895">
        <f>AN247-AN274</f>
        <v>0</v>
      </c>
      <c r="AO275" s="895">
        <f>AO247-AO274</f>
        <v>0</v>
      </c>
      <c r="AP275" s="895">
        <f t="shared" ref="AP275:AY275" si="202">AP247-AP274</f>
        <v>0</v>
      </c>
      <c r="AQ275" s="895">
        <f t="shared" si="202"/>
        <v>0</v>
      </c>
      <c r="AR275" s="895">
        <f t="shared" si="202"/>
        <v>0</v>
      </c>
      <c r="AS275" s="895">
        <f t="shared" si="202"/>
        <v>0</v>
      </c>
      <c r="AT275" s="895">
        <f t="shared" si="202"/>
        <v>0</v>
      </c>
      <c r="AU275" s="895">
        <f t="shared" si="202"/>
        <v>0</v>
      </c>
      <c r="AV275" s="895">
        <f t="shared" si="202"/>
        <v>0</v>
      </c>
      <c r="AW275" s="895">
        <f t="shared" si="202"/>
        <v>0</v>
      </c>
      <c r="AX275" s="895">
        <f t="shared" si="202"/>
        <v>0</v>
      </c>
      <c r="AY275" s="895">
        <f t="shared" si="202"/>
        <v>0</v>
      </c>
      <c r="AZ275" s="895">
        <f t="shared" si="191"/>
        <v>0</v>
      </c>
      <c r="BA275" s="636">
        <f t="shared" si="192"/>
        <v>0</v>
      </c>
      <c r="BB275" s="636">
        <f t="shared" si="193"/>
        <v>0</v>
      </c>
      <c r="BC275" s="636">
        <f t="shared" si="194"/>
        <v>0</v>
      </c>
      <c r="BD275" s="636">
        <f t="shared" si="195"/>
        <v>0</v>
      </c>
      <c r="BE275" s="683">
        <f t="shared" si="196"/>
        <v>0</v>
      </c>
      <c r="BF275" s="806"/>
      <c r="BG275" s="806"/>
      <c r="BH275" s="806"/>
      <c r="BI275" s="806"/>
      <c r="BJ275" s="680"/>
      <c r="BK275" s="680"/>
      <c r="BL275" s="680"/>
      <c r="BM275" s="680"/>
      <c r="BN275" s="680"/>
    </row>
    <row r="276" spans="3:256">
      <c r="AG276" s="733">
        <f t="shared" si="184"/>
        <v>0</v>
      </c>
      <c r="AH276" s="208">
        <f t="shared" si="185"/>
        <v>0</v>
      </c>
      <c r="AI276" s="208">
        <f t="shared" si="186"/>
        <v>0</v>
      </c>
      <c r="AJ276" s="208">
        <f t="shared" si="187"/>
        <v>0</v>
      </c>
      <c r="AK276" s="208">
        <f t="shared" si="188"/>
        <v>0</v>
      </c>
      <c r="AL276" s="208">
        <f t="shared" si="189"/>
        <v>0</v>
      </c>
      <c r="AN276" s="928">
        <f>AN213+SUM(AN224:AN232)</f>
        <v>0.67958333333333332</v>
      </c>
      <c r="AO276" s="928">
        <f t="shared" ref="AO276:AY276" si="203">AO213+SUM(AO224:AO232)</f>
        <v>0.67958333333333332</v>
      </c>
      <c r="AP276" s="928">
        <f t="shared" si="203"/>
        <v>0.67958333333333332</v>
      </c>
      <c r="AQ276" s="928">
        <f t="shared" si="203"/>
        <v>0.67958333333333332</v>
      </c>
      <c r="AR276" s="928">
        <f t="shared" si="203"/>
        <v>0.67958333333333332</v>
      </c>
      <c r="AS276" s="928">
        <f t="shared" si="203"/>
        <v>0.67958333333333332</v>
      </c>
      <c r="AT276" s="928">
        <f t="shared" si="203"/>
        <v>0.67958333333333332</v>
      </c>
      <c r="AU276" s="928">
        <f t="shared" si="203"/>
        <v>1.1860083333333333</v>
      </c>
      <c r="AV276" s="928">
        <f t="shared" si="203"/>
        <v>1.1860083333333333</v>
      </c>
      <c r="AW276" s="928">
        <f t="shared" si="203"/>
        <v>1.1860083333333333</v>
      </c>
      <c r="AX276" s="928">
        <f t="shared" si="203"/>
        <v>1.1860083333333333</v>
      </c>
      <c r="AY276" s="928">
        <f t="shared" si="203"/>
        <v>1.1860083333333333</v>
      </c>
      <c r="AZ276" s="895">
        <f t="shared" si="191"/>
        <v>10.687125</v>
      </c>
      <c r="BA276" s="636">
        <f t="shared" si="192"/>
        <v>2.0387499999999998</v>
      </c>
      <c r="BB276" s="636">
        <f t="shared" si="193"/>
        <v>2.0387499999999998</v>
      </c>
      <c r="BC276" s="636">
        <f t="shared" si="194"/>
        <v>3.0515999999999996</v>
      </c>
      <c r="BD276" s="636">
        <f t="shared" si="195"/>
        <v>3.5580249999999998</v>
      </c>
      <c r="BE276" s="683">
        <f t="shared" si="196"/>
        <v>10.687124999999998</v>
      </c>
    </row>
    <row r="277" spans="3:256">
      <c r="C277" s="929" t="s">
        <v>561</v>
      </c>
      <c r="D277" s="930"/>
      <c r="E277" s="930"/>
      <c r="F277" s="930"/>
      <c r="G277" s="931"/>
      <c r="H277" s="931"/>
      <c r="I277" s="930"/>
      <c r="J277" s="931"/>
      <c r="K277" s="932"/>
      <c r="L277" s="930"/>
      <c r="M277" s="930"/>
      <c r="N277" s="933" t="s">
        <v>562</v>
      </c>
      <c r="O277" s="930"/>
      <c r="P277" s="930"/>
      <c r="Q277" s="930"/>
      <c r="R277" s="934" t="s">
        <v>563</v>
      </c>
      <c r="U277" s="935" t="s">
        <v>562</v>
      </c>
      <c r="V277" s="935" t="s">
        <v>562</v>
      </c>
      <c r="W277" s="935" t="s">
        <v>562</v>
      </c>
      <c r="X277" s="935" t="s">
        <v>562</v>
      </c>
      <c r="Y277" s="935" t="s">
        <v>562</v>
      </c>
      <c r="Z277" s="935" t="s">
        <v>562</v>
      </c>
      <c r="AA277" s="935" t="s">
        <v>562</v>
      </c>
      <c r="AB277" s="935" t="s">
        <v>562</v>
      </c>
      <c r="AC277" s="935" t="s">
        <v>562</v>
      </c>
      <c r="AD277" s="935" t="s">
        <v>562</v>
      </c>
      <c r="AE277" s="935" t="s">
        <v>562</v>
      </c>
      <c r="AF277" s="935" t="s">
        <v>562</v>
      </c>
      <c r="AG277" s="733"/>
      <c r="AH277" s="208">
        <f t="shared" si="185"/>
        <v>0</v>
      </c>
      <c r="AI277" s="208">
        <f t="shared" si="186"/>
        <v>0</v>
      </c>
      <c r="AJ277" s="208">
        <f t="shared" si="187"/>
        <v>0</v>
      </c>
      <c r="AK277" s="208">
        <f t="shared" si="188"/>
        <v>0</v>
      </c>
      <c r="AL277" s="208">
        <f t="shared" si="189"/>
        <v>0</v>
      </c>
      <c r="AN277" s="933" t="s">
        <v>563</v>
      </c>
      <c r="AO277" s="933" t="s">
        <v>563</v>
      </c>
      <c r="AP277" s="933" t="s">
        <v>563</v>
      </c>
      <c r="AQ277" s="933" t="s">
        <v>563</v>
      </c>
      <c r="AR277" s="933" t="s">
        <v>563</v>
      </c>
      <c r="AS277" s="933" t="s">
        <v>563</v>
      </c>
      <c r="AT277" s="933" t="s">
        <v>563</v>
      </c>
      <c r="AU277" s="933" t="s">
        <v>563</v>
      </c>
      <c r="AV277" s="933" t="s">
        <v>563</v>
      </c>
      <c r="AW277" s="933" t="s">
        <v>563</v>
      </c>
      <c r="AX277" s="933" t="s">
        <v>563</v>
      </c>
      <c r="AY277" s="933" t="s">
        <v>563</v>
      </c>
      <c r="AZ277" s="895"/>
      <c r="BA277" s="636">
        <f t="shared" si="192"/>
        <v>0</v>
      </c>
      <c r="BB277" s="636">
        <f t="shared" si="193"/>
        <v>0</v>
      </c>
      <c r="BC277" s="636">
        <f t="shared" si="194"/>
        <v>0</v>
      </c>
      <c r="BD277" s="636">
        <f t="shared" si="195"/>
        <v>0</v>
      </c>
      <c r="BE277" s="683">
        <f t="shared" si="196"/>
        <v>0</v>
      </c>
    </row>
    <row r="278" spans="3:256">
      <c r="C278" s="936" t="s">
        <v>564</v>
      </c>
      <c r="D278" s="930"/>
      <c r="E278" s="930"/>
      <c r="F278" s="930"/>
      <c r="G278" s="931"/>
      <c r="H278" s="931"/>
      <c r="I278" s="930"/>
      <c r="J278" s="931"/>
      <c r="K278" s="932"/>
      <c r="L278" s="930"/>
      <c r="M278" s="930"/>
      <c r="N278" s="937">
        <f>SUM(N73:N79)</f>
        <v>690</v>
      </c>
      <c r="O278" s="930"/>
      <c r="P278" s="930"/>
      <c r="Q278" s="930"/>
      <c r="R278" s="938">
        <f>SUM(R73:R79)</f>
        <v>7.3959740683107924</v>
      </c>
      <c r="U278" s="939">
        <f>SUM(U73:U79)</f>
        <v>36</v>
      </c>
      <c r="V278" s="939">
        <f t="shared" ref="V278:AF278" si="204">SUM(V73:V79)</f>
        <v>60</v>
      </c>
      <c r="W278" s="939">
        <f t="shared" si="204"/>
        <v>30</v>
      </c>
      <c r="X278" s="939">
        <f t="shared" si="204"/>
        <v>30</v>
      </c>
      <c r="Y278" s="939">
        <f t="shared" si="204"/>
        <v>66</v>
      </c>
      <c r="Z278" s="939">
        <f t="shared" si="204"/>
        <v>60</v>
      </c>
      <c r="AA278" s="939">
        <f t="shared" si="204"/>
        <v>42</v>
      </c>
      <c r="AB278" s="939">
        <f t="shared" si="204"/>
        <v>60</v>
      </c>
      <c r="AC278" s="939">
        <f t="shared" si="204"/>
        <v>105</v>
      </c>
      <c r="AD278" s="939">
        <f t="shared" si="204"/>
        <v>86</v>
      </c>
      <c r="AE278" s="939">
        <f t="shared" si="204"/>
        <v>60</v>
      </c>
      <c r="AF278" s="939">
        <f t="shared" si="204"/>
        <v>55</v>
      </c>
      <c r="AG278" s="733">
        <f t="shared" si="184"/>
        <v>0</v>
      </c>
      <c r="AH278" s="208">
        <f t="shared" si="185"/>
        <v>126</v>
      </c>
      <c r="AI278" s="208">
        <f t="shared" si="186"/>
        <v>156</v>
      </c>
      <c r="AJ278" s="208">
        <f t="shared" si="187"/>
        <v>207</v>
      </c>
      <c r="AK278" s="208">
        <f t="shared" si="188"/>
        <v>201</v>
      </c>
      <c r="AL278" s="208">
        <f t="shared" si="189"/>
        <v>690</v>
      </c>
      <c r="AN278" s="937">
        <f>SUM(AN73:AN79)</f>
        <v>0.43051219355521358</v>
      </c>
      <c r="AO278" s="937">
        <f t="shared" ref="AO278:AY278" si="205">SUM(AO73:AO79)</f>
        <v>0.60922863381675929</v>
      </c>
      <c r="AP278" s="937">
        <f t="shared" si="205"/>
        <v>0.2992533309365949</v>
      </c>
      <c r="AQ278" s="937">
        <f t="shared" si="205"/>
        <v>0.30187283104954638</v>
      </c>
      <c r="AR278" s="937">
        <f t="shared" si="205"/>
        <v>0.7378679963224265</v>
      </c>
      <c r="AS278" s="937">
        <f t="shared" si="205"/>
        <v>0.60112616198614122</v>
      </c>
      <c r="AT278" s="937">
        <f t="shared" si="205"/>
        <v>0.54284354724346018</v>
      </c>
      <c r="AU278" s="937">
        <f t="shared" si="205"/>
        <v>0.60922863381675929</v>
      </c>
      <c r="AV278" s="937">
        <f t="shared" si="205"/>
        <v>1.1229583951127378</v>
      </c>
      <c r="AW278" s="937">
        <f t="shared" si="205"/>
        <v>0.93363357863779095</v>
      </c>
      <c r="AX278" s="937">
        <f t="shared" si="205"/>
        <v>0.60922863381675929</v>
      </c>
      <c r="AY278" s="937">
        <f t="shared" si="205"/>
        <v>0.59822013201660429</v>
      </c>
      <c r="AZ278" s="895">
        <f t="shared" ref="AZ278:AZ291" si="206">SUM(AN278:AY278)-R278</f>
        <v>0</v>
      </c>
      <c r="BA278" s="636">
        <f t="shared" si="192"/>
        <v>1.3389941583085676</v>
      </c>
      <c r="BB278" s="636">
        <f t="shared" si="193"/>
        <v>1.640866989358114</v>
      </c>
      <c r="BC278" s="636">
        <f t="shared" si="194"/>
        <v>2.2750305761729575</v>
      </c>
      <c r="BD278" s="636">
        <f t="shared" si="195"/>
        <v>2.1410823444711546</v>
      </c>
      <c r="BE278" s="683">
        <f t="shared" si="196"/>
        <v>7.3959740683107942</v>
      </c>
    </row>
    <row r="279" spans="3:256">
      <c r="C279" s="940" t="s">
        <v>565</v>
      </c>
      <c r="D279" s="941"/>
      <c r="E279" s="941"/>
      <c r="F279" s="941"/>
      <c r="G279" s="942"/>
      <c r="H279" s="942"/>
      <c r="I279" s="941"/>
      <c r="J279" s="942"/>
      <c r="K279" s="943"/>
      <c r="L279" s="941"/>
      <c r="M279" s="941"/>
      <c r="N279" s="944">
        <f>SUM(N83:N87)</f>
        <v>123</v>
      </c>
      <c r="O279" s="941"/>
      <c r="P279" s="941"/>
      <c r="Q279" s="941"/>
      <c r="R279" s="945">
        <f>SUM(R83:R87)</f>
        <v>1.4145013769982702</v>
      </c>
      <c r="U279" s="946">
        <f>SUM(U83:U87)</f>
        <v>0</v>
      </c>
      <c r="V279" s="946">
        <f t="shared" ref="V279:AF279" si="207">SUM(V83:V87)</f>
        <v>9</v>
      </c>
      <c r="W279" s="946">
        <f t="shared" si="207"/>
        <v>27</v>
      </c>
      <c r="X279" s="946">
        <f t="shared" si="207"/>
        <v>9</v>
      </c>
      <c r="Y279" s="946">
        <f t="shared" si="207"/>
        <v>9</v>
      </c>
      <c r="Z279" s="946">
        <f t="shared" si="207"/>
        <v>27</v>
      </c>
      <c r="AA279" s="946">
        <f t="shared" si="207"/>
        <v>12</v>
      </c>
      <c r="AB279" s="946">
        <f t="shared" si="207"/>
        <v>21</v>
      </c>
      <c r="AC279" s="946">
        <f t="shared" si="207"/>
        <v>9</v>
      </c>
      <c r="AD279" s="946">
        <f t="shared" si="207"/>
        <v>0</v>
      </c>
      <c r="AE279" s="946">
        <f t="shared" si="207"/>
        <v>0</v>
      </c>
      <c r="AF279" s="946">
        <f t="shared" si="207"/>
        <v>0</v>
      </c>
      <c r="AG279" s="733">
        <f t="shared" si="184"/>
        <v>0</v>
      </c>
      <c r="AH279" s="208">
        <f t="shared" si="185"/>
        <v>36</v>
      </c>
      <c r="AI279" s="208">
        <f t="shared" si="186"/>
        <v>45</v>
      </c>
      <c r="AJ279" s="208">
        <f t="shared" si="187"/>
        <v>42</v>
      </c>
      <c r="AK279" s="208">
        <f t="shared" si="188"/>
        <v>0</v>
      </c>
      <c r="AL279" s="208">
        <f t="shared" si="189"/>
        <v>123</v>
      </c>
      <c r="AN279" s="944">
        <f>SUM(AN83:AN87)</f>
        <v>0</v>
      </c>
      <c r="AO279" s="944">
        <f t="shared" ref="AO279:AY279" si="208">SUM(AO83:AO87)</f>
        <v>0.13152564124622998</v>
      </c>
      <c r="AP279" s="944">
        <f t="shared" si="208"/>
        <v>0.31988196935478042</v>
      </c>
      <c r="AQ279" s="944">
        <f t="shared" si="208"/>
        <v>7.9582276561471418E-2</v>
      </c>
      <c r="AR279" s="944">
        <f t="shared" si="208"/>
        <v>0.13152564124622998</v>
      </c>
      <c r="AS279" s="944">
        <f t="shared" si="208"/>
        <v>0.31988196935478042</v>
      </c>
      <c r="AT279" s="944">
        <f t="shared" si="208"/>
        <v>0.12342415697688142</v>
      </c>
      <c r="AU279" s="944">
        <f t="shared" si="208"/>
        <v>0.22909744569642504</v>
      </c>
      <c r="AV279" s="944">
        <f t="shared" si="208"/>
        <v>7.9582276561471418E-2</v>
      </c>
      <c r="AW279" s="944">
        <f t="shared" si="208"/>
        <v>0</v>
      </c>
      <c r="AX279" s="944">
        <f t="shared" si="208"/>
        <v>0</v>
      </c>
      <c r="AY279" s="944">
        <f t="shared" si="208"/>
        <v>0</v>
      </c>
      <c r="AZ279" s="895">
        <f t="shared" si="206"/>
        <v>0</v>
      </c>
      <c r="BA279" s="636">
        <f t="shared" si="192"/>
        <v>0.45140761060101042</v>
      </c>
      <c r="BB279" s="636">
        <f t="shared" si="193"/>
        <v>0.53098988716248186</v>
      </c>
      <c r="BC279" s="636">
        <f t="shared" si="194"/>
        <v>0.43210387923477789</v>
      </c>
      <c r="BD279" s="636">
        <f t="shared" si="195"/>
        <v>0</v>
      </c>
      <c r="BE279" s="683">
        <f t="shared" si="196"/>
        <v>1.4145013769982702</v>
      </c>
    </row>
    <row r="280" spans="3:256">
      <c r="C280" s="947" t="s">
        <v>566</v>
      </c>
      <c r="D280" s="941"/>
      <c r="E280" s="941"/>
      <c r="F280" s="941"/>
      <c r="G280" s="942"/>
      <c r="H280" s="942"/>
      <c r="I280" s="941"/>
      <c r="J280" s="942"/>
      <c r="K280" s="943"/>
      <c r="L280" s="941"/>
      <c r="M280" s="941"/>
      <c r="N280" s="944">
        <f>SUM(N88:N90)</f>
        <v>110</v>
      </c>
      <c r="O280" s="941"/>
      <c r="P280" s="941"/>
      <c r="Q280" s="941"/>
      <c r="R280" s="945">
        <f>SUM(R88:R90)</f>
        <v>1.3749764279824896</v>
      </c>
      <c r="U280" s="946">
        <f>SUM(U88:U90)</f>
        <v>0</v>
      </c>
      <c r="V280" s="946">
        <f t="shared" ref="V280:AF280" si="209">SUM(V88:V90)</f>
        <v>20</v>
      </c>
      <c r="W280" s="946">
        <f t="shared" si="209"/>
        <v>0</v>
      </c>
      <c r="X280" s="946">
        <f t="shared" si="209"/>
        <v>10</v>
      </c>
      <c r="Y280" s="946">
        <f t="shared" si="209"/>
        <v>0</v>
      </c>
      <c r="Z280" s="946">
        <f t="shared" si="209"/>
        <v>10</v>
      </c>
      <c r="AA280" s="946">
        <f t="shared" si="209"/>
        <v>20</v>
      </c>
      <c r="AB280" s="946">
        <f t="shared" si="209"/>
        <v>10</v>
      </c>
      <c r="AC280" s="946">
        <f t="shared" si="209"/>
        <v>10</v>
      </c>
      <c r="AD280" s="946">
        <f t="shared" si="209"/>
        <v>20</v>
      </c>
      <c r="AE280" s="946">
        <f t="shared" si="209"/>
        <v>10</v>
      </c>
      <c r="AF280" s="946">
        <f t="shared" si="209"/>
        <v>0</v>
      </c>
      <c r="AG280" s="733">
        <f t="shared" si="184"/>
        <v>0</v>
      </c>
      <c r="AH280" s="208">
        <f t="shared" si="185"/>
        <v>20</v>
      </c>
      <c r="AI280" s="208">
        <f t="shared" si="186"/>
        <v>20</v>
      </c>
      <c r="AJ280" s="208">
        <f t="shared" si="187"/>
        <v>40</v>
      </c>
      <c r="AK280" s="208">
        <f t="shared" si="188"/>
        <v>30</v>
      </c>
      <c r="AL280" s="208">
        <f t="shared" si="189"/>
        <v>110</v>
      </c>
      <c r="AN280" s="944">
        <f>SUM(AN88:AN90)</f>
        <v>0</v>
      </c>
      <c r="AO280" s="944">
        <f t="shared" ref="AO280:AY280" si="210">SUM(AO88:AO90)</f>
        <v>0.23975947368632994</v>
      </c>
      <c r="AP280" s="944">
        <f t="shared" si="210"/>
        <v>0</v>
      </c>
      <c r="AQ280" s="944">
        <f t="shared" si="210"/>
        <v>0.13113960138469999</v>
      </c>
      <c r="AR280" s="944">
        <f t="shared" si="210"/>
        <v>0</v>
      </c>
      <c r="AS280" s="944">
        <f t="shared" si="210"/>
        <v>0.13113960138469999</v>
      </c>
      <c r="AT280" s="944">
        <f t="shared" si="210"/>
        <v>0.23975947368632994</v>
      </c>
      <c r="AU280" s="944">
        <f t="shared" si="210"/>
        <v>0.13113960138469999</v>
      </c>
      <c r="AV280" s="944">
        <f t="shared" si="210"/>
        <v>0.1513075394305923</v>
      </c>
      <c r="AW280" s="944">
        <f t="shared" si="210"/>
        <v>0.21959153564043762</v>
      </c>
      <c r="AX280" s="944">
        <f t="shared" si="210"/>
        <v>0.13113960138469999</v>
      </c>
      <c r="AY280" s="944">
        <f t="shared" si="210"/>
        <v>0</v>
      </c>
      <c r="AZ280" s="895">
        <f t="shared" si="206"/>
        <v>0</v>
      </c>
      <c r="BA280" s="636">
        <f t="shared" si="192"/>
        <v>0.23975947368632994</v>
      </c>
      <c r="BB280" s="636">
        <f t="shared" si="193"/>
        <v>0.26227920276939998</v>
      </c>
      <c r="BC280" s="636">
        <f t="shared" si="194"/>
        <v>0.5222066145016222</v>
      </c>
      <c r="BD280" s="636">
        <f t="shared" si="195"/>
        <v>0.35073113702513758</v>
      </c>
      <c r="BE280" s="683">
        <f t="shared" si="196"/>
        <v>1.3749764279824896</v>
      </c>
    </row>
    <row r="281" spans="3:256">
      <c r="C281" s="947" t="s">
        <v>417</v>
      </c>
      <c r="D281" s="941"/>
      <c r="E281" s="941"/>
      <c r="F281" s="941"/>
      <c r="G281" s="942"/>
      <c r="H281" s="942"/>
      <c r="I281" s="941"/>
      <c r="J281" s="942"/>
      <c r="K281" s="943"/>
      <c r="L281" s="941"/>
      <c r="M281" s="941"/>
      <c r="N281" s="944">
        <f>N55+N56+N123</f>
        <v>350</v>
      </c>
      <c r="O281" s="941"/>
      <c r="P281" s="941"/>
      <c r="Q281" s="941"/>
      <c r="R281" s="945">
        <f>R55+R56+R123</f>
        <v>3.8072979272653233</v>
      </c>
      <c r="U281" s="946">
        <f>U55+U56+U123</f>
        <v>0</v>
      </c>
      <c r="V281" s="946">
        <f t="shared" ref="V281:AF281" si="211">V55+V56+V123</f>
        <v>10</v>
      </c>
      <c r="W281" s="946">
        <f t="shared" si="211"/>
        <v>0</v>
      </c>
      <c r="X281" s="946">
        <f t="shared" si="211"/>
        <v>45</v>
      </c>
      <c r="Y281" s="946">
        <f t="shared" si="211"/>
        <v>25</v>
      </c>
      <c r="Z281" s="946">
        <f t="shared" si="211"/>
        <v>25</v>
      </c>
      <c r="AA281" s="946">
        <f t="shared" si="211"/>
        <v>45</v>
      </c>
      <c r="AB281" s="946">
        <f t="shared" si="211"/>
        <v>45</v>
      </c>
      <c r="AC281" s="946">
        <f t="shared" si="211"/>
        <v>45</v>
      </c>
      <c r="AD281" s="946">
        <f t="shared" si="211"/>
        <v>45</v>
      </c>
      <c r="AE281" s="946">
        <f t="shared" si="211"/>
        <v>45</v>
      </c>
      <c r="AF281" s="946">
        <f t="shared" si="211"/>
        <v>20</v>
      </c>
      <c r="AG281" s="733">
        <f t="shared" si="184"/>
        <v>0</v>
      </c>
      <c r="AH281" s="208">
        <f t="shared" si="185"/>
        <v>10</v>
      </c>
      <c r="AI281" s="208">
        <f t="shared" si="186"/>
        <v>95</v>
      </c>
      <c r="AJ281" s="208">
        <f t="shared" si="187"/>
        <v>135</v>
      </c>
      <c r="AK281" s="208">
        <f t="shared" si="188"/>
        <v>110</v>
      </c>
      <c r="AL281" s="208">
        <f t="shared" si="189"/>
        <v>350</v>
      </c>
      <c r="AN281" s="944">
        <f>AN55+AN56+AN123</f>
        <v>0</v>
      </c>
      <c r="AO281" s="944">
        <f t="shared" ref="AO281:AY281" si="212">AO55+AO56+AO123</f>
        <v>0.15501621528624826</v>
      </c>
      <c r="AP281" s="944">
        <f t="shared" si="212"/>
        <v>0</v>
      </c>
      <c r="AQ281" s="944">
        <f t="shared" si="212"/>
        <v>0.49528926781894655</v>
      </c>
      <c r="AR281" s="944">
        <f t="shared" si="212"/>
        <v>0.18525683724645001</v>
      </c>
      <c r="AS281" s="944">
        <f t="shared" si="212"/>
        <v>0.18525683724645001</v>
      </c>
      <c r="AT281" s="944">
        <f t="shared" si="212"/>
        <v>0.49528926781894655</v>
      </c>
      <c r="AU281" s="944">
        <f t="shared" si="212"/>
        <v>0.49528926781894655</v>
      </c>
      <c r="AV281" s="944">
        <f t="shared" si="212"/>
        <v>0.49528926781894655</v>
      </c>
      <c r="AW281" s="944">
        <f t="shared" si="212"/>
        <v>0.49528926781894655</v>
      </c>
      <c r="AX281" s="944">
        <f t="shared" si="212"/>
        <v>0.49528926781894655</v>
      </c>
      <c r="AY281" s="944">
        <f t="shared" si="212"/>
        <v>0.31003243057249652</v>
      </c>
      <c r="AZ281" s="895">
        <f t="shared" si="206"/>
        <v>0</v>
      </c>
      <c r="BA281" s="636">
        <f t="shared" si="192"/>
        <v>0.15501621528624826</v>
      </c>
      <c r="BB281" s="636">
        <f t="shared" si="193"/>
        <v>0.86580294231184662</v>
      </c>
      <c r="BC281" s="636">
        <f t="shared" si="194"/>
        <v>1.4858678034568396</v>
      </c>
      <c r="BD281" s="636">
        <f t="shared" si="195"/>
        <v>1.3006109662103897</v>
      </c>
      <c r="BE281" s="683">
        <f t="shared" si="196"/>
        <v>3.8072979272653242</v>
      </c>
    </row>
    <row r="282" spans="3:256">
      <c r="C282" s="947" t="s">
        <v>53</v>
      </c>
      <c r="D282" s="941"/>
      <c r="E282" s="941"/>
      <c r="F282" s="941"/>
      <c r="G282" s="942"/>
      <c r="H282" s="942"/>
      <c r="I282" s="941"/>
      <c r="J282" s="942"/>
      <c r="K282" s="943"/>
      <c r="L282" s="941"/>
      <c r="M282" s="941"/>
      <c r="N282" s="944">
        <f>N119+N120+N121+N122</f>
        <v>350.30000000000007</v>
      </c>
      <c r="O282" s="941"/>
      <c r="P282" s="941"/>
      <c r="Q282" s="941"/>
      <c r="R282" s="945">
        <f>R119+R120+R121+R122</f>
        <v>4.2124435130121372</v>
      </c>
      <c r="U282" s="946">
        <f>U119+U120+U121+U122</f>
        <v>41.599999999999994</v>
      </c>
      <c r="V282" s="946">
        <f t="shared" ref="V282:AF282" si="213">V119+V120+V121+V122</f>
        <v>35.6</v>
      </c>
      <c r="W282" s="946">
        <f t="shared" si="213"/>
        <v>63</v>
      </c>
      <c r="X282" s="946">
        <f t="shared" si="213"/>
        <v>53.8</v>
      </c>
      <c r="Y282" s="946">
        <f t="shared" si="213"/>
        <v>26</v>
      </c>
      <c r="Z282" s="946">
        <f t="shared" si="213"/>
        <v>15.6</v>
      </c>
      <c r="AA282" s="946">
        <f t="shared" si="213"/>
        <v>14.5</v>
      </c>
      <c r="AB282" s="946">
        <f t="shared" si="213"/>
        <v>0</v>
      </c>
      <c r="AC282" s="946">
        <f t="shared" si="213"/>
        <v>0</v>
      </c>
      <c r="AD282" s="946">
        <f t="shared" si="213"/>
        <v>31.3</v>
      </c>
      <c r="AE282" s="946">
        <f t="shared" si="213"/>
        <v>24.2</v>
      </c>
      <c r="AF282" s="946">
        <f t="shared" si="213"/>
        <v>44.699999999999996</v>
      </c>
      <c r="AG282" s="733">
        <f t="shared" si="184"/>
        <v>0</v>
      </c>
      <c r="AH282" s="208">
        <f t="shared" si="185"/>
        <v>140.19999999999999</v>
      </c>
      <c r="AI282" s="208">
        <f t="shared" si="186"/>
        <v>95.399999999999991</v>
      </c>
      <c r="AJ282" s="208">
        <f t="shared" si="187"/>
        <v>14.5</v>
      </c>
      <c r="AK282" s="208">
        <f t="shared" si="188"/>
        <v>100.19999999999999</v>
      </c>
      <c r="AL282" s="208">
        <f t="shared" si="189"/>
        <v>350.29999999999995</v>
      </c>
      <c r="AN282" s="944">
        <f>AN119+AN120+AN121+AN122</f>
        <v>0.51272037029488604</v>
      </c>
      <c r="AO282" s="944">
        <f t="shared" ref="AO282:AY282" si="214">AO119+AO120+AO121+AO122</f>
        <v>0.43026583957805609</v>
      </c>
      <c r="AP282" s="944">
        <f t="shared" si="214"/>
        <v>0.76400813159380998</v>
      </c>
      <c r="AQ282" s="944">
        <f t="shared" si="214"/>
        <v>0.64935988875428796</v>
      </c>
      <c r="AR282" s="944">
        <f t="shared" si="214"/>
        <v>0.30426444246784001</v>
      </c>
      <c r="AS282" s="944">
        <f t="shared" si="214"/>
        <v>0.191481768521931</v>
      </c>
      <c r="AT282" s="944">
        <f t="shared" si="214"/>
        <v>0.174101281064615</v>
      </c>
      <c r="AU282" s="944">
        <f t="shared" si="214"/>
        <v>0</v>
      </c>
      <c r="AV282" s="944">
        <f t="shared" si="214"/>
        <v>0</v>
      </c>
      <c r="AW282" s="944">
        <f t="shared" si="214"/>
        <v>0.35496719301370305</v>
      </c>
      <c r="AX282" s="944">
        <f t="shared" si="214"/>
        <v>0.29292074951034996</v>
      </c>
      <c r="AY282" s="944">
        <f t="shared" si="214"/>
        <v>0.53835384821265897</v>
      </c>
      <c r="AZ282" s="895">
        <f t="shared" si="206"/>
        <v>0</v>
      </c>
      <c r="BA282" s="636">
        <f t="shared" si="192"/>
        <v>1.7069943414667521</v>
      </c>
      <c r="BB282" s="636">
        <f t="shared" si="193"/>
        <v>1.145106099744059</v>
      </c>
      <c r="BC282" s="636">
        <f t="shared" si="194"/>
        <v>0.174101281064615</v>
      </c>
      <c r="BD282" s="636">
        <f t="shared" si="195"/>
        <v>1.186241790736712</v>
      </c>
      <c r="BE282" s="683">
        <f t="shared" si="196"/>
        <v>4.212443513012138</v>
      </c>
    </row>
    <row r="283" spans="3:256">
      <c r="C283" s="947" t="s">
        <v>193</v>
      </c>
      <c r="D283" s="941"/>
      <c r="E283" s="941"/>
      <c r="F283" s="941"/>
      <c r="G283" s="942"/>
      <c r="H283" s="942"/>
      <c r="I283" s="941"/>
      <c r="J283" s="942"/>
      <c r="K283" s="943"/>
      <c r="L283" s="941"/>
      <c r="M283" s="941"/>
      <c r="N283" s="944">
        <f>N36+N37</f>
        <v>220</v>
      </c>
      <c r="O283" s="941"/>
      <c r="P283" s="941"/>
      <c r="Q283" s="941"/>
      <c r="R283" s="945">
        <f>R36+R37</f>
        <v>4.6040000000000001</v>
      </c>
      <c r="U283" s="946">
        <f>U36+U37</f>
        <v>0</v>
      </c>
      <c r="V283" s="946">
        <f t="shared" ref="V283:AF283" si="215">V36+V37</f>
        <v>0</v>
      </c>
      <c r="W283" s="946">
        <f t="shared" si="215"/>
        <v>20</v>
      </c>
      <c r="X283" s="946">
        <f t="shared" si="215"/>
        <v>25</v>
      </c>
      <c r="Y283" s="946">
        <f t="shared" si="215"/>
        <v>20</v>
      </c>
      <c r="Z283" s="946">
        <f t="shared" si="215"/>
        <v>25</v>
      </c>
      <c r="AA283" s="946">
        <f t="shared" si="215"/>
        <v>20</v>
      </c>
      <c r="AB283" s="946">
        <f t="shared" si="215"/>
        <v>25</v>
      </c>
      <c r="AC283" s="946">
        <f t="shared" si="215"/>
        <v>20</v>
      </c>
      <c r="AD283" s="946">
        <f t="shared" si="215"/>
        <v>25</v>
      </c>
      <c r="AE283" s="946">
        <f t="shared" si="215"/>
        <v>20</v>
      </c>
      <c r="AF283" s="946">
        <f t="shared" si="215"/>
        <v>20</v>
      </c>
      <c r="AG283" s="733">
        <f t="shared" si="184"/>
        <v>0</v>
      </c>
      <c r="AH283" s="208">
        <f t="shared" si="185"/>
        <v>20</v>
      </c>
      <c r="AI283" s="208">
        <f t="shared" si="186"/>
        <v>70</v>
      </c>
      <c r="AJ283" s="208">
        <f t="shared" si="187"/>
        <v>65</v>
      </c>
      <c r="AK283" s="208">
        <f t="shared" si="188"/>
        <v>65</v>
      </c>
      <c r="AL283" s="208">
        <f t="shared" si="189"/>
        <v>220</v>
      </c>
      <c r="AN283" s="944">
        <f>AN36+AN37</f>
        <v>0</v>
      </c>
      <c r="AO283" s="944">
        <f t="shared" ref="AO283:AY283" si="216">AO36+AO37</f>
        <v>0</v>
      </c>
      <c r="AP283" s="944">
        <f t="shared" si="216"/>
        <v>0.41399999999999998</v>
      </c>
      <c r="AQ283" s="944">
        <f t="shared" si="216"/>
        <v>0.53</v>
      </c>
      <c r="AR283" s="944">
        <f t="shared" si="216"/>
        <v>0.41399999999999998</v>
      </c>
      <c r="AS283" s="944">
        <f t="shared" si="216"/>
        <v>0.53</v>
      </c>
      <c r="AT283" s="944">
        <f t="shared" si="216"/>
        <v>0.41399999999999998</v>
      </c>
      <c r="AU283" s="944">
        <f t="shared" si="216"/>
        <v>0.53</v>
      </c>
      <c r="AV283" s="944">
        <f t="shared" si="216"/>
        <v>0.41399999999999998</v>
      </c>
      <c r="AW283" s="944">
        <f t="shared" si="216"/>
        <v>0.53</v>
      </c>
      <c r="AX283" s="944">
        <f t="shared" si="216"/>
        <v>0.41399999999999998</v>
      </c>
      <c r="AY283" s="944">
        <f t="shared" si="216"/>
        <v>0.41399999999999998</v>
      </c>
      <c r="AZ283" s="895">
        <f t="shared" si="206"/>
        <v>0</v>
      </c>
      <c r="BA283" s="636">
        <f t="shared" si="192"/>
        <v>0.41399999999999998</v>
      </c>
      <c r="BB283" s="636">
        <f t="shared" si="193"/>
        <v>1.474</v>
      </c>
      <c r="BC283" s="636">
        <f t="shared" si="194"/>
        <v>1.3579999999999999</v>
      </c>
      <c r="BD283" s="636">
        <f t="shared" si="195"/>
        <v>1.3579999999999999</v>
      </c>
      <c r="BE283" s="683">
        <f t="shared" si="196"/>
        <v>4.6039999999999992</v>
      </c>
    </row>
    <row r="284" spans="3:256">
      <c r="C284" s="947" t="s">
        <v>49</v>
      </c>
      <c r="D284" s="941"/>
      <c r="E284" s="941"/>
      <c r="F284" s="941"/>
      <c r="G284" s="942"/>
      <c r="H284" s="942"/>
      <c r="I284" s="941"/>
      <c r="J284" s="942"/>
      <c r="K284" s="943"/>
      <c r="L284" s="941"/>
      <c r="M284" s="941"/>
      <c r="N284" s="944">
        <f>N23+N166</f>
        <v>3200</v>
      </c>
      <c r="O284" s="941"/>
      <c r="P284" s="941"/>
      <c r="Q284" s="941"/>
      <c r="R284" s="945">
        <f>R23+R166</f>
        <v>11.440000000000001</v>
      </c>
      <c r="U284" s="946">
        <f>U23+U166</f>
        <v>0</v>
      </c>
      <c r="V284" s="946">
        <f t="shared" ref="V284:AF284" si="217">V23+V166</f>
        <v>250</v>
      </c>
      <c r="W284" s="946">
        <f t="shared" si="217"/>
        <v>370</v>
      </c>
      <c r="X284" s="946">
        <f t="shared" si="217"/>
        <v>120</v>
      </c>
      <c r="Y284" s="946">
        <f t="shared" si="217"/>
        <v>120</v>
      </c>
      <c r="Z284" s="946">
        <f t="shared" si="217"/>
        <v>120</v>
      </c>
      <c r="AA284" s="946">
        <f t="shared" si="217"/>
        <v>370</v>
      </c>
      <c r="AB284" s="946">
        <f t="shared" si="217"/>
        <v>370</v>
      </c>
      <c r="AC284" s="946">
        <f t="shared" si="217"/>
        <v>370</v>
      </c>
      <c r="AD284" s="946">
        <f t="shared" si="217"/>
        <v>370</v>
      </c>
      <c r="AE284" s="946">
        <f t="shared" si="217"/>
        <v>370</v>
      </c>
      <c r="AF284" s="946">
        <f t="shared" si="217"/>
        <v>370</v>
      </c>
      <c r="AG284" s="733">
        <f t="shared" si="184"/>
        <v>0</v>
      </c>
      <c r="AH284" s="208">
        <f t="shared" si="185"/>
        <v>620</v>
      </c>
      <c r="AI284" s="208">
        <f t="shared" si="186"/>
        <v>360</v>
      </c>
      <c r="AJ284" s="208">
        <f t="shared" si="187"/>
        <v>1110</v>
      </c>
      <c r="AK284" s="208">
        <f t="shared" si="188"/>
        <v>1110</v>
      </c>
      <c r="AL284" s="208">
        <f t="shared" si="189"/>
        <v>3200</v>
      </c>
      <c r="AN284" s="944">
        <f>AN23+AN166</f>
        <v>0</v>
      </c>
      <c r="AO284" s="944">
        <f t="shared" ref="AO284:AY284" si="218">AO23+AO166</f>
        <v>1.34</v>
      </c>
      <c r="AP284" s="944">
        <f t="shared" si="218"/>
        <v>1.4120000000000001</v>
      </c>
      <c r="AQ284" s="944">
        <f t="shared" si="218"/>
        <v>7.1999999999999995E-2</v>
      </c>
      <c r="AR284" s="944">
        <f t="shared" si="218"/>
        <v>7.1999999999999995E-2</v>
      </c>
      <c r="AS284" s="944">
        <f t="shared" si="218"/>
        <v>7.1999999999999995E-2</v>
      </c>
      <c r="AT284" s="944">
        <f t="shared" si="218"/>
        <v>1.4120000000000001</v>
      </c>
      <c r="AU284" s="944">
        <f t="shared" si="218"/>
        <v>1.4120000000000001</v>
      </c>
      <c r="AV284" s="944">
        <f t="shared" si="218"/>
        <v>1.4120000000000001</v>
      </c>
      <c r="AW284" s="944">
        <f t="shared" si="218"/>
        <v>1.4120000000000001</v>
      </c>
      <c r="AX284" s="944">
        <f t="shared" si="218"/>
        <v>1.4120000000000001</v>
      </c>
      <c r="AY284" s="944">
        <f t="shared" si="218"/>
        <v>1.4120000000000001</v>
      </c>
      <c r="AZ284" s="895">
        <f t="shared" si="206"/>
        <v>0</v>
      </c>
      <c r="BA284" s="636">
        <f t="shared" si="192"/>
        <v>2.7520000000000002</v>
      </c>
      <c r="BB284" s="636">
        <f t="shared" si="193"/>
        <v>0.21599999999999997</v>
      </c>
      <c r="BC284" s="636">
        <f t="shared" si="194"/>
        <v>4.2360000000000007</v>
      </c>
      <c r="BD284" s="636">
        <f t="shared" si="195"/>
        <v>4.2360000000000007</v>
      </c>
      <c r="BE284" s="683">
        <f t="shared" si="196"/>
        <v>11.440000000000001</v>
      </c>
    </row>
    <row r="285" spans="3:256">
      <c r="C285" s="947" t="s">
        <v>318</v>
      </c>
      <c r="D285" s="941"/>
      <c r="E285" s="941"/>
      <c r="F285" s="941"/>
      <c r="G285" s="942"/>
      <c r="H285" s="942"/>
      <c r="I285" s="941"/>
      <c r="J285" s="942"/>
      <c r="K285" s="943"/>
      <c r="L285" s="941"/>
      <c r="M285" s="941"/>
      <c r="N285" s="944">
        <f>N168+N175</f>
        <v>875</v>
      </c>
      <c r="O285" s="941"/>
      <c r="P285" s="941"/>
      <c r="Q285" s="941"/>
      <c r="R285" s="945">
        <f>R168+R175</f>
        <v>8.2249999999999996</v>
      </c>
      <c r="U285" s="946">
        <f>U168+U175</f>
        <v>0</v>
      </c>
      <c r="V285" s="946">
        <f t="shared" ref="V285:AF285" si="219">V168+V175</f>
        <v>18</v>
      </c>
      <c r="W285" s="946">
        <f t="shared" si="219"/>
        <v>0</v>
      </c>
      <c r="X285" s="946">
        <f t="shared" si="219"/>
        <v>54</v>
      </c>
      <c r="Y285" s="946">
        <f t="shared" si="219"/>
        <v>0</v>
      </c>
      <c r="Z285" s="946">
        <f t="shared" si="219"/>
        <v>304</v>
      </c>
      <c r="AA285" s="946">
        <f t="shared" si="219"/>
        <v>54</v>
      </c>
      <c r="AB285" s="946">
        <f t="shared" si="219"/>
        <v>0</v>
      </c>
      <c r="AC285" s="946">
        <f t="shared" si="219"/>
        <v>54</v>
      </c>
      <c r="AD285" s="946">
        <f t="shared" si="219"/>
        <v>304</v>
      </c>
      <c r="AE285" s="946">
        <f t="shared" si="219"/>
        <v>54</v>
      </c>
      <c r="AF285" s="946">
        <f t="shared" si="219"/>
        <v>33</v>
      </c>
      <c r="AG285" s="733">
        <f t="shared" si="184"/>
        <v>0</v>
      </c>
      <c r="AH285" s="208">
        <f t="shared" si="185"/>
        <v>18</v>
      </c>
      <c r="AI285" s="208">
        <f t="shared" si="186"/>
        <v>358</v>
      </c>
      <c r="AJ285" s="208">
        <f t="shared" si="187"/>
        <v>108</v>
      </c>
      <c r="AK285" s="208">
        <f t="shared" si="188"/>
        <v>391</v>
      </c>
      <c r="AL285" s="208">
        <f t="shared" si="189"/>
        <v>875</v>
      </c>
      <c r="AN285" s="944">
        <f>AN168+AN175</f>
        <v>0</v>
      </c>
      <c r="AO285" s="944">
        <f t="shared" ref="AO285:AY285" si="220">AO168+AO175</f>
        <v>0.2268</v>
      </c>
      <c r="AP285" s="944">
        <f t="shared" si="220"/>
        <v>0</v>
      </c>
      <c r="AQ285" s="944">
        <f t="shared" si="220"/>
        <v>0.6804</v>
      </c>
      <c r="AR285" s="944">
        <f t="shared" si="220"/>
        <v>0</v>
      </c>
      <c r="AS285" s="944">
        <f t="shared" si="220"/>
        <v>2.4304000000000001</v>
      </c>
      <c r="AT285" s="944">
        <f t="shared" si="220"/>
        <v>0.6804</v>
      </c>
      <c r="AU285" s="944">
        <f t="shared" si="220"/>
        <v>0</v>
      </c>
      <c r="AV285" s="944">
        <f t="shared" si="220"/>
        <v>0.6804</v>
      </c>
      <c r="AW285" s="944">
        <f t="shared" si="220"/>
        <v>2.4304000000000001</v>
      </c>
      <c r="AX285" s="944">
        <f t="shared" si="220"/>
        <v>0.6804</v>
      </c>
      <c r="AY285" s="944">
        <f t="shared" si="220"/>
        <v>0.4158</v>
      </c>
      <c r="AZ285" s="895">
        <f t="shared" si="206"/>
        <v>0</v>
      </c>
      <c r="BA285" s="636">
        <f t="shared" si="192"/>
        <v>0.2268</v>
      </c>
      <c r="BB285" s="636">
        <f t="shared" si="193"/>
        <v>3.1108000000000002</v>
      </c>
      <c r="BC285" s="636">
        <f t="shared" si="194"/>
        <v>1.3608</v>
      </c>
      <c r="BD285" s="636">
        <f t="shared" si="195"/>
        <v>3.5266000000000002</v>
      </c>
      <c r="BE285" s="683">
        <f t="shared" si="196"/>
        <v>8.2250000000000014</v>
      </c>
    </row>
    <row r="286" spans="3:256">
      <c r="C286" s="947" t="s">
        <v>567</v>
      </c>
      <c r="D286" s="941"/>
      <c r="E286" s="941"/>
      <c r="F286" s="941"/>
      <c r="G286" s="942"/>
      <c r="H286" s="942"/>
      <c r="I286" s="941"/>
      <c r="J286" s="942"/>
      <c r="K286" s="943"/>
      <c r="L286" s="941"/>
      <c r="M286" s="941"/>
      <c r="N286" s="944">
        <f>N18</f>
        <v>72</v>
      </c>
      <c r="O286" s="941"/>
      <c r="P286" s="941"/>
      <c r="Q286" s="941"/>
      <c r="R286" s="945">
        <f>R18</f>
        <v>2.0138094710226002</v>
      </c>
      <c r="U286" s="946">
        <f>U18</f>
        <v>0</v>
      </c>
      <c r="V286" s="946">
        <f t="shared" ref="V286:AF286" si="221">V18</f>
        <v>18</v>
      </c>
      <c r="W286" s="946">
        <f t="shared" si="221"/>
        <v>0</v>
      </c>
      <c r="X286" s="946">
        <f t="shared" si="221"/>
        <v>18</v>
      </c>
      <c r="Y286" s="946">
        <f t="shared" si="221"/>
        <v>0</v>
      </c>
      <c r="Z286" s="946">
        <f t="shared" si="221"/>
        <v>0</v>
      </c>
      <c r="AA286" s="946">
        <f t="shared" si="221"/>
        <v>18</v>
      </c>
      <c r="AB286" s="946">
        <f t="shared" si="221"/>
        <v>0</v>
      </c>
      <c r="AC286" s="946">
        <f t="shared" si="221"/>
        <v>0</v>
      </c>
      <c r="AD286" s="946">
        <f t="shared" si="221"/>
        <v>18</v>
      </c>
      <c r="AE286" s="946">
        <f t="shared" si="221"/>
        <v>0</v>
      </c>
      <c r="AF286" s="946">
        <f t="shared" si="221"/>
        <v>0</v>
      </c>
      <c r="AG286" s="733">
        <f t="shared" si="184"/>
        <v>0</v>
      </c>
      <c r="AH286" s="208">
        <f t="shared" si="185"/>
        <v>18</v>
      </c>
      <c r="AI286" s="208">
        <f t="shared" si="186"/>
        <v>18</v>
      </c>
      <c r="AJ286" s="208">
        <f t="shared" si="187"/>
        <v>18</v>
      </c>
      <c r="AK286" s="208">
        <f t="shared" si="188"/>
        <v>18</v>
      </c>
      <c r="AL286" s="208">
        <f t="shared" si="189"/>
        <v>72</v>
      </c>
      <c r="AN286" s="944">
        <f>AN18</f>
        <v>0</v>
      </c>
      <c r="AO286" s="944">
        <f t="shared" ref="AO286:AY286" si="222">AO18</f>
        <v>0.50345236775565005</v>
      </c>
      <c r="AP286" s="944">
        <f t="shared" si="222"/>
        <v>0</v>
      </c>
      <c r="AQ286" s="944">
        <f t="shared" si="222"/>
        <v>0.50345236775565005</v>
      </c>
      <c r="AR286" s="944">
        <f t="shared" si="222"/>
        <v>0</v>
      </c>
      <c r="AS286" s="944">
        <f t="shared" si="222"/>
        <v>0</v>
      </c>
      <c r="AT286" s="944">
        <f t="shared" si="222"/>
        <v>0.50345236775565005</v>
      </c>
      <c r="AU286" s="944">
        <f t="shared" si="222"/>
        <v>0</v>
      </c>
      <c r="AV286" s="944">
        <f t="shared" si="222"/>
        <v>0</v>
      </c>
      <c r="AW286" s="944">
        <f t="shared" si="222"/>
        <v>0.50345236775565005</v>
      </c>
      <c r="AX286" s="944">
        <f t="shared" si="222"/>
        <v>0</v>
      </c>
      <c r="AY286" s="944">
        <f t="shared" si="222"/>
        <v>0</v>
      </c>
      <c r="AZ286" s="895">
        <f t="shared" si="206"/>
        <v>0</v>
      </c>
      <c r="BA286" s="636">
        <f t="shared" si="192"/>
        <v>0.50345236775565005</v>
      </c>
      <c r="BB286" s="636">
        <f t="shared" si="193"/>
        <v>0.50345236775565005</v>
      </c>
      <c r="BC286" s="636">
        <f t="shared" si="194"/>
        <v>0.50345236775565005</v>
      </c>
      <c r="BD286" s="636">
        <f t="shared" si="195"/>
        <v>0.50345236775565005</v>
      </c>
      <c r="BE286" s="683">
        <f t="shared" si="196"/>
        <v>2.0138094710226002</v>
      </c>
    </row>
    <row r="287" spans="3:256">
      <c r="C287" s="947" t="s">
        <v>547</v>
      </c>
      <c r="D287" s="941"/>
      <c r="E287" s="941"/>
      <c r="F287" s="941"/>
      <c r="G287" s="942"/>
      <c r="H287" s="942"/>
      <c r="I287" s="941"/>
      <c r="J287" s="942"/>
      <c r="K287" s="943"/>
      <c r="L287" s="941"/>
      <c r="M287" s="941"/>
      <c r="N287" s="944">
        <f>SUM(N224:N232)</f>
        <v>29.25</v>
      </c>
      <c r="O287" s="941"/>
      <c r="P287" s="941"/>
      <c r="Q287" s="941"/>
      <c r="R287" s="945">
        <f>SUM(R224:R232)</f>
        <v>2.5321249999999997</v>
      </c>
      <c r="U287" s="946">
        <f>SUM(U224:U232)</f>
        <v>0</v>
      </c>
      <c r="V287" s="946">
        <f t="shared" ref="V287:AF287" si="223">SUM(V224:V232)</f>
        <v>0</v>
      </c>
      <c r="W287" s="946">
        <f t="shared" si="223"/>
        <v>0</v>
      </c>
      <c r="X287" s="946">
        <f t="shared" si="223"/>
        <v>0</v>
      </c>
      <c r="Y287" s="946">
        <f t="shared" si="223"/>
        <v>0</v>
      </c>
      <c r="Z287" s="946">
        <f t="shared" si="223"/>
        <v>0</v>
      </c>
      <c r="AA287" s="946">
        <f t="shared" si="223"/>
        <v>0</v>
      </c>
      <c r="AB287" s="946">
        <f t="shared" si="223"/>
        <v>5.85</v>
      </c>
      <c r="AC287" s="946">
        <f t="shared" si="223"/>
        <v>5.85</v>
      </c>
      <c r="AD287" s="946">
        <f t="shared" si="223"/>
        <v>5.85</v>
      </c>
      <c r="AE287" s="946">
        <f t="shared" si="223"/>
        <v>5.85</v>
      </c>
      <c r="AF287" s="946">
        <f t="shared" si="223"/>
        <v>5.85</v>
      </c>
      <c r="AG287" s="733">
        <f t="shared" si="184"/>
        <v>0</v>
      </c>
      <c r="AH287" s="208">
        <f t="shared" si="185"/>
        <v>0</v>
      </c>
      <c r="AI287" s="208">
        <f t="shared" si="186"/>
        <v>0</v>
      </c>
      <c r="AJ287" s="208">
        <f t="shared" si="187"/>
        <v>11.7</v>
      </c>
      <c r="AK287" s="208">
        <f t="shared" si="188"/>
        <v>17.549999999999997</v>
      </c>
      <c r="AL287" s="208">
        <f t="shared" si="189"/>
        <v>29.249999999999996</v>
      </c>
      <c r="AN287" s="944">
        <f>SUM(AN224:AN232)</f>
        <v>0</v>
      </c>
      <c r="AO287" s="944">
        <f t="shared" ref="AO287:AY287" si="224">SUM(AO224:AO232)</f>
        <v>0</v>
      </c>
      <c r="AP287" s="944">
        <f t="shared" si="224"/>
        <v>0</v>
      </c>
      <c r="AQ287" s="944">
        <f t="shared" si="224"/>
        <v>0</v>
      </c>
      <c r="AR287" s="944">
        <f t="shared" si="224"/>
        <v>0</v>
      </c>
      <c r="AS287" s="944">
        <f t="shared" si="224"/>
        <v>0</v>
      </c>
      <c r="AT287" s="944">
        <f t="shared" si="224"/>
        <v>0</v>
      </c>
      <c r="AU287" s="944">
        <f t="shared" si="224"/>
        <v>0.50642500000000001</v>
      </c>
      <c r="AV287" s="944">
        <f t="shared" si="224"/>
        <v>0.50642500000000001</v>
      </c>
      <c r="AW287" s="944">
        <f t="shared" si="224"/>
        <v>0.50642500000000001</v>
      </c>
      <c r="AX287" s="944">
        <f t="shared" si="224"/>
        <v>0.50642500000000001</v>
      </c>
      <c r="AY287" s="944">
        <f t="shared" si="224"/>
        <v>0.50642500000000001</v>
      </c>
      <c r="AZ287" s="895">
        <f t="shared" si="206"/>
        <v>0</v>
      </c>
      <c r="BA287" s="636">
        <f t="shared" si="192"/>
        <v>0</v>
      </c>
      <c r="BB287" s="636">
        <f t="shared" si="193"/>
        <v>0</v>
      </c>
      <c r="BC287" s="636">
        <f t="shared" si="194"/>
        <v>1.01285</v>
      </c>
      <c r="BD287" s="636">
        <f t="shared" si="195"/>
        <v>1.5192749999999999</v>
      </c>
      <c r="BE287" s="683">
        <f t="shared" si="196"/>
        <v>2.5321249999999997</v>
      </c>
    </row>
    <row r="288" spans="3:256">
      <c r="C288" s="947" t="s">
        <v>568</v>
      </c>
      <c r="D288" s="941"/>
      <c r="E288" s="941"/>
      <c r="F288" s="941"/>
      <c r="G288" s="942"/>
      <c r="H288" s="942"/>
      <c r="I288" s="941"/>
      <c r="J288" s="942"/>
      <c r="K288" s="943"/>
      <c r="L288" s="941"/>
      <c r="M288" s="941"/>
      <c r="N288" s="944">
        <f>N220+N221+N222</f>
        <v>5.12</v>
      </c>
      <c r="O288" s="941"/>
      <c r="P288" s="941"/>
      <c r="Q288" s="941"/>
      <c r="R288" s="945">
        <f>R220+R221+R222</f>
        <v>3.7623929482422138</v>
      </c>
      <c r="U288" s="946">
        <f>U220+U221+U222</f>
        <v>0</v>
      </c>
      <c r="V288" s="946">
        <f t="shared" ref="V288:AF288" si="225">V220+V221+V222</f>
        <v>0</v>
      </c>
      <c r="W288" s="946">
        <f t="shared" si="225"/>
        <v>1.7066666666666666</v>
      </c>
      <c r="X288" s="946">
        <f t="shared" si="225"/>
        <v>0</v>
      </c>
      <c r="Y288" s="946">
        <f t="shared" si="225"/>
        <v>0</v>
      </c>
      <c r="Z288" s="946">
        <f t="shared" si="225"/>
        <v>1.7066666666666666</v>
      </c>
      <c r="AA288" s="946">
        <f t="shared" si="225"/>
        <v>0</v>
      </c>
      <c r="AB288" s="946">
        <f t="shared" si="225"/>
        <v>0</v>
      </c>
      <c r="AC288" s="946">
        <f t="shared" si="225"/>
        <v>1.7066666666666666</v>
      </c>
      <c r="AD288" s="946">
        <f t="shared" si="225"/>
        <v>0</v>
      </c>
      <c r="AE288" s="946">
        <f t="shared" si="225"/>
        <v>0</v>
      </c>
      <c r="AF288" s="946">
        <f t="shared" si="225"/>
        <v>0</v>
      </c>
      <c r="AG288" s="733">
        <f t="shared" si="184"/>
        <v>0</v>
      </c>
      <c r="AH288" s="208">
        <f t="shared" si="185"/>
        <v>1.7066666666666666</v>
      </c>
      <c r="AI288" s="208">
        <f t="shared" si="186"/>
        <v>1.7066666666666666</v>
      </c>
      <c r="AJ288" s="208">
        <f t="shared" si="187"/>
        <v>1.7066666666666666</v>
      </c>
      <c r="AK288" s="208">
        <f t="shared" si="188"/>
        <v>0</v>
      </c>
      <c r="AL288" s="208">
        <f t="shared" si="189"/>
        <v>5.1199999999999992</v>
      </c>
      <c r="AN288" s="944">
        <f>AN220+AN221+AN222</f>
        <v>0</v>
      </c>
      <c r="AO288" s="944">
        <f t="shared" ref="AO288:AY288" si="226">AO220+AO221+AO222</f>
        <v>0</v>
      </c>
      <c r="AP288" s="944">
        <f t="shared" si="226"/>
        <v>1.2541309827474048</v>
      </c>
      <c r="AQ288" s="944">
        <f t="shared" si="226"/>
        <v>0</v>
      </c>
      <c r="AR288" s="944">
        <f t="shared" si="226"/>
        <v>0</v>
      </c>
      <c r="AS288" s="944">
        <f t="shared" si="226"/>
        <v>1.2541309827474048</v>
      </c>
      <c r="AT288" s="944">
        <f t="shared" si="226"/>
        <v>0</v>
      </c>
      <c r="AU288" s="944">
        <f t="shared" si="226"/>
        <v>0</v>
      </c>
      <c r="AV288" s="944">
        <f t="shared" si="226"/>
        <v>1.2541309827474048</v>
      </c>
      <c r="AW288" s="944">
        <f t="shared" si="226"/>
        <v>0</v>
      </c>
      <c r="AX288" s="944">
        <f t="shared" si="226"/>
        <v>0</v>
      </c>
      <c r="AY288" s="944">
        <f t="shared" si="226"/>
        <v>0</v>
      </c>
      <c r="AZ288" s="895">
        <f t="shared" si="206"/>
        <v>0</v>
      </c>
      <c r="BA288" s="636">
        <f t="shared" si="192"/>
        <v>1.2541309827474048</v>
      </c>
      <c r="BB288" s="636">
        <f t="shared" si="193"/>
        <v>1.2541309827474048</v>
      </c>
      <c r="BC288" s="636">
        <f t="shared" si="194"/>
        <v>1.2541309827474048</v>
      </c>
      <c r="BD288" s="636">
        <f t="shared" si="195"/>
        <v>0</v>
      </c>
      <c r="BE288" s="683">
        <f t="shared" si="196"/>
        <v>3.7623929482422143</v>
      </c>
    </row>
    <row r="289" spans="3:57">
      <c r="C289" s="947" t="s">
        <v>569</v>
      </c>
      <c r="D289" s="941"/>
      <c r="E289" s="941"/>
      <c r="F289" s="941"/>
      <c r="G289" s="942"/>
      <c r="H289" s="942"/>
      <c r="I289" s="941"/>
      <c r="J289" s="942"/>
      <c r="K289" s="943"/>
      <c r="L289" s="941"/>
      <c r="M289" s="941"/>
      <c r="N289" s="944">
        <f>N190/4</f>
        <v>17.95</v>
      </c>
      <c r="O289" s="941"/>
      <c r="P289" s="941"/>
      <c r="Q289" s="941"/>
      <c r="R289" s="945">
        <f>R190/4</f>
        <v>2.1928143091034862</v>
      </c>
      <c r="U289" s="946">
        <f>U190/4</f>
        <v>1.4958333333333333</v>
      </c>
      <c r="V289" s="946">
        <f t="shared" ref="V289:AF289" si="227">V190/4</f>
        <v>1.4958333333333333</v>
      </c>
      <c r="W289" s="946">
        <f t="shared" si="227"/>
        <v>1.4958333333333333</v>
      </c>
      <c r="X289" s="946">
        <f t="shared" si="227"/>
        <v>1.4958333333333333</v>
      </c>
      <c r="Y289" s="946">
        <f t="shared" si="227"/>
        <v>1.4958333333333333</v>
      </c>
      <c r="Z289" s="946">
        <f t="shared" si="227"/>
        <v>1.4958333333333333</v>
      </c>
      <c r="AA289" s="946">
        <f t="shared" si="227"/>
        <v>1.4958333333333333</v>
      </c>
      <c r="AB289" s="946">
        <f t="shared" si="227"/>
        <v>1.4958333333333333</v>
      </c>
      <c r="AC289" s="946">
        <f t="shared" si="227"/>
        <v>1.4958333333333333</v>
      </c>
      <c r="AD289" s="946">
        <f t="shared" si="227"/>
        <v>1.4958333333333333</v>
      </c>
      <c r="AE289" s="946">
        <f t="shared" si="227"/>
        <v>1.4958333333333333</v>
      </c>
      <c r="AF289" s="946">
        <f t="shared" si="227"/>
        <v>1.4958333333333333</v>
      </c>
      <c r="AG289" s="733">
        <f t="shared" si="184"/>
        <v>0</v>
      </c>
      <c r="AH289" s="208">
        <f t="shared" si="185"/>
        <v>4.4874999999999998</v>
      </c>
      <c r="AI289" s="208">
        <f t="shared" si="186"/>
        <v>4.4874999999999998</v>
      </c>
      <c r="AJ289" s="208">
        <f t="shared" si="187"/>
        <v>4.4874999999999998</v>
      </c>
      <c r="AK289" s="208">
        <f t="shared" si="188"/>
        <v>4.4874999999999998</v>
      </c>
      <c r="AL289" s="208">
        <f t="shared" si="189"/>
        <v>17.95</v>
      </c>
      <c r="AN289" s="944">
        <f>AN190/4</f>
        <v>0.18273452575862387</v>
      </c>
      <c r="AO289" s="944">
        <f t="shared" ref="AO289:AY289" si="228">AO190/4</f>
        <v>0.18273452575862387</v>
      </c>
      <c r="AP289" s="944">
        <f t="shared" si="228"/>
        <v>0.18273452575862387</v>
      </c>
      <c r="AQ289" s="944">
        <f t="shared" si="228"/>
        <v>0.18273452575862387</v>
      </c>
      <c r="AR289" s="944">
        <f t="shared" si="228"/>
        <v>0.18273452575862387</v>
      </c>
      <c r="AS289" s="944">
        <f t="shared" si="228"/>
        <v>0.18273452575862387</v>
      </c>
      <c r="AT289" s="944">
        <f t="shared" si="228"/>
        <v>0.18273452575862387</v>
      </c>
      <c r="AU289" s="944">
        <f t="shared" si="228"/>
        <v>0.18273452575862387</v>
      </c>
      <c r="AV289" s="944">
        <f t="shared" si="228"/>
        <v>0.18273452575862387</v>
      </c>
      <c r="AW289" s="944">
        <f t="shared" si="228"/>
        <v>0.18273452575862387</v>
      </c>
      <c r="AX289" s="944">
        <f t="shared" si="228"/>
        <v>0.18273452575862387</v>
      </c>
      <c r="AY289" s="944">
        <f t="shared" si="228"/>
        <v>0.18273452575862387</v>
      </c>
      <c r="AZ289" s="895">
        <f t="shared" si="206"/>
        <v>0</v>
      </c>
      <c r="BA289" s="636">
        <f t="shared" si="192"/>
        <v>0.54820357727587155</v>
      </c>
      <c r="BB289" s="636">
        <f t="shared" si="193"/>
        <v>0.54820357727587155</v>
      </c>
      <c r="BC289" s="636">
        <f t="shared" si="194"/>
        <v>0.54820357727587155</v>
      </c>
      <c r="BD289" s="636">
        <f t="shared" si="195"/>
        <v>0.54820357727587155</v>
      </c>
      <c r="BE289" s="683">
        <f t="shared" si="196"/>
        <v>2.1928143091034862</v>
      </c>
    </row>
    <row r="290" spans="3:57">
      <c r="C290" s="947" t="s">
        <v>272</v>
      </c>
      <c r="D290" s="941"/>
      <c r="E290" s="941"/>
      <c r="F290" s="941"/>
      <c r="G290" s="942"/>
      <c r="H290" s="942"/>
      <c r="I290" s="941"/>
      <c r="J290" s="942"/>
      <c r="K290" s="943"/>
      <c r="L290" s="941"/>
      <c r="M290" s="941"/>
      <c r="N290" s="944">
        <f>N147</f>
        <v>300</v>
      </c>
      <c r="O290" s="941"/>
      <c r="P290" s="941"/>
      <c r="Q290" s="941"/>
      <c r="R290" s="945">
        <f>R147</f>
        <v>2.7843017934750001</v>
      </c>
      <c r="U290" s="946">
        <f>U147</f>
        <v>0</v>
      </c>
      <c r="V290" s="946">
        <f t="shared" ref="V290:AF290" si="229">V147</f>
        <v>0</v>
      </c>
      <c r="W290" s="946">
        <f t="shared" si="229"/>
        <v>100</v>
      </c>
      <c r="X290" s="946">
        <f t="shared" si="229"/>
        <v>0</v>
      </c>
      <c r="Y290" s="946">
        <f t="shared" si="229"/>
        <v>0</v>
      </c>
      <c r="Z290" s="946">
        <f t="shared" si="229"/>
        <v>0</v>
      </c>
      <c r="AA290" s="946">
        <f t="shared" si="229"/>
        <v>100</v>
      </c>
      <c r="AB290" s="946">
        <f t="shared" si="229"/>
        <v>0</v>
      </c>
      <c r="AC290" s="946">
        <f t="shared" si="229"/>
        <v>0</v>
      </c>
      <c r="AD290" s="946">
        <f t="shared" si="229"/>
        <v>0</v>
      </c>
      <c r="AE290" s="946">
        <f t="shared" si="229"/>
        <v>100</v>
      </c>
      <c r="AF290" s="946">
        <f t="shared" si="229"/>
        <v>0</v>
      </c>
      <c r="AG290" s="733">
        <f t="shared" si="184"/>
        <v>0</v>
      </c>
      <c r="AH290" s="208">
        <f t="shared" si="185"/>
        <v>100</v>
      </c>
      <c r="AI290" s="208">
        <f t="shared" si="186"/>
        <v>0</v>
      </c>
      <c r="AJ290" s="208">
        <f t="shared" si="187"/>
        <v>100</v>
      </c>
      <c r="AK290" s="208">
        <f t="shared" si="188"/>
        <v>100</v>
      </c>
      <c r="AL290" s="208">
        <f t="shared" si="189"/>
        <v>300</v>
      </c>
      <c r="AN290" s="944">
        <f>AN147</f>
        <v>0</v>
      </c>
      <c r="AO290" s="944">
        <f t="shared" ref="AO290:AY290" si="230">AO147</f>
        <v>0</v>
      </c>
      <c r="AP290" s="944">
        <f t="shared" si="230"/>
        <v>0.9281005978250001</v>
      </c>
      <c r="AQ290" s="944">
        <f t="shared" si="230"/>
        <v>0</v>
      </c>
      <c r="AR290" s="944">
        <f t="shared" si="230"/>
        <v>0</v>
      </c>
      <c r="AS290" s="944">
        <f t="shared" si="230"/>
        <v>0</v>
      </c>
      <c r="AT290" s="944">
        <f t="shared" si="230"/>
        <v>0.9281005978250001</v>
      </c>
      <c r="AU290" s="944">
        <f t="shared" si="230"/>
        <v>0</v>
      </c>
      <c r="AV290" s="944">
        <f t="shared" si="230"/>
        <v>0</v>
      </c>
      <c r="AW290" s="944">
        <f t="shared" si="230"/>
        <v>0</v>
      </c>
      <c r="AX290" s="944">
        <f t="shared" si="230"/>
        <v>0.9281005978250001</v>
      </c>
      <c r="AY290" s="944">
        <f t="shared" si="230"/>
        <v>0</v>
      </c>
      <c r="AZ290" s="895">
        <f t="shared" si="206"/>
        <v>0</v>
      </c>
      <c r="BA290" s="636">
        <f t="shared" si="192"/>
        <v>0.9281005978250001</v>
      </c>
      <c r="BB290" s="636">
        <f t="shared" si="193"/>
        <v>0</v>
      </c>
      <c r="BC290" s="636">
        <f t="shared" si="194"/>
        <v>0.9281005978250001</v>
      </c>
      <c r="BD290" s="636">
        <f t="shared" si="195"/>
        <v>0.9281005978250001</v>
      </c>
      <c r="BE290" s="683">
        <f t="shared" si="196"/>
        <v>2.7843017934750005</v>
      </c>
    </row>
    <row r="291" spans="3:57">
      <c r="C291" s="948" t="s">
        <v>348</v>
      </c>
      <c r="D291" s="949"/>
      <c r="E291" s="949"/>
      <c r="F291" s="949"/>
      <c r="G291" s="950"/>
      <c r="H291" s="950"/>
      <c r="I291" s="949"/>
      <c r="J291" s="950"/>
      <c r="K291" s="951"/>
      <c r="L291" s="949"/>
      <c r="M291" s="949"/>
      <c r="N291" s="952">
        <f>SUM(N277:N290)</f>
        <v>6342.62</v>
      </c>
      <c r="O291" s="949"/>
      <c r="P291" s="949"/>
      <c r="Q291" s="949"/>
      <c r="R291" s="953">
        <f>SUM(R277:R290)</f>
        <v>55.759636835412316</v>
      </c>
      <c r="U291" s="954">
        <f>SUM(U277:U290)</f>
        <v>79.095833333333331</v>
      </c>
      <c r="V291" s="954">
        <f t="shared" ref="V291:AF291" si="231">SUM(V277:V290)</f>
        <v>422.09583333333336</v>
      </c>
      <c r="W291" s="954">
        <f t="shared" si="231"/>
        <v>613.20249999999999</v>
      </c>
      <c r="X291" s="954">
        <f t="shared" si="231"/>
        <v>366.29583333333335</v>
      </c>
      <c r="Y291" s="954">
        <f t="shared" si="231"/>
        <v>267.49583333333334</v>
      </c>
      <c r="Z291" s="954">
        <f t="shared" si="231"/>
        <v>589.80250000000001</v>
      </c>
      <c r="AA291" s="954">
        <f t="shared" si="231"/>
        <v>696.99583333333328</v>
      </c>
      <c r="AB291" s="954">
        <f t="shared" si="231"/>
        <v>538.3458333333333</v>
      </c>
      <c r="AC291" s="954">
        <f t="shared" si="231"/>
        <v>622.05250000000001</v>
      </c>
      <c r="AD291" s="954">
        <f t="shared" si="231"/>
        <v>906.64583333333326</v>
      </c>
      <c r="AE291" s="954">
        <f t="shared" si="231"/>
        <v>690.54583333333335</v>
      </c>
      <c r="AF291" s="954">
        <f t="shared" si="231"/>
        <v>550.04583333333335</v>
      </c>
      <c r="AG291" s="733">
        <f t="shared" si="184"/>
        <v>0</v>
      </c>
      <c r="AH291" s="208">
        <f t="shared" si="185"/>
        <v>1114.3941666666667</v>
      </c>
      <c r="AI291" s="208">
        <f t="shared" si="186"/>
        <v>1223.5941666666668</v>
      </c>
      <c r="AJ291" s="208">
        <f t="shared" si="187"/>
        <v>1857.3941666666667</v>
      </c>
      <c r="AK291" s="208">
        <f t="shared" si="188"/>
        <v>2147.2375000000002</v>
      </c>
      <c r="AL291" s="208">
        <f t="shared" si="189"/>
        <v>6342.6200000000008</v>
      </c>
      <c r="AN291" s="952">
        <f>SUM(AN277:AN290)</f>
        <v>1.1259670896087235</v>
      </c>
      <c r="AO291" s="952">
        <f t="shared" ref="AO291:AY291" si="232">SUM(AO277:AO290)</f>
        <v>3.8187826971278973</v>
      </c>
      <c r="AP291" s="952">
        <f t="shared" si="232"/>
        <v>5.5741095382162138</v>
      </c>
      <c r="AQ291" s="952">
        <f t="shared" si="232"/>
        <v>3.6258307590832262</v>
      </c>
      <c r="AR291" s="952">
        <f t="shared" si="232"/>
        <v>2.0276494430415704</v>
      </c>
      <c r="AS291" s="952">
        <f t="shared" si="232"/>
        <v>5.8981518470000314</v>
      </c>
      <c r="AT291" s="952">
        <f t="shared" si="232"/>
        <v>5.6961052181295075</v>
      </c>
      <c r="AU291" s="952">
        <f t="shared" si="232"/>
        <v>4.095914474475455</v>
      </c>
      <c r="AV291" s="952">
        <f t="shared" si="232"/>
        <v>6.2988279874297763</v>
      </c>
      <c r="AW291" s="952">
        <f t="shared" si="232"/>
        <v>7.5684934686251522</v>
      </c>
      <c r="AX291" s="952">
        <f t="shared" si="232"/>
        <v>5.6522383761143802</v>
      </c>
      <c r="AY291" s="952">
        <f t="shared" si="232"/>
        <v>4.3775659365603836</v>
      </c>
      <c r="AZ291" s="895">
        <f t="shared" si="206"/>
        <v>0</v>
      </c>
      <c r="BA291" s="636">
        <f t="shared" si="192"/>
        <v>10.518859324952835</v>
      </c>
      <c r="BB291" s="636">
        <f t="shared" si="193"/>
        <v>11.551632049124828</v>
      </c>
      <c r="BC291" s="636">
        <f t="shared" si="194"/>
        <v>16.090847680034742</v>
      </c>
      <c r="BD291" s="636">
        <f t="shared" si="195"/>
        <v>17.598297781299916</v>
      </c>
      <c r="BE291" s="683">
        <f t="shared" si="196"/>
        <v>55.759636835412323</v>
      </c>
    </row>
    <row r="292" spans="3:57">
      <c r="AH292" s="208">
        <f t="shared" si="185"/>
        <v>0</v>
      </c>
      <c r="AI292" s="208">
        <f t="shared" si="186"/>
        <v>0</v>
      </c>
      <c r="AJ292" s="208">
        <f t="shared" si="187"/>
        <v>0</v>
      </c>
      <c r="AK292" s="208">
        <f t="shared" si="188"/>
        <v>0</v>
      </c>
      <c r="AL292" s="208">
        <f t="shared" si="189"/>
        <v>0</v>
      </c>
      <c r="AN292" s="928"/>
      <c r="AO292" s="928"/>
      <c r="AP292" s="928"/>
      <c r="AQ292" s="928"/>
      <c r="AS292" s="928"/>
      <c r="AT292" s="928"/>
      <c r="AU292" s="928"/>
      <c r="AV292" s="928"/>
      <c r="AW292" s="928"/>
      <c r="AX292" s="928"/>
      <c r="AY292" s="928"/>
      <c r="AZ292" s="928"/>
      <c r="BA292" s="928"/>
      <c r="BB292" s="928"/>
      <c r="BC292" s="928"/>
      <c r="BD292" s="928"/>
      <c r="BE292" s="928"/>
    </row>
    <row r="293" spans="3:57">
      <c r="AN293" s="928"/>
      <c r="AO293" s="928"/>
      <c r="AP293" s="928"/>
      <c r="AQ293" s="928"/>
      <c r="AS293" s="928"/>
      <c r="AT293" s="928"/>
      <c r="AU293" s="928"/>
      <c r="AV293" s="928"/>
      <c r="AW293" s="928"/>
      <c r="AX293" s="928"/>
      <c r="AY293" s="928"/>
      <c r="AZ293" s="928"/>
      <c r="BA293" s="928"/>
      <c r="BB293" s="928"/>
      <c r="BC293" s="928"/>
      <c r="BD293" s="928"/>
      <c r="BE293" s="928"/>
    </row>
    <row r="294" spans="3:57">
      <c r="C294" s="955" t="s">
        <v>55</v>
      </c>
      <c r="AN294" s="928"/>
      <c r="AO294" s="928"/>
      <c r="AP294" s="928"/>
      <c r="AQ294" s="928"/>
      <c r="AS294" s="928"/>
      <c r="AT294" s="928"/>
      <c r="AU294" s="928"/>
      <c r="AV294" s="928"/>
      <c r="AW294" s="928"/>
      <c r="AX294" s="928"/>
      <c r="AY294" s="928"/>
      <c r="AZ294" s="928"/>
      <c r="BA294" s="928"/>
      <c r="BB294" s="928"/>
      <c r="BC294" s="928"/>
      <c r="BD294" s="928"/>
      <c r="BE294" s="928"/>
    </row>
    <row r="295" spans="3:57">
      <c r="C295" s="955" t="s">
        <v>26</v>
      </c>
      <c r="N295" s="959">
        <f>SUM(N$7:N$19)</f>
        <v>10293.900000000001</v>
      </c>
      <c r="R295" s="959">
        <f>SUM(R$7:R$19)</f>
        <v>127.86342137176302</v>
      </c>
      <c r="U295" s="959">
        <f t="shared" ref="U295:BE295" si="233">SUM(U$7:U$19)</f>
        <v>841.8</v>
      </c>
      <c r="V295" s="959">
        <f t="shared" si="233"/>
        <v>823.8</v>
      </c>
      <c r="W295" s="959">
        <f t="shared" si="233"/>
        <v>972</v>
      </c>
      <c r="X295" s="959">
        <f t="shared" si="233"/>
        <v>807.3</v>
      </c>
      <c r="Y295" s="959">
        <f t="shared" si="233"/>
        <v>814.8</v>
      </c>
      <c r="Z295" s="959">
        <f t="shared" si="233"/>
        <v>1242</v>
      </c>
      <c r="AA295" s="959">
        <f t="shared" si="233"/>
        <v>769.5</v>
      </c>
      <c r="AB295" s="959">
        <f t="shared" si="233"/>
        <v>753.6</v>
      </c>
      <c r="AC295" s="959">
        <f t="shared" si="233"/>
        <v>828</v>
      </c>
      <c r="AD295" s="959">
        <f t="shared" si="233"/>
        <v>774</v>
      </c>
      <c r="AE295" s="959">
        <f t="shared" si="233"/>
        <v>730.8</v>
      </c>
      <c r="AF295" s="959">
        <f t="shared" si="233"/>
        <v>936.3</v>
      </c>
      <c r="AH295" s="959">
        <f t="shared" si="233"/>
        <v>2637.6</v>
      </c>
      <c r="AI295" s="959">
        <f t="shared" si="233"/>
        <v>2864.1</v>
      </c>
      <c r="AJ295" s="959">
        <f t="shared" si="233"/>
        <v>2351.1</v>
      </c>
      <c r="AK295" s="959">
        <f t="shared" si="233"/>
        <v>2441.1</v>
      </c>
      <c r="AL295" s="959">
        <f t="shared" si="233"/>
        <v>10293.900000000001</v>
      </c>
      <c r="AN295" s="960">
        <f t="shared" si="233"/>
        <v>10.312258412529937</v>
      </c>
      <c r="AO295" s="960">
        <f t="shared" si="233"/>
        <v>10.484557308411834</v>
      </c>
      <c r="AP295" s="960">
        <f t="shared" si="233"/>
        <v>11.989222860396898</v>
      </c>
      <c r="AQ295" s="960">
        <f t="shared" si="233"/>
        <v>10.252255957850085</v>
      </c>
      <c r="AR295" s="960">
        <f t="shared" si="233"/>
        <v>10.016814658601913</v>
      </c>
      <c r="AS295" s="960">
        <f t="shared" si="233"/>
        <v>14.979196083009496</v>
      </c>
      <c r="AT295" s="960">
        <f t="shared" si="233"/>
        <v>9.791325922187589</v>
      </c>
      <c r="AU295" s="960">
        <f t="shared" si="233"/>
        <v>9.1660680121279352</v>
      </c>
      <c r="AV295" s="960">
        <f t="shared" si="233"/>
        <v>10.335206521848868</v>
      </c>
      <c r="AW295" s="960">
        <f t="shared" si="233"/>
        <v>9.8371067490129729</v>
      </c>
      <c r="AX295" s="960">
        <f t="shared" si="233"/>
        <v>9.0935930895219403</v>
      </c>
      <c r="AY295" s="960">
        <f t="shared" si="233"/>
        <v>11.60581579626357</v>
      </c>
      <c r="BA295" s="960">
        <f t="shared" si="233"/>
        <v>32.786038581338666</v>
      </c>
      <c r="BB295" s="960">
        <f t="shared" si="233"/>
        <v>35.248266699461489</v>
      </c>
      <c r="BC295" s="960">
        <f t="shared" si="233"/>
        <v>29.292600456164394</v>
      </c>
      <c r="BD295" s="960">
        <f t="shared" si="233"/>
        <v>30.536515634798487</v>
      </c>
      <c r="BE295" s="960">
        <f t="shared" si="233"/>
        <v>127.86342137176302</v>
      </c>
    </row>
    <row r="296" spans="3:57">
      <c r="C296" s="955" t="s">
        <v>49</v>
      </c>
      <c r="N296" s="959">
        <f>SUM(N20:N23)</f>
        <v>1200</v>
      </c>
      <c r="R296" s="959">
        <f>SUM(R20:R23)</f>
        <v>0.72</v>
      </c>
      <c r="U296" s="959">
        <f t="shared" ref="U296:AF296" si="234">SUM(U20:U23)</f>
        <v>0</v>
      </c>
      <c r="V296" s="959">
        <f t="shared" si="234"/>
        <v>0</v>
      </c>
      <c r="W296" s="959">
        <f t="shared" si="234"/>
        <v>120</v>
      </c>
      <c r="X296" s="959">
        <f t="shared" si="234"/>
        <v>120</v>
      </c>
      <c r="Y296" s="959">
        <f t="shared" si="234"/>
        <v>120</v>
      </c>
      <c r="Z296" s="959">
        <f t="shared" si="234"/>
        <v>120</v>
      </c>
      <c r="AA296" s="959">
        <f t="shared" si="234"/>
        <v>120</v>
      </c>
      <c r="AB296" s="959">
        <f t="shared" si="234"/>
        <v>120</v>
      </c>
      <c r="AC296" s="959">
        <f t="shared" si="234"/>
        <v>120</v>
      </c>
      <c r="AD296" s="959">
        <f t="shared" si="234"/>
        <v>120</v>
      </c>
      <c r="AE296" s="959">
        <f t="shared" si="234"/>
        <v>120</v>
      </c>
      <c r="AF296" s="959">
        <f t="shared" si="234"/>
        <v>120</v>
      </c>
      <c r="AH296" s="959">
        <f t="shared" ref="AH296:AL296" si="235">SUM(AH20:AH23)</f>
        <v>120</v>
      </c>
      <c r="AI296" s="959">
        <f t="shared" si="235"/>
        <v>360</v>
      </c>
      <c r="AJ296" s="959">
        <f t="shared" si="235"/>
        <v>360</v>
      </c>
      <c r="AK296" s="959">
        <f t="shared" si="235"/>
        <v>360</v>
      </c>
      <c r="AL296" s="959">
        <f t="shared" si="235"/>
        <v>1200</v>
      </c>
      <c r="AN296" s="960">
        <f t="shared" ref="AN296:AY296" si="236">SUM(AN20:AN23)</f>
        <v>0</v>
      </c>
      <c r="AO296" s="960">
        <f t="shared" si="236"/>
        <v>0</v>
      </c>
      <c r="AP296" s="960">
        <f t="shared" si="236"/>
        <v>7.1999999999999995E-2</v>
      </c>
      <c r="AQ296" s="960">
        <f t="shared" si="236"/>
        <v>7.1999999999999995E-2</v>
      </c>
      <c r="AR296" s="960">
        <f t="shared" si="236"/>
        <v>7.1999999999999995E-2</v>
      </c>
      <c r="AS296" s="960">
        <f t="shared" si="236"/>
        <v>7.1999999999999995E-2</v>
      </c>
      <c r="AT296" s="960">
        <f t="shared" si="236"/>
        <v>7.1999999999999995E-2</v>
      </c>
      <c r="AU296" s="960">
        <f t="shared" si="236"/>
        <v>7.1999999999999995E-2</v>
      </c>
      <c r="AV296" s="960">
        <f t="shared" si="236"/>
        <v>7.1999999999999995E-2</v>
      </c>
      <c r="AW296" s="960">
        <f t="shared" si="236"/>
        <v>7.1999999999999995E-2</v>
      </c>
      <c r="AX296" s="960">
        <f t="shared" si="236"/>
        <v>7.1999999999999995E-2</v>
      </c>
      <c r="AY296" s="960">
        <f t="shared" si="236"/>
        <v>7.1999999999999995E-2</v>
      </c>
      <c r="BA296" s="960">
        <f t="shared" ref="BA296:BE296" si="237">SUM(BA20:BA23)</f>
        <v>7.1999999999999995E-2</v>
      </c>
      <c r="BB296" s="960">
        <f t="shared" si="237"/>
        <v>0.21599999999999997</v>
      </c>
      <c r="BC296" s="960">
        <f t="shared" si="237"/>
        <v>0.21599999999999997</v>
      </c>
      <c r="BD296" s="960">
        <f t="shared" si="237"/>
        <v>0.21599999999999997</v>
      </c>
      <c r="BE296" s="960">
        <f t="shared" si="237"/>
        <v>0.72</v>
      </c>
    </row>
    <row r="297" spans="3:57">
      <c r="C297" s="955" t="s">
        <v>27</v>
      </c>
      <c r="N297" s="959">
        <f>SUM(N38)</f>
        <v>1450</v>
      </c>
      <c r="R297" s="959">
        <f>SUM(R38)</f>
        <v>11.931093528775705</v>
      </c>
      <c r="U297" s="959">
        <f t="shared" ref="U297:AF297" si="238">SUM(U38)</f>
        <v>80</v>
      </c>
      <c r="V297" s="959">
        <f t="shared" si="238"/>
        <v>71</v>
      </c>
      <c r="W297" s="959">
        <f t="shared" si="238"/>
        <v>79</v>
      </c>
      <c r="X297" s="959">
        <f t="shared" si="238"/>
        <v>79</v>
      </c>
      <c r="Y297" s="959">
        <f t="shared" si="238"/>
        <v>79</v>
      </c>
      <c r="Z297" s="959">
        <f t="shared" si="238"/>
        <v>79</v>
      </c>
      <c r="AA297" s="959">
        <f t="shared" si="238"/>
        <v>79</v>
      </c>
      <c r="AB297" s="959">
        <f t="shared" si="238"/>
        <v>79</v>
      </c>
      <c r="AC297" s="959">
        <f t="shared" si="238"/>
        <v>79</v>
      </c>
      <c r="AD297" s="959">
        <f t="shared" si="238"/>
        <v>191</v>
      </c>
      <c r="AE297" s="959">
        <f t="shared" si="238"/>
        <v>286</v>
      </c>
      <c r="AF297" s="959">
        <f t="shared" si="238"/>
        <v>269</v>
      </c>
      <c r="AH297" s="959">
        <f t="shared" ref="AH297:AL297" si="239">SUM(AH38)</f>
        <v>230</v>
      </c>
      <c r="AI297" s="959">
        <f t="shared" si="239"/>
        <v>237</v>
      </c>
      <c r="AJ297" s="959">
        <f t="shared" si="239"/>
        <v>237</v>
      </c>
      <c r="AK297" s="959">
        <f t="shared" si="239"/>
        <v>746</v>
      </c>
      <c r="AL297" s="959">
        <f t="shared" si="239"/>
        <v>1450</v>
      </c>
      <c r="AN297" s="960">
        <f t="shared" ref="AN297:AY297" si="240">SUM(AN38)</f>
        <v>0.65826722917383207</v>
      </c>
      <c r="AO297" s="960">
        <f t="shared" si="240"/>
        <v>0.58421216589177583</v>
      </c>
      <c r="AP297" s="960">
        <f t="shared" si="240"/>
        <v>0.65003888880915917</v>
      </c>
      <c r="AQ297" s="960">
        <f t="shared" si="240"/>
        <v>0.65003888880915917</v>
      </c>
      <c r="AR297" s="960">
        <f t="shared" si="240"/>
        <v>0.65003888880915917</v>
      </c>
      <c r="AS297" s="960">
        <f t="shared" si="240"/>
        <v>0.65003888880915917</v>
      </c>
      <c r="AT297" s="960">
        <f t="shared" si="240"/>
        <v>0.65003888880915917</v>
      </c>
      <c r="AU297" s="960">
        <f t="shared" si="240"/>
        <v>0.65003888880915917</v>
      </c>
      <c r="AV297" s="960">
        <f t="shared" si="240"/>
        <v>0.65003888880915917</v>
      </c>
      <c r="AW297" s="960">
        <f t="shared" si="240"/>
        <v>1.5716130096525238</v>
      </c>
      <c r="AX297" s="960">
        <f t="shared" si="240"/>
        <v>2.3533053442964493</v>
      </c>
      <c r="AY297" s="960">
        <f t="shared" si="240"/>
        <v>2.2134235580970101</v>
      </c>
      <c r="BA297" s="960">
        <f t="shared" ref="BA297:BE297" si="241">SUM(BA38)</f>
        <v>1.8925182838747672</v>
      </c>
      <c r="BB297" s="960">
        <f t="shared" si="241"/>
        <v>1.9501166664274776</v>
      </c>
      <c r="BC297" s="960">
        <f t="shared" si="241"/>
        <v>1.9501166664274776</v>
      </c>
      <c r="BD297" s="960">
        <f t="shared" si="241"/>
        <v>6.1383419120459832</v>
      </c>
      <c r="BE297" s="960">
        <f t="shared" si="241"/>
        <v>11.931093528775705</v>
      </c>
    </row>
    <row r="298" spans="3:57">
      <c r="C298" s="955" t="s">
        <v>53</v>
      </c>
      <c r="N298" s="959">
        <f>SUM(N44:N46)</f>
        <v>945</v>
      </c>
      <c r="R298" s="959">
        <f>SUM(R44:R46)</f>
        <v>12.998099363035994</v>
      </c>
      <c r="U298" s="959">
        <f t="shared" ref="U298:AF298" si="242">SUM(U44:U46)</f>
        <v>49</v>
      </c>
      <c r="V298" s="959">
        <f t="shared" si="242"/>
        <v>93</v>
      </c>
      <c r="W298" s="959">
        <f t="shared" si="242"/>
        <v>92</v>
      </c>
      <c r="X298" s="959">
        <f t="shared" si="242"/>
        <v>94</v>
      </c>
      <c r="Y298" s="959">
        <f t="shared" si="242"/>
        <v>124</v>
      </c>
      <c r="Z298" s="959">
        <f t="shared" si="242"/>
        <v>124</v>
      </c>
      <c r="AA298" s="959">
        <f t="shared" si="242"/>
        <v>96</v>
      </c>
      <c r="AB298" s="959">
        <f t="shared" si="242"/>
        <v>79</v>
      </c>
      <c r="AC298" s="959">
        <f t="shared" si="242"/>
        <v>46</v>
      </c>
      <c r="AD298" s="959">
        <f t="shared" si="242"/>
        <v>61</v>
      </c>
      <c r="AE298" s="959">
        <f t="shared" si="242"/>
        <v>42</v>
      </c>
      <c r="AF298" s="959">
        <f t="shared" si="242"/>
        <v>45</v>
      </c>
      <c r="AH298" s="959">
        <f t="shared" ref="AH298:AL298" si="243">SUM(AH44:AH46)</f>
        <v>234</v>
      </c>
      <c r="AI298" s="959">
        <f t="shared" si="243"/>
        <v>342</v>
      </c>
      <c r="AJ298" s="959">
        <f t="shared" si="243"/>
        <v>221</v>
      </c>
      <c r="AK298" s="959">
        <f t="shared" si="243"/>
        <v>148</v>
      </c>
      <c r="AL298" s="959">
        <f t="shared" si="243"/>
        <v>945</v>
      </c>
      <c r="AN298" s="960">
        <f t="shared" ref="AN298:AY298" si="244">SUM(AN44:AN46)</f>
        <v>0.6747410925788494</v>
      </c>
      <c r="AO298" s="960">
        <f t="shared" si="244"/>
        <v>1.2810528979839089</v>
      </c>
      <c r="AP298" s="960">
        <f t="shared" si="244"/>
        <v>1.2655952927167045</v>
      </c>
      <c r="AQ298" s="960">
        <f t="shared" si="244"/>
        <v>1.3024163293592677</v>
      </c>
      <c r="AR298" s="960">
        <f t="shared" si="244"/>
        <v>1.712992052402007</v>
      </c>
      <c r="AS298" s="960">
        <f t="shared" si="244"/>
        <v>1.6893687479693891</v>
      </c>
      <c r="AT298" s="960">
        <f t="shared" si="244"/>
        <v>1.3156140615692129</v>
      </c>
      <c r="AU298" s="960">
        <f t="shared" si="244"/>
        <v>1.1000813808919752</v>
      </c>
      <c r="AV298" s="960">
        <f t="shared" si="244"/>
        <v>0.63722701593946818</v>
      </c>
      <c r="AW298" s="960">
        <f t="shared" si="244"/>
        <v>0.84251487746083797</v>
      </c>
      <c r="AX298" s="960">
        <f t="shared" si="244"/>
        <v>0.56949076876249616</v>
      </c>
      <c r="AY298" s="960">
        <f t="shared" si="244"/>
        <v>0.60700484540187749</v>
      </c>
      <c r="BA298" s="960">
        <f t="shared" ref="BA298:BE298" si="245">SUM(BA44:BA46)</f>
        <v>3.2213892832794624</v>
      </c>
      <c r="BB298" s="960">
        <f t="shared" si="245"/>
        <v>4.7047771297306635</v>
      </c>
      <c r="BC298" s="960">
        <f t="shared" si="245"/>
        <v>3.0529224584006562</v>
      </c>
      <c r="BD298" s="960">
        <f t="shared" si="245"/>
        <v>2.0190104916252114</v>
      </c>
      <c r="BE298" s="960">
        <f t="shared" si="245"/>
        <v>12.998099363035994</v>
      </c>
    </row>
    <row r="299" spans="3:57">
      <c r="C299" s="955" t="s">
        <v>54</v>
      </c>
      <c r="N299" s="959">
        <f>SUM(N39:N42)</f>
        <v>1200</v>
      </c>
      <c r="R299" s="959">
        <f>SUM(R39:R42)</f>
        <v>18.060045538662873</v>
      </c>
      <c r="U299" s="959">
        <f t="shared" ref="U299:AF299" si="246">SUM(U39:U42)</f>
        <v>80</v>
      </c>
      <c r="V299" s="959">
        <f t="shared" si="246"/>
        <v>140</v>
      </c>
      <c r="W299" s="959">
        <f t="shared" si="246"/>
        <v>90</v>
      </c>
      <c r="X299" s="959">
        <f t="shared" si="246"/>
        <v>80</v>
      </c>
      <c r="Y299" s="959">
        <f t="shared" si="246"/>
        <v>100</v>
      </c>
      <c r="Z299" s="959">
        <f t="shared" si="246"/>
        <v>100</v>
      </c>
      <c r="AA299" s="959">
        <f t="shared" si="246"/>
        <v>100</v>
      </c>
      <c r="AB299" s="959">
        <f t="shared" si="246"/>
        <v>100</v>
      </c>
      <c r="AC299" s="959">
        <f t="shared" si="246"/>
        <v>100</v>
      </c>
      <c r="AD299" s="959">
        <f t="shared" si="246"/>
        <v>100</v>
      </c>
      <c r="AE299" s="959">
        <f t="shared" si="246"/>
        <v>120</v>
      </c>
      <c r="AF299" s="959">
        <f t="shared" si="246"/>
        <v>90</v>
      </c>
      <c r="AH299" s="959">
        <f t="shared" ref="AH299:AL299" si="247">SUM(AH39:AH42)</f>
        <v>310</v>
      </c>
      <c r="AI299" s="959">
        <f t="shared" si="247"/>
        <v>280</v>
      </c>
      <c r="AJ299" s="959">
        <f t="shared" si="247"/>
        <v>300</v>
      </c>
      <c r="AK299" s="959">
        <f t="shared" si="247"/>
        <v>310</v>
      </c>
      <c r="AL299" s="959">
        <f t="shared" si="247"/>
        <v>1200</v>
      </c>
      <c r="AN299" s="960">
        <f t="shared" ref="AN299:AY299" si="248">SUM(AN39:AN42)</f>
        <v>1.204003035910858</v>
      </c>
      <c r="AO299" s="960">
        <f t="shared" si="248"/>
        <v>2.1070053128440014</v>
      </c>
      <c r="AP299" s="960">
        <f t="shared" si="248"/>
        <v>1.3545034153997153</v>
      </c>
      <c r="AQ299" s="960">
        <f t="shared" si="248"/>
        <v>1.204003035910858</v>
      </c>
      <c r="AR299" s="960">
        <f t="shared" si="248"/>
        <v>1.5050037948885726</v>
      </c>
      <c r="AS299" s="960">
        <f t="shared" si="248"/>
        <v>1.5050037948885726</v>
      </c>
      <c r="AT299" s="960">
        <f t="shared" si="248"/>
        <v>1.5050037948885726</v>
      </c>
      <c r="AU299" s="960">
        <f t="shared" si="248"/>
        <v>1.5050037948885726</v>
      </c>
      <c r="AV299" s="960">
        <f t="shared" si="248"/>
        <v>1.5050037948885726</v>
      </c>
      <c r="AW299" s="960">
        <f t="shared" si="248"/>
        <v>1.5050037948885726</v>
      </c>
      <c r="AX299" s="960">
        <f t="shared" si="248"/>
        <v>1.806004553866287</v>
      </c>
      <c r="AY299" s="960">
        <f t="shared" si="248"/>
        <v>1.3545034153997153</v>
      </c>
      <c r="BA299" s="960">
        <f t="shared" ref="BA299:BE299" si="249">SUM(BA39:BA42)</f>
        <v>4.6655117641545747</v>
      </c>
      <c r="BB299" s="960">
        <f t="shared" si="249"/>
        <v>4.2140106256880028</v>
      </c>
      <c r="BC299" s="960">
        <f t="shared" si="249"/>
        <v>4.5150113846657174</v>
      </c>
      <c r="BD299" s="960">
        <f t="shared" si="249"/>
        <v>4.6655117641545747</v>
      </c>
      <c r="BE299" s="960">
        <f t="shared" si="249"/>
        <v>18.06004553866287</v>
      </c>
    </row>
    <row r="300" spans="3:57">
      <c r="C300" s="955" t="s">
        <v>52</v>
      </c>
      <c r="N300" s="959">
        <f>SUM(N57:N63)</f>
        <v>600</v>
      </c>
      <c r="R300" s="959">
        <f>SUM(R57:R63)</f>
        <v>13.743859838654387</v>
      </c>
      <c r="U300" s="959">
        <f t="shared" ref="U300:AF300" si="250">SUM(U57:U63)</f>
        <v>50</v>
      </c>
      <c r="V300" s="959">
        <f t="shared" si="250"/>
        <v>50</v>
      </c>
      <c r="W300" s="959">
        <f t="shared" si="250"/>
        <v>50</v>
      </c>
      <c r="X300" s="959">
        <f t="shared" si="250"/>
        <v>50</v>
      </c>
      <c r="Y300" s="959">
        <f t="shared" si="250"/>
        <v>50</v>
      </c>
      <c r="Z300" s="959">
        <f t="shared" si="250"/>
        <v>50</v>
      </c>
      <c r="AA300" s="959">
        <f t="shared" si="250"/>
        <v>50</v>
      </c>
      <c r="AB300" s="959">
        <f t="shared" si="250"/>
        <v>50</v>
      </c>
      <c r="AC300" s="959">
        <f t="shared" si="250"/>
        <v>50</v>
      </c>
      <c r="AD300" s="959">
        <f t="shared" si="250"/>
        <v>50</v>
      </c>
      <c r="AE300" s="959">
        <f t="shared" si="250"/>
        <v>50</v>
      </c>
      <c r="AF300" s="959">
        <f t="shared" si="250"/>
        <v>50</v>
      </c>
      <c r="AH300" s="959">
        <f t="shared" ref="AH300:AL300" si="251">SUM(AH57:AH63)</f>
        <v>150</v>
      </c>
      <c r="AI300" s="959">
        <f t="shared" si="251"/>
        <v>150</v>
      </c>
      <c r="AJ300" s="959">
        <f t="shared" si="251"/>
        <v>150</v>
      </c>
      <c r="AK300" s="959">
        <f t="shared" si="251"/>
        <v>150</v>
      </c>
      <c r="AL300" s="959">
        <f t="shared" si="251"/>
        <v>600</v>
      </c>
      <c r="AN300" s="960">
        <f t="shared" ref="AN300:AY300" si="252">SUM(AN57:AN63)</f>
        <v>1.1453216532211989</v>
      </c>
      <c r="AO300" s="960">
        <f t="shared" si="252"/>
        <v>1.1453216532211989</v>
      </c>
      <c r="AP300" s="960">
        <f t="shared" si="252"/>
        <v>1.1453216532211989</v>
      </c>
      <c r="AQ300" s="960">
        <f t="shared" si="252"/>
        <v>1.1453216532211989</v>
      </c>
      <c r="AR300" s="960">
        <f t="shared" si="252"/>
        <v>1.1453216532211989</v>
      </c>
      <c r="AS300" s="960">
        <f t="shared" si="252"/>
        <v>1.1453216532211989</v>
      </c>
      <c r="AT300" s="960">
        <f t="shared" si="252"/>
        <v>1.1453216532211989</v>
      </c>
      <c r="AU300" s="960">
        <f t="shared" si="252"/>
        <v>1.1453216532211989</v>
      </c>
      <c r="AV300" s="960">
        <f t="shared" si="252"/>
        <v>1.1453216532211989</v>
      </c>
      <c r="AW300" s="960">
        <f t="shared" si="252"/>
        <v>1.1453216532211989</v>
      </c>
      <c r="AX300" s="960">
        <f t="shared" si="252"/>
        <v>1.1453216532211989</v>
      </c>
      <c r="AY300" s="960">
        <f t="shared" si="252"/>
        <v>1.1453216532211989</v>
      </c>
      <c r="BA300" s="960">
        <f t="shared" ref="BA300:BE300" si="253">SUM(BA57:BA63)</f>
        <v>3.4359649596635968</v>
      </c>
      <c r="BB300" s="960">
        <f t="shared" si="253"/>
        <v>3.4359649596635968</v>
      </c>
      <c r="BC300" s="960">
        <f t="shared" si="253"/>
        <v>3.4359649596635968</v>
      </c>
      <c r="BD300" s="960">
        <f t="shared" si="253"/>
        <v>3.4359649596635968</v>
      </c>
      <c r="BE300" s="960">
        <f t="shared" si="253"/>
        <v>13.743859838654387</v>
      </c>
    </row>
    <row r="301" spans="3:57">
      <c r="C301" s="955" t="s">
        <v>56</v>
      </c>
      <c r="N301" s="959">
        <f>SUM(N73:N79)</f>
        <v>690</v>
      </c>
      <c r="R301" s="959">
        <f>SUM(R73:R79)</f>
        <v>7.3959740683107924</v>
      </c>
      <c r="U301" s="959">
        <f t="shared" ref="U301:AF301" si="254">SUM(U73:U79)</f>
        <v>36</v>
      </c>
      <c r="V301" s="959">
        <f t="shared" si="254"/>
        <v>60</v>
      </c>
      <c r="W301" s="959">
        <f t="shared" si="254"/>
        <v>30</v>
      </c>
      <c r="X301" s="959">
        <f t="shared" si="254"/>
        <v>30</v>
      </c>
      <c r="Y301" s="959">
        <f t="shared" si="254"/>
        <v>66</v>
      </c>
      <c r="Z301" s="959">
        <f t="shared" si="254"/>
        <v>60</v>
      </c>
      <c r="AA301" s="959">
        <f t="shared" si="254"/>
        <v>42</v>
      </c>
      <c r="AB301" s="959">
        <f t="shared" si="254"/>
        <v>60</v>
      </c>
      <c r="AC301" s="959">
        <f t="shared" si="254"/>
        <v>105</v>
      </c>
      <c r="AD301" s="959">
        <f t="shared" si="254"/>
        <v>86</v>
      </c>
      <c r="AE301" s="959">
        <f t="shared" si="254"/>
        <v>60</v>
      </c>
      <c r="AF301" s="959">
        <f t="shared" si="254"/>
        <v>55</v>
      </c>
      <c r="AH301" s="959">
        <f t="shared" ref="AH301:AL301" si="255">SUM(AH73:AH79)</f>
        <v>126</v>
      </c>
      <c r="AI301" s="959">
        <f t="shared" si="255"/>
        <v>156</v>
      </c>
      <c r="AJ301" s="959">
        <f t="shared" si="255"/>
        <v>207</v>
      </c>
      <c r="AK301" s="959">
        <f t="shared" si="255"/>
        <v>201</v>
      </c>
      <c r="AL301" s="959">
        <f t="shared" si="255"/>
        <v>690</v>
      </c>
      <c r="AN301" s="960">
        <f t="shared" ref="AN301:AY301" si="256">SUM(AN73:AN79)</f>
        <v>0.43051219355521358</v>
      </c>
      <c r="AO301" s="960">
        <f t="shared" si="256"/>
        <v>0.60922863381675929</v>
      </c>
      <c r="AP301" s="960">
        <f t="shared" si="256"/>
        <v>0.2992533309365949</v>
      </c>
      <c r="AQ301" s="960">
        <f t="shared" si="256"/>
        <v>0.30187283104954638</v>
      </c>
      <c r="AR301" s="960">
        <f t="shared" si="256"/>
        <v>0.7378679963224265</v>
      </c>
      <c r="AS301" s="960">
        <f t="shared" si="256"/>
        <v>0.60112616198614122</v>
      </c>
      <c r="AT301" s="960">
        <f t="shared" si="256"/>
        <v>0.54284354724346018</v>
      </c>
      <c r="AU301" s="960">
        <f t="shared" si="256"/>
        <v>0.60922863381675929</v>
      </c>
      <c r="AV301" s="960">
        <f t="shared" si="256"/>
        <v>1.1229583951127378</v>
      </c>
      <c r="AW301" s="960">
        <f t="shared" si="256"/>
        <v>0.93363357863779095</v>
      </c>
      <c r="AX301" s="960">
        <f t="shared" si="256"/>
        <v>0.60922863381675929</v>
      </c>
      <c r="AY301" s="960">
        <f t="shared" si="256"/>
        <v>0.59822013201660429</v>
      </c>
      <c r="BA301" s="960">
        <f t="shared" ref="BA301:BE301" si="257">SUM(BA73:BA79)</f>
        <v>1.3389941583085676</v>
      </c>
      <c r="BB301" s="960">
        <f t="shared" si="257"/>
        <v>1.640866989358114</v>
      </c>
      <c r="BC301" s="960">
        <f t="shared" si="257"/>
        <v>2.275030576172957</v>
      </c>
      <c r="BD301" s="960">
        <f t="shared" si="257"/>
        <v>2.1410823444711546</v>
      </c>
      <c r="BE301" s="960">
        <f t="shared" si="257"/>
        <v>7.3959740683107942</v>
      </c>
    </row>
    <row r="302" spans="3:57">
      <c r="C302" s="955" t="s">
        <v>57</v>
      </c>
      <c r="N302" s="959">
        <f>SUM(N144:N147)</f>
        <v>300</v>
      </c>
      <c r="R302" s="959">
        <f>SUM(R144:R147)</f>
        <v>2.7843017934750001</v>
      </c>
      <c r="U302" s="959">
        <f t="shared" ref="U302:AF302" si="258">SUM(U144:U147)</f>
        <v>0</v>
      </c>
      <c r="V302" s="959">
        <f t="shared" si="258"/>
        <v>0</v>
      </c>
      <c r="W302" s="959">
        <f t="shared" si="258"/>
        <v>100</v>
      </c>
      <c r="X302" s="959">
        <f t="shared" si="258"/>
        <v>0</v>
      </c>
      <c r="Y302" s="959">
        <f t="shared" si="258"/>
        <v>0</v>
      </c>
      <c r="Z302" s="959">
        <f t="shared" si="258"/>
        <v>0</v>
      </c>
      <c r="AA302" s="959">
        <f t="shared" si="258"/>
        <v>100</v>
      </c>
      <c r="AB302" s="959">
        <f t="shared" si="258"/>
        <v>0</v>
      </c>
      <c r="AC302" s="959">
        <f t="shared" si="258"/>
        <v>0</v>
      </c>
      <c r="AD302" s="959">
        <f t="shared" si="258"/>
        <v>0</v>
      </c>
      <c r="AE302" s="959">
        <f t="shared" si="258"/>
        <v>100</v>
      </c>
      <c r="AF302" s="959">
        <f t="shared" si="258"/>
        <v>0</v>
      </c>
      <c r="AH302" s="959">
        <f t="shared" ref="AH302:AL302" si="259">SUM(AH144:AH147)</f>
        <v>100</v>
      </c>
      <c r="AI302" s="959">
        <f t="shared" si="259"/>
        <v>0</v>
      </c>
      <c r="AJ302" s="959">
        <f t="shared" si="259"/>
        <v>100</v>
      </c>
      <c r="AK302" s="959">
        <f t="shared" si="259"/>
        <v>100</v>
      </c>
      <c r="AL302" s="959">
        <f t="shared" si="259"/>
        <v>300</v>
      </c>
      <c r="AN302" s="960">
        <f t="shared" ref="AN302:AY302" si="260">SUM(AN144:AN147)</f>
        <v>0</v>
      </c>
      <c r="AO302" s="960">
        <f t="shared" si="260"/>
        <v>0</v>
      </c>
      <c r="AP302" s="960">
        <f t="shared" si="260"/>
        <v>0.9281005978250001</v>
      </c>
      <c r="AQ302" s="960">
        <f t="shared" si="260"/>
        <v>0</v>
      </c>
      <c r="AR302" s="960">
        <f t="shared" si="260"/>
        <v>0</v>
      </c>
      <c r="AS302" s="960">
        <f t="shared" si="260"/>
        <v>0</v>
      </c>
      <c r="AT302" s="960">
        <f t="shared" si="260"/>
        <v>0.9281005978250001</v>
      </c>
      <c r="AU302" s="960">
        <f t="shared" si="260"/>
        <v>0</v>
      </c>
      <c r="AV302" s="960">
        <f t="shared" si="260"/>
        <v>0</v>
      </c>
      <c r="AW302" s="960">
        <f t="shared" si="260"/>
        <v>0</v>
      </c>
      <c r="AX302" s="960">
        <f t="shared" si="260"/>
        <v>0.9281005978250001</v>
      </c>
      <c r="AY302" s="960">
        <f t="shared" si="260"/>
        <v>0</v>
      </c>
      <c r="BA302" s="960">
        <f t="shared" ref="BA302:BE302" si="261">SUM(BA144:BA147)</f>
        <v>0.9281005978250001</v>
      </c>
      <c r="BB302" s="960">
        <f t="shared" si="261"/>
        <v>0</v>
      </c>
      <c r="BC302" s="960">
        <f t="shared" si="261"/>
        <v>0.9281005978250001</v>
      </c>
      <c r="BD302" s="960">
        <f t="shared" si="261"/>
        <v>0.9281005978250001</v>
      </c>
      <c r="BE302" s="960">
        <f t="shared" si="261"/>
        <v>2.7843017934750005</v>
      </c>
    </row>
    <row r="303" spans="3:57">
      <c r="C303" s="955" t="s">
        <v>28</v>
      </c>
      <c r="N303" s="959">
        <f>SUM(N36+N37+N43+N47+N54+N55+N56+N64+N65+N83+N84+N85+N86+N87+N88+N89+N90+N93)</f>
        <v>1454</v>
      </c>
      <c r="R303" s="959">
        <f>SUM(R36+R37+R43+R47+R54+R55+R56+R64+R65+R83+R84+R85+R86+R87+R88+R89+R90+R93)</f>
        <v>26.864579145651639</v>
      </c>
      <c r="U303" s="959">
        <f t="shared" ref="U303:AF303" si="262">SUM(U36+U37+U43+U47+U54+U55+U56+U64+U65+U83+U84+U85+U86+U87+U88+U89+U90+U93)</f>
        <v>68.5</v>
      </c>
      <c r="V303" s="959">
        <f t="shared" si="262"/>
        <v>74</v>
      </c>
      <c r="W303" s="959">
        <f t="shared" si="262"/>
        <v>160.5</v>
      </c>
      <c r="X303" s="959">
        <f t="shared" si="262"/>
        <v>139</v>
      </c>
      <c r="Y303" s="959">
        <f t="shared" si="262"/>
        <v>81.5</v>
      </c>
      <c r="Z303" s="959">
        <f t="shared" si="262"/>
        <v>139.5</v>
      </c>
      <c r="AA303" s="959">
        <f t="shared" si="262"/>
        <v>124.5</v>
      </c>
      <c r="AB303" s="959">
        <f t="shared" si="262"/>
        <v>158.5</v>
      </c>
      <c r="AC303" s="959">
        <f t="shared" si="262"/>
        <v>147.5</v>
      </c>
      <c r="AD303" s="959">
        <f t="shared" si="262"/>
        <v>168.5</v>
      </c>
      <c r="AE303" s="959">
        <f t="shared" si="262"/>
        <v>138.5</v>
      </c>
      <c r="AF303" s="959">
        <f t="shared" si="262"/>
        <v>53.5</v>
      </c>
      <c r="AH303" s="959">
        <f t="shared" ref="AH303:AL303" si="263">SUM(AH36+AH37+AH43+AH47+AH54+AH55+AH56+AH64+AH65+AH83+AH84+AH85+AH86+AH87+AH88+AH89+AH90+AH93)</f>
        <v>303</v>
      </c>
      <c r="AI303" s="959">
        <f t="shared" si="263"/>
        <v>360</v>
      </c>
      <c r="AJ303" s="959">
        <f t="shared" si="263"/>
        <v>430.5</v>
      </c>
      <c r="AK303" s="959">
        <f t="shared" si="263"/>
        <v>360.5</v>
      </c>
      <c r="AL303" s="959">
        <f t="shared" si="263"/>
        <v>1454</v>
      </c>
      <c r="AN303" s="960">
        <f t="shared" ref="AN303:AY303" si="264">SUM(AN36+AN37+AN43+AN47+AN54+AN55+AN56+AN64+AN65+AN83+AN84+AN85+AN86+AN87+AN88+AN89+AN90+AN93)</f>
        <v>1.0522598711323314</v>
      </c>
      <c r="AO303" s="960">
        <f t="shared" si="264"/>
        <v>1.4437459879862462</v>
      </c>
      <c r="AP303" s="960">
        <f t="shared" si="264"/>
        <v>2.9692263190516388</v>
      </c>
      <c r="AQ303" s="960">
        <f t="shared" si="264"/>
        <v>2.4901028565280319</v>
      </c>
      <c r="AR303" s="960">
        <f t="shared" si="264"/>
        <v>1.8249099772118944</v>
      </c>
      <c r="AS303" s="960">
        <f t="shared" si="264"/>
        <v>2.5409170204114417</v>
      </c>
      <c r="AT303" s="960">
        <f t="shared" si="264"/>
        <v>2.3666003972013723</v>
      </c>
      <c r="AU303" s="960">
        <f t="shared" si="264"/>
        <v>2.8408730182197015</v>
      </c>
      <c r="AV303" s="960">
        <f t="shared" si="264"/>
        <v>2.6935245702324</v>
      </c>
      <c r="AW303" s="960">
        <f t="shared" si="264"/>
        <v>3.0293284951127037</v>
      </c>
      <c r="AX303" s="960">
        <f t="shared" si="264"/>
        <v>2.5898044263329019</v>
      </c>
      <c r="AY303" s="960">
        <f t="shared" si="264"/>
        <v>1.0232862062309724</v>
      </c>
      <c r="BA303" s="960">
        <f t="shared" ref="BA303:BE303" si="265">SUM(BA36+BA37+BA43+BA47+BA54+BA55+BA56+BA64+BA65+BA83+BA84+BA85+BA86+BA87+BA88+BA89+BA90+BA93)</f>
        <v>5.4652321781702167</v>
      </c>
      <c r="BB303" s="960">
        <f t="shared" si="265"/>
        <v>6.855929854151368</v>
      </c>
      <c r="BC303" s="960">
        <f t="shared" si="265"/>
        <v>7.9009979856534738</v>
      </c>
      <c r="BD303" s="960">
        <f t="shared" si="265"/>
        <v>6.6424191276765772</v>
      </c>
      <c r="BE303" s="960">
        <f t="shared" si="265"/>
        <v>26.864579145651639</v>
      </c>
    </row>
    <row r="304" spans="3:57">
      <c r="C304" s="955" t="s">
        <v>16</v>
      </c>
      <c r="N304" s="959">
        <f>SUM(N177)-N174</f>
        <v>20775</v>
      </c>
      <c r="R304" s="959">
        <f>SUM(R177)-R174</f>
        <v>114.565</v>
      </c>
      <c r="U304" s="959">
        <f t="shared" ref="U304" si="266">SUM(U177)-U174</f>
        <v>750</v>
      </c>
      <c r="V304" s="959">
        <f>SUM(V177)-V175</f>
        <v>1250</v>
      </c>
      <c r="W304" s="959">
        <f>SUM(W177)-W175</f>
        <v>1550</v>
      </c>
      <c r="X304" s="959">
        <f>SUM(X177)-X175</f>
        <v>1250</v>
      </c>
      <c r="Y304" s="959">
        <f t="shared" ref="Y304:AF304" si="267">SUM(Y177)-Y175</f>
        <v>1550</v>
      </c>
      <c r="Z304" s="959">
        <f t="shared" si="267"/>
        <v>2050</v>
      </c>
      <c r="AA304" s="959">
        <f t="shared" si="267"/>
        <v>2050</v>
      </c>
      <c r="AB304" s="959">
        <f t="shared" si="267"/>
        <v>2050</v>
      </c>
      <c r="AC304" s="959">
        <f t="shared" si="267"/>
        <v>2050</v>
      </c>
      <c r="AD304" s="959">
        <f t="shared" si="267"/>
        <v>2300</v>
      </c>
      <c r="AE304" s="959">
        <f t="shared" si="267"/>
        <v>2050</v>
      </c>
      <c r="AF304" s="959">
        <f t="shared" si="267"/>
        <v>1500</v>
      </c>
      <c r="AH304" s="959">
        <f t="shared" ref="AH304:AL304" si="268">SUM(AH177)-AH174</f>
        <v>3568</v>
      </c>
      <c r="AI304" s="959">
        <f t="shared" si="268"/>
        <v>4958</v>
      </c>
      <c r="AJ304" s="959">
        <f t="shared" si="268"/>
        <v>6258</v>
      </c>
      <c r="AK304" s="959">
        <f t="shared" si="268"/>
        <v>5991</v>
      </c>
      <c r="AL304" s="959">
        <f t="shared" si="268"/>
        <v>20775</v>
      </c>
      <c r="AN304" s="960">
        <f>SUM(AN177)-AN175</f>
        <v>4.0875000000000004</v>
      </c>
      <c r="AO304" s="960">
        <f>SUM(AO177)-AO175</f>
        <v>6.7224999999999993</v>
      </c>
      <c r="AP304" s="960">
        <f t="shared" ref="AP304:AY304" si="269">SUM(AP177)-AP175</f>
        <v>8.2225000000000001</v>
      </c>
      <c r="AQ304" s="960">
        <f t="shared" si="269"/>
        <v>6.7449999999999992</v>
      </c>
      <c r="AR304" s="960">
        <f t="shared" si="269"/>
        <v>8.2449999999999992</v>
      </c>
      <c r="AS304" s="960">
        <f t="shared" si="269"/>
        <v>11.335000000000001</v>
      </c>
      <c r="AT304" s="960">
        <f t="shared" si="269"/>
        <v>10.925000000000001</v>
      </c>
      <c r="AU304" s="960">
        <f t="shared" si="269"/>
        <v>10.925000000000001</v>
      </c>
      <c r="AV304" s="960">
        <f t="shared" si="269"/>
        <v>10.925000000000001</v>
      </c>
      <c r="AW304" s="960">
        <f t="shared" si="269"/>
        <v>12.675000000000001</v>
      </c>
      <c r="AX304" s="960">
        <f t="shared" si="269"/>
        <v>10.9475</v>
      </c>
      <c r="AY304" s="960">
        <f t="shared" si="269"/>
        <v>8.0849999999999991</v>
      </c>
      <c r="BA304" s="960">
        <f t="shared" ref="BA304:BE304" si="270">SUM(BA177)-BA174</f>
        <v>19.2593</v>
      </c>
      <c r="BB304" s="960">
        <f t="shared" si="270"/>
        <v>27.6858</v>
      </c>
      <c r="BC304" s="960">
        <f t="shared" si="270"/>
        <v>34.135800000000003</v>
      </c>
      <c r="BD304" s="960">
        <f t="shared" si="270"/>
        <v>33.484099999999998</v>
      </c>
      <c r="BE304" s="960">
        <f t="shared" si="270"/>
        <v>114.565</v>
      </c>
    </row>
    <row r="305" spans="3:57">
      <c r="C305" s="955" t="s">
        <v>51</v>
      </c>
      <c r="N305" s="959">
        <f>SUM(N174)</f>
        <v>0</v>
      </c>
      <c r="R305" s="959">
        <f>SUM(R174)</f>
        <v>0</v>
      </c>
      <c r="U305" s="959">
        <f>SUM(U175)</f>
        <v>0</v>
      </c>
      <c r="V305" s="959">
        <f t="shared" ref="V305:AF305" si="271">SUM(V175)</f>
        <v>18</v>
      </c>
      <c r="W305" s="959">
        <f t="shared" si="271"/>
        <v>0</v>
      </c>
      <c r="X305" s="959">
        <f t="shared" si="271"/>
        <v>54</v>
      </c>
      <c r="Y305" s="959">
        <f t="shared" si="271"/>
        <v>0</v>
      </c>
      <c r="Z305" s="959">
        <f t="shared" si="271"/>
        <v>54</v>
      </c>
      <c r="AA305" s="959">
        <f t="shared" si="271"/>
        <v>54</v>
      </c>
      <c r="AB305" s="959">
        <f t="shared" si="271"/>
        <v>0</v>
      </c>
      <c r="AC305" s="959">
        <f t="shared" si="271"/>
        <v>54</v>
      </c>
      <c r="AD305" s="959">
        <f t="shared" si="271"/>
        <v>54</v>
      </c>
      <c r="AE305" s="959">
        <f t="shared" si="271"/>
        <v>54</v>
      </c>
      <c r="AF305" s="959">
        <f t="shared" si="271"/>
        <v>33</v>
      </c>
      <c r="AH305" s="959">
        <f t="shared" ref="AH305:AL305" si="272">SUM(AH174)</f>
        <v>0</v>
      </c>
      <c r="AI305" s="959">
        <f t="shared" si="272"/>
        <v>0</v>
      </c>
      <c r="AJ305" s="959">
        <f t="shared" si="272"/>
        <v>0</v>
      </c>
      <c r="AK305" s="959">
        <f t="shared" si="272"/>
        <v>0</v>
      </c>
      <c r="AL305" s="959">
        <f t="shared" si="272"/>
        <v>0</v>
      </c>
      <c r="AN305" s="960">
        <f>SUM(AN175)</f>
        <v>0</v>
      </c>
      <c r="AO305" s="960">
        <f t="shared" ref="AO305:AY305" si="273">SUM(AO175)</f>
        <v>0.2268</v>
      </c>
      <c r="AP305" s="960">
        <f t="shared" si="273"/>
        <v>0</v>
      </c>
      <c r="AQ305" s="960">
        <f t="shared" si="273"/>
        <v>0.6804</v>
      </c>
      <c r="AR305" s="960">
        <f t="shared" si="273"/>
        <v>0</v>
      </c>
      <c r="AS305" s="960">
        <f t="shared" si="273"/>
        <v>0.6804</v>
      </c>
      <c r="AT305" s="960">
        <f t="shared" si="273"/>
        <v>0.6804</v>
      </c>
      <c r="AU305" s="960">
        <f t="shared" si="273"/>
        <v>0</v>
      </c>
      <c r="AV305" s="960">
        <f t="shared" si="273"/>
        <v>0.6804</v>
      </c>
      <c r="AW305" s="960">
        <f t="shared" si="273"/>
        <v>0.6804</v>
      </c>
      <c r="AX305" s="960">
        <f t="shared" si="273"/>
        <v>0.6804</v>
      </c>
      <c r="AY305" s="960">
        <f t="shared" si="273"/>
        <v>0.4158</v>
      </c>
      <c r="BA305" s="960">
        <f t="shared" ref="BA305:BE305" si="274">SUM(BA174)</f>
        <v>0</v>
      </c>
      <c r="BB305" s="960">
        <f t="shared" si="274"/>
        <v>0</v>
      </c>
      <c r="BC305" s="960">
        <f t="shared" si="274"/>
        <v>0</v>
      </c>
      <c r="BD305" s="960">
        <f t="shared" si="274"/>
        <v>0</v>
      </c>
      <c r="BE305" s="960">
        <f t="shared" si="274"/>
        <v>0</v>
      </c>
    </row>
    <row r="306" spans="3:57">
      <c r="C306" s="955" t="s">
        <v>17</v>
      </c>
      <c r="N306" s="959">
        <f>N126</f>
        <v>6279.1880000000001</v>
      </c>
      <c r="R306" s="959">
        <f>R126</f>
        <v>51.711964952347905</v>
      </c>
      <c r="U306" s="959">
        <f t="shared" ref="U306:AF306" si="275">U126</f>
        <v>360.32000000000005</v>
      </c>
      <c r="V306" s="959">
        <f t="shared" si="275"/>
        <v>544.21600000000001</v>
      </c>
      <c r="W306" s="959">
        <f t="shared" si="275"/>
        <v>622.61599999999999</v>
      </c>
      <c r="X306" s="959">
        <f t="shared" si="275"/>
        <v>595.12</v>
      </c>
      <c r="Y306" s="959">
        <f t="shared" si="275"/>
        <v>543.32000000000005</v>
      </c>
      <c r="Z306" s="959">
        <f t="shared" si="275"/>
        <v>580.91999999999996</v>
      </c>
      <c r="AA306" s="959">
        <f t="shared" si="275"/>
        <v>606.81999999999994</v>
      </c>
      <c r="AB306" s="959">
        <f t="shared" si="275"/>
        <v>424.32</v>
      </c>
      <c r="AC306" s="959">
        <f t="shared" si="275"/>
        <v>394.08000000000004</v>
      </c>
      <c r="AD306" s="959">
        <f t="shared" si="275"/>
        <v>512.02</v>
      </c>
      <c r="AE306" s="959">
        <f t="shared" si="275"/>
        <v>540.41599999999994</v>
      </c>
      <c r="AF306" s="959">
        <f t="shared" si="275"/>
        <v>555.01999999999987</v>
      </c>
      <c r="AH306" s="959">
        <f t="shared" ref="AH306:AL306" si="276">AH126</f>
        <v>1527.152</v>
      </c>
      <c r="AI306" s="959">
        <f t="shared" si="276"/>
        <v>1719.3600000000001</v>
      </c>
      <c r="AJ306" s="959">
        <f t="shared" si="276"/>
        <v>1425.2199999999998</v>
      </c>
      <c r="AK306" s="959">
        <f t="shared" si="276"/>
        <v>1607.4559999999997</v>
      </c>
      <c r="AL306" s="959">
        <f t="shared" si="276"/>
        <v>6279.1880000000001</v>
      </c>
      <c r="AN306" s="960">
        <f t="shared" ref="AN306:AY306" si="277">AN126</f>
        <v>2.7423657910619013</v>
      </c>
      <c r="AO306" s="960">
        <f t="shared" si="277"/>
        <v>4.5533042928654393</v>
      </c>
      <c r="AP306" s="960">
        <f t="shared" si="277"/>
        <v>5.1995021724093711</v>
      </c>
      <c r="AQ306" s="960">
        <f t="shared" si="277"/>
        <v>4.9841063854486327</v>
      </c>
      <c r="AR306" s="960">
        <f t="shared" si="277"/>
        <v>4.469859600199567</v>
      </c>
      <c r="AS306" s="960">
        <f t="shared" si="277"/>
        <v>4.6308669176888921</v>
      </c>
      <c r="AT306" s="960">
        <f t="shared" si="277"/>
        <v>4.8560916533377601</v>
      </c>
      <c r="AU306" s="960">
        <f t="shared" si="277"/>
        <v>3.5301873427798265</v>
      </c>
      <c r="AV306" s="960">
        <f t="shared" si="277"/>
        <v>3.3745422732163428</v>
      </c>
      <c r="AW306" s="960">
        <f t="shared" si="277"/>
        <v>4.2746387329443829</v>
      </c>
      <c r="AX306" s="960">
        <f t="shared" si="277"/>
        <v>4.4481571032756664</v>
      </c>
      <c r="AY306" s="960">
        <f t="shared" si="277"/>
        <v>4.6483426871201354</v>
      </c>
      <c r="BA306" s="960">
        <f t="shared" ref="BA306:BE306" si="278">BA126</f>
        <v>12.495172256336712</v>
      </c>
      <c r="BB306" s="960">
        <f t="shared" si="278"/>
        <v>14.084832903337091</v>
      </c>
      <c r="BC306" s="960">
        <f t="shared" si="278"/>
        <v>11.760821269333928</v>
      </c>
      <c r="BD306" s="960">
        <f t="shared" si="278"/>
        <v>13.371138523340186</v>
      </c>
      <c r="BE306" s="960">
        <f t="shared" si="278"/>
        <v>51.71196495234792</v>
      </c>
    </row>
    <row r="307" spans="3:57">
      <c r="C307" s="955" t="s">
        <v>18</v>
      </c>
      <c r="N307" s="959">
        <f>SUM(N133:N135)</f>
        <v>0</v>
      </c>
      <c r="R307" s="959">
        <f>SUM(R133:R135)</f>
        <v>0</v>
      </c>
      <c r="U307" s="959">
        <f t="shared" ref="U307:AF307" si="279">SUM(U133:U135)</f>
        <v>0</v>
      </c>
      <c r="V307" s="959">
        <f t="shared" si="279"/>
        <v>0</v>
      </c>
      <c r="W307" s="959">
        <f t="shared" si="279"/>
        <v>0</v>
      </c>
      <c r="X307" s="959">
        <f t="shared" si="279"/>
        <v>0</v>
      </c>
      <c r="Y307" s="959">
        <f t="shared" si="279"/>
        <v>0</v>
      </c>
      <c r="Z307" s="959">
        <f t="shared" si="279"/>
        <v>0</v>
      </c>
      <c r="AA307" s="959">
        <f t="shared" si="279"/>
        <v>0</v>
      </c>
      <c r="AB307" s="959">
        <f t="shared" si="279"/>
        <v>0</v>
      </c>
      <c r="AC307" s="959">
        <f t="shared" si="279"/>
        <v>0</v>
      </c>
      <c r="AD307" s="959">
        <f t="shared" si="279"/>
        <v>0</v>
      </c>
      <c r="AE307" s="959">
        <f t="shared" si="279"/>
        <v>0</v>
      </c>
      <c r="AF307" s="959">
        <f t="shared" si="279"/>
        <v>0</v>
      </c>
      <c r="AH307" s="959">
        <f t="shared" ref="AH307:AL307" si="280">SUM(AH133:AH135)</f>
        <v>0</v>
      </c>
      <c r="AI307" s="959">
        <f t="shared" si="280"/>
        <v>0</v>
      </c>
      <c r="AJ307" s="959">
        <f t="shared" si="280"/>
        <v>0</v>
      </c>
      <c r="AK307" s="959">
        <f t="shared" si="280"/>
        <v>0</v>
      </c>
      <c r="AL307" s="959">
        <f t="shared" si="280"/>
        <v>0</v>
      </c>
      <c r="AN307" s="960">
        <f t="shared" ref="AN307:AY307" si="281">SUM(AN133:AN135)</f>
        <v>0</v>
      </c>
      <c r="AO307" s="960">
        <f t="shared" si="281"/>
        <v>0</v>
      </c>
      <c r="AP307" s="960">
        <f t="shared" si="281"/>
        <v>0</v>
      </c>
      <c r="AQ307" s="960">
        <f t="shared" si="281"/>
        <v>0</v>
      </c>
      <c r="AR307" s="960">
        <f t="shared" si="281"/>
        <v>0</v>
      </c>
      <c r="AS307" s="960">
        <f t="shared" si="281"/>
        <v>0</v>
      </c>
      <c r="AT307" s="960">
        <f t="shared" si="281"/>
        <v>0</v>
      </c>
      <c r="AU307" s="960">
        <f t="shared" si="281"/>
        <v>0</v>
      </c>
      <c r="AV307" s="960">
        <f t="shared" si="281"/>
        <v>0</v>
      </c>
      <c r="AW307" s="960">
        <f t="shared" si="281"/>
        <v>0</v>
      </c>
      <c r="AX307" s="960">
        <f t="shared" si="281"/>
        <v>0</v>
      </c>
      <c r="AY307" s="960">
        <f t="shared" si="281"/>
        <v>0</v>
      </c>
      <c r="BA307" s="960">
        <f t="shared" ref="BA307:BE307" si="282">SUM(BA133:BA135)</f>
        <v>0</v>
      </c>
      <c r="BB307" s="960">
        <f t="shared" si="282"/>
        <v>0</v>
      </c>
      <c r="BC307" s="960">
        <f t="shared" si="282"/>
        <v>0</v>
      </c>
      <c r="BD307" s="960">
        <f t="shared" si="282"/>
        <v>0</v>
      </c>
      <c r="BE307" s="960">
        <f t="shared" si="282"/>
        <v>0</v>
      </c>
    </row>
    <row r="308" spans="3:57">
      <c r="C308" s="955" t="s">
        <v>19</v>
      </c>
      <c r="N308" s="959"/>
      <c r="R308" s="959"/>
      <c r="U308" s="959"/>
      <c r="V308" s="959"/>
      <c r="W308" s="959"/>
      <c r="X308" s="959"/>
      <c r="Y308" s="959"/>
      <c r="Z308" s="959"/>
      <c r="AA308" s="959"/>
      <c r="AB308" s="959"/>
      <c r="AC308" s="959"/>
      <c r="AD308" s="959"/>
      <c r="AE308" s="959"/>
      <c r="AF308" s="959"/>
      <c r="AH308" s="959"/>
      <c r="AI308" s="959"/>
      <c r="AJ308" s="959"/>
      <c r="AK308" s="959"/>
      <c r="AL308" s="959"/>
      <c r="AN308" s="960"/>
      <c r="AO308" s="960"/>
      <c r="AP308" s="960"/>
      <c r="AQ308" s="960"/>
      <c r="AR308" s="960"/>
      <c r="AS308" s="960"/>
      <c r="AT308" s="960"/>
      <c r="AU308" s="960"/>
      <c r="AV308" s="960"/>
      <c r="AW308" s="960"/>
      <c r="AX308" s="960"/>
      <c r="AY308" s="960"/>
      <c r="BA308" s="960"/>
      <c r="BB308" s="960"/>
      <c r="BC308" s="960"/>
      <c r="BD308" s="960"/>
      <c r="BE308" s="960"/>
    </row>
    <row r="309" spans="3:57">
      <c r="C309" s="957" t="s">
        <v>21</v>
      </c>
      <c r="N309" s="959">
        <f>SUM(N295:N308)</f>
        <v>45187.088000000003</v>
      </c>
      <c r="R309" s="959">
        <f>SUM(R295:R308)</f>
        <v>388.63833960067734</v>
      </c>
      <c r="U309" s="959">
        <f t="shared" ref="U309:AF309" si="283">SUM(U295:U308)</f>
        <v>2315.62</v>
      </c>
      <c r="V309" s="959">
        <f t="shared" si="283"/>
        <v>3124.0160000000001</v>
      </c>
      <c r="W309" s="959">
        <f t="shared" si="283"/>
        <v>3866.116</v>
      </c>
      <c r="X309" s="959">
        <f t="shared" si="283"/>
        <v>3298.42</v>
      </c>
      <c r="Y309" s="959">
        <f t="shared" si="283"/>
        <v>3528.6200000000003</v>
      </c>
      <c r="Z309" s="959">
        <f t="shared" si="283"/>
        <v>4599.42</v>
      </c>
      <c r="AA309" s="959">
        <f t="shared" si="283"/>
        <v>4191.82</v>
      </c>
      <c r="AB309" s="959">
        <f t="shared" si="283"/>
        <v>3874.42</v>
      </c>
      <c r="AC309" s="959">
        <f t="shared" si="283"/>
        <v>3973.58</v>
      </c>
      <c r="AD309" s="959">
        <f t="shared" si="283"/>
        <v>4416.5200000000004</v>
      </c>
      <c r="AE309" s="959">
        <f t="shared" si="283"/>
        <v>4291.7160000000003</v>
      </c>
      <c r="AF309" s="959">
        <f t="shared" si="283"/>
        <v>3706.82</v>
      </c>
      <c r="AH309" s="959">
        <f t="shared" ref="AH309" si="284">SUM(AH295:AH308)</f>
        <v>9305.7520000000004</v>
      </c>
      <c r="AI309" s="959">
        <f t="shared" ref="AI309" si="285">SUM(AI295:AI308)</f>
        <v>11426.460000000001</v>
      </c>
      <c r="AJ309" s="959">
        <f t="shared" ref="AJ309" si="286">SUM(AJ295:AJ308)</f>
        <v>12039.82</v>
      </c>
      <c r="AK309" s="959">
        <f t="shared" ref="AK309" si="287">SUM(AK295:AK308)</f>
        <v>12415.056</v>
      </c>
      <c r="AL309" s="959">
        <f t="shared" ref="AL309" si="288">SUM(AL295:AL308)</f>
        <v>45187.088000000003</v>
      </c>
      <c r="AN309" s="960">
        <f t="shared" ref="AN309" si="289">SUM(AN295:AN308)</f>
        <v>22.307229279164119</v>
      </c>
      <c r="AO309" s="960">
        <f t="shared" ref="AO309" si="290">SUM(AO295:AO308)</f>
        <v>29.157728253021162</v>
      </c>
      <c r="AP309" s="960">
        <f t="shared" ref="AP309" si="291">SUM(AP295:AP308)</f>
        <v>34.095264530766286</v>
      </c>
      <c r="AQ309" s="960">
        <f t="shared" ref="AQ309" si="292">SUM(AQ295:AQ308)</f>
        <v>29.827517938176783</v>
      </c>
      <c r="AR309" s="960">
        <f t="shared" ref="AR309" si="293">SUM(AR295:AR308)</f>
        <v>30.379808621656739</v>
      </c>
      <c r="AS309" s="960">
        <f t="shared" ref="AS309" si="294">SUM(AS295:AS308)</f>
        <v>39.829239267984285</v>
      </c>
      <c r="AT309" s="960">
        <f t="shared" ref="AT309" si="295">SUM(AT295:AT308)</f>
        <v>34.778340516283329</v>
      </c>
      <c r="AU309" s="960">
        <f t="shared" ref="AU309" si="296">SUM(AU295:AU308)</f>
        <v>31.543802724755128</v>
      </c>
      <c r="AV309" s="960">
        <f t="shared" ref="AV309" si="297">SUM(AV295:AV308)</f>
        <v>33.141223113268751</v>
      </c>
      <c r="AW309" s="960">
        <f t="shared" ref="AW309" si="298">SUM(AW295:AW308)</f>
        <v>36.56656089093098</v>
      </c>
      <c r="AX309" s="960">
        <f t="shared" ref="AX309" si="299">SUM(AX295:AX308)</f>
        <v>35.242906170918701</v>
      </c>
      <c r="AY309" s="960">
        <f t="shared" ref="AY309:BA309" si="300">SUM(AY295:AY308)</f>
        <v>31.768718293751082</v>
      </c>
      <c r="BA309" s="960">
        <f t="shared" si="300"/>
        <v>85.560222062951567</v>
      </c>
      <c r="BB309" s="960">
        <f t="shared" ref="BB309" si="301">SUM(BB295:BB308)</f>
        <v>100.03656582781781</v>
      </c>
      <c r="BC309" s="960">
        <f t="shared" ref="BC309" si="302">SUM(BC295:BC308)</f>
        <v>99.463366354307212</v>
      </c>
      <c r="BD309" s="960">
        <f t="shared" ref="BD309" si="303">SUM(BD295:BD308)</f>
        <v>103.57818535560077</v>
      </c>
      <c r="BE309" s="960">
        <f t="shared" ref="BE309" si="304">SUM(BE295:BE308)</f>
        <v>388.63833960067734</v>
      </c>
    </row>
    <row r="310" spans="3:57">
      <c r="C310" s="956" t="s">
        <v>22</v>
      </c>
      <c r="N310" s="959">
        <f>N245</f>
        <v>697.27639999999997</v>
      </c>
      <c r="R310" s="959">
        <f>R245</f>
        <v>46.502791671355681</v>
      </c>
      <c r="U310" s="959">
        <f t="shared" ref="U310:AF310" si="305">U245</f>
        <v>47.083333333333329</v>
      </c>
      <c r="V310" s="959">
        <f t="shared" si="305"/>
        <v>47.083333333333329</v>
      </c>
      <c r="W310" s="959">
        <f t="shared" si="305"/>
        <v>61.258800000000001</v>
      </c>
      <c r="X310" s="959">
        <f t="shared" si="305"/>
        <v>47.083333333333329</v>
      </c>
      <c r="Y310" s="959">
        <f t="shared" si="305"/>
        <v>54.343333333333334</v>
      </c>
      <c r="Z310" s="959">
        <f t="shared" si="305"/>
        <v>61.258800000000001</v>
      </c>
      <c r="AA310" s="959">
        <f t="shared" si="305"/>
        <v>59.183333333333337</v>
      </c>
      <c r="AB310" s="959">
        <f t="shared" si="305"/>
        <v>65.033333333333331</v>
      </c>
      <c r="AC310" s="959">
        <f t="shared" si="305"/>
        <v>69.52879999999999</v>
      </c>
      <c r="AD310" s="959">
        <f t="shared" si="305"/>
        <v>67.453333333333333</v>
      </c>
      <c r="AE310" s="959">
        <f t="shared" si="305"/>
        <v>65.033333333333331</v>
      </c>
      <c r="AF310" s="959">
        <f t="shared" si="305"/>
        <v>52.933333333333337</v>
      </c>
      <c r="AH310" s="959">
        <f t="shared" ref="AH310:AL310" si="306">AH245</f>
        <v>155.42546666666667</v>
      </c>
      <c r="AI310" s="959">
        <f t="shared" si="306"/>
        <v>162.68546666666666</v>
      </c>
      <c r="AJ310" s="959">
        <f t="shared" si="306"/>
        <v>193.74546666666666</v>
      </c>
      <c r="AK310" s="959">
        <f t="shared" si="306"/>
        <v>185.42000000000002</v>
      </c>
      <c r="AL310" s="959">
        <f t="shared" si="306"/>
        <v>697.27639999999997</v>
      </c>
      <c r="AN310" s="960">
        <f t="shared" ref="AN310:AY310" si="307">AN245</f>
        <v>2.5564412203734781</v>
      </c>
      <c r="AO310" s="960">
        <f t="shared" si="307"/>
        <v>2.5564412203734781</v>
      </c>
      <c r="AP310" s="960">
        <f t="shared" si="307"/>
        <v>5.0776989226553795</v>
      </c>
      <c r="AQ310" s="960">
        <f t="shared" si="307"/>
        <v>2.5564412203734781</v>
      </c>
      <c r="AR310" s="960">
        <f t="shared" si="307"/>
        <v>3.2439930907768675</v>
      </c>
      <c r="AS310" s="960">
        <f t="shared" si="307"/>
        <v>5.0776989226553795</v>
      </c>
      <c r="AT310" s="960">
        <f t="shared" si="307"/>
        <v>3.7023610043791275</v>
      </c>
      <c r="AU310" s="960">
        <f t="shared" si="307"/>
        <v>4.2087860043791272</v>
      </c>
      <c r="AV310" s="960">
        <f t="shared" si="307"/>
        <v>5.8133078794565094</v>
      </c>
      <c r="AW310" s="960">
        <f t="shared" si="307"/>
        <v>4.437969961180257</v>
      </c>
      <c r="AX310" s="960">
        <f t="shared" si="307"/>
        <v>4.2087860043791272</v>
      </c>
      <c r="AY310" s="960">
        <f t="shared" si="307"/>
        <v>3.0628662203734782</v>
      </c>
      <c r="BA310" s="960">
        <f t="shared" ref="BA310:BE310" si="308">BA245</f>
        <v>10.190581363402336</v>
      </c>
      <c r="BB310" s="960">
        <f t="shared" si="308"/>
        <v>10.878133233805725</v>
      </c>
      <c r="BC310" s="960">
        <f t="shared" si="308"/>
        <v>13.724454888214764</v>
      </c>
      <c r="BD310" s="960">
        <f t="shared" si="308"/>
        <v>11.709622185932862</v>
      </c>
      <c r="BE310" s="960">
        <f t="shared" si="308"/>
        <v>46.502791671355681</v>
      </c>
    </row>
    <row r="311" spans="3:57">
      <c r="C311" s="957" t="s">
        <v>21</v>
      </c>
      <c r="N311" s="959">
        <f>N309+N310</f>
        <v>45884.364400000006</v>
      </c>
      <c r="R311" s="959">
        <f>R309+R310</f>
        <v>435.14113127203302</v>
      </c>
      <c r="U311" s="959">
        <f t="shared" ref="U311:AF311" si="309">U309+U310</f>
        <v>2362.7033333333334</v>
      </c>
      <c r="V311" s="959">
        <f t="shared" si="309"/>
        <v>3171.0993333333336</v>
      </c>
      <c r="W311" s="959">
        <f t="shared" si="309"/>
        <v>3927.3748000000001</v>
      </c>
      <c r="X311" s="959">
        <f t="shared" si="309"/>
        <v>3345.5033333333336</v>
      </c>
      <c r="Y311" s="959">
        <f t="shared" si="309"/>
        <v>3582.9633333333336</v>
      </c>
      <c r="Z311" s="959">
        <f t="shared" si="309"/>
        <v>4660.6787999999997</v>
      </c>
      <c r="AA311" s="959">
        <f t="shared" si="309"/>
        <v>4251.0033333333331</v>
      </c>
      <c r="AB311" s="959">
        <f t="shared" si="309"/>
        <v>3939.4533333333334</v>
      </c>
      <c r="AC311" s="959">
        <f t="shared" si="309"/>
        <v>4043.1088</v>
      </c>
      <c r="AD311" s="959">
        <f t="shared" si="309"/>
        <v>4483.9733333333334</v>
      </c>
      <c r="AE311" s="959">
        <f t="shared" si="309"/>
        <v>4356.7493333333341</v>
      </c>
      <c r="AF311" s="959">
        <f t="shared" si="309"/>
        <v>3759.7533333333336</v>
      </c>
      <c r="AH311" s="959">
        <f t="shared" ref="AH311" si="310">AH309+AH310</f>
        <v>9461.1774666666679</v>
      </c>
      <c r="AI311" s="959">
        <f t="shared" ref="AI311" si="311">AI309+AI310</f>
        <v>11589.145466666667</v>
      </c>
      <c r="AJ311" s="959">
        <f t="shared" ref="AJ311" si="312">AJ309+AJ310</f>
        <v>12233.565466666667</v>
      </c>
      <c r="AK311" s="959">
        <f t="shared" ref="AK311" si="313">AK309+AK310</f>
        <v>12600.476000000001</v>
      </c>
      <c r="AL311" s="959">
        <f t="shared" ref="AL311" si="314">AL309+AL310</f>
        <v>45884.364400000006</v>
      </c>
      <c r="AN311" s="960">
        <f t="shared" ref="AN311" si="315">AN309+AN310</f>
        <v>24.863670499537598</v>
      </c>
      <c r="AO311" s="960">
        <f t="shared" ref="AO311" si="316">AO309+AO310</f>
        <v>31.714169473394641</v>
      </c>
      <c r="AP311" s="960">
        <f t="shared" ref="AP311" si="317">AP309+AP310</f>
        <v>39.172963453421666</v>
      </c>
      <c r="AQ311" s="960">
        <f t="shared" ref="AQ311" si="318">AQ309+AQ310</f>
        <v>32.383959158550262</v>
      </c>
      <c r="AR311" s="960">
        <f t="shared" ref="AR311" si="319">AR309+AR310</f>
        <v>33.623801712433604</v>
      </c>
      <c r="AS311" s="960">
        <f t="shared" ref="AS311" si="320">AS309+AS310</f>
        <v>44.906938190639664</v>
      </c>
      <c r="AT311" s="960">
        <f t="shared" ref="AT311" si="321">AT309+AT310</f>
        <v>38.480701520662457</v>
      </c>
      <c r="AU311" s="960">
        <f t="shared" ref="AU311" si="322">AU309+AU310</f>
        <v>35.752588729134253</v>
      </c>
      <c r="AV311" s="960">
        <f t="shared" ref="AV311" si="323">AV309+AV310</f>
        <v>38.95453099272526</v>
      </c>
      <c r="AW311" s="960">
        <f t="shared" ref="AW311" si="324">AW309+AW310</f>
        <v>41.004530852111237</v>
      </c>
      <c r="AX311" s="960">
        <f t="shared" ref="AX311" si="325">AX309+AX310</f>
        <v>39.451692175297829</v>
      </c>
      <c r="AY311" s="960">
        <f t="shared" ref="AY311:BA311" si="326">AY309+AY310</f>
        <v>34.831584514124557</v>
      </c>
      <c r="BA311" s="960">
        <f t="shared" si="326"/>
        <v>95.750803426353897</v>
      </c>
      <c r="BB311" s="960">
        <f t="shared" ref="BB311" si="327">BB309+BB310</f>
        <v>110.91469906162354</v>
      </c>
      <c r="BC311" s="960">
        <f t="shared" ref="BC311" si="328">BC309+BC310</f>
        <v>113.18782124252198</v>
      </c>
      <c r="BD311" s="960">
        <f t="shared" ref="BD311" si="329">BD309+BD310</f>
        <v>115.28780754153362</v>
      </c>
      <c r="BE311" s="960">
        <f t="shared" ref="BE311" si="330">BE309+BE310</f>
        <v>435.14113127203302</v>
      </c>
    </row>
    <row r="312" spans="3:57" ht="15.75" thickBot="1">
      <c r="C312" s="126" t="s">
        <v>59</v>
      </c>
      <c r="R312" s="688"/>
      <c r="AN312" s="960"/>
      <c r="AO312" s="960"/>
      <c r="AP312" s="960"/>
      <c r="AQ312" s="960"/>
      <c r="AR312" s="960"/>
      <c r="AS312" s="960"/>
      <c r="AT312" s="960"/>
      <c r="AU312" s="960"/>
      <c r="AV312" s="960"/>
      <c r="AW312" s="960"/>
      <c r="AX312" s="960"/>
      <c r="AY312" s="960"/>
      <c r="BA312" s="960"/>
      <c r="BB312" s="960"/>
      <c r="BC312" s="960"/>
      <c r="BD312" s="960"/>
      <c r="BE312" s="960"/>
    </row>
    <row r="313" spans="3:57">
      <c r="C313" s="958" t="s">
        <v>23</v>
      </c>
      <c r="N313" s="959">
        <f>SUM(N183)</f>
        <v>300</v>
      </c>
      <c r="R313" s="959">
        <f>SUM(R183)</f>
        <v>0.6</v>
      </c>
      <c r="U313" s="959">
        <f t="shared" ref="U313:AF313" si="331">SUM(U183)</f>
        <v>25</v>
      </c>
      <c r="V313" s="959">
        <f t="shared" si="331"/>
        <v>25</v>
      </c>
      <c r="W313" s="959">
        <f t="shared" si="331"/>
        <v>25</v>
      </c>
      <c r="X313" s="959">
        <f t="shared" si="331"/>
        <v>25</v>
      </c>
      <c r="Y313" s="959">
        <f t="shared" si="331"/>
        <v>25</v>
      </c>
      <c r="Z313" s="959">
        <f t="shared" si="331"/>
        <v>25</v>
      </c>
      <c r="AA313" s="959">
        <f t="shared" si="331"/>
        <v>25</v>
      </c>
      <c r="AB313" s="959">
        <f t="shared" si="331"/>
        <v>25</v>
      </c>
      <c r="AC313" s="959">
        <f t="shared" si="331"/>
        <v>25</v>
      </c>
      <c r="AD313" s="959">
        <f t="shared" si="331"/>
        <v>25</v>
      </c>
      <c r="AE313" s="959">
        <f t="shared" si="331"/>
        <v>25</v>
      </c>
      <c r="AF313" s="959">
        <f t="shared" si="331"/>
        <v>25</v>
      </c>
      <c r="AH313" s="959">
        <f t="shared" ref="AH313:AL313" si="332">SUM(AH183)</f>
        <v>75</v>
      </c>
      <c r="AI313" s="959">
        <f t="shared" si="332"/>
        <v>75</v>
      </c>
      <c r="AJ313" s="959">
        <f t="shared" si="332"/>
        <v>75</v>
      </c>
      <c r="AK313" s="959">
        <f t="shared" si="332"/>
        <v>75</v>
      </c>
      <c r="AL313" s="959">
        <f t="shared" si="332"/>
        <v>300</v>
      </c>
      <c r="AN313" s="960">
        <f t="shared" ref="AN313:AY313" si="333">SUM(AN183)</f>
        <v>0.05</v>
      </c>
      <c r="AO313" s="960">
        <f t="shared" si="333"/>
        <v>0.05</v>
      </c>
      <c r="AP313" s="960">
        <f t="shared" si="333"/>
        <v>0.05</v>
      </c>
      <c r="AQ313" s="960">
        <f t="shared" si="333"/>
        <v>0.05</v>
      </c>
      <c r="AR313" s="960">
        <f t="shared" si="333"/>
        <v>0.05</v>
      </c>
      <c r="AS313" s="960">
        <f t="shared" si="333"/>
        <v>0.05</v>
      </c>
      <c r="AT313" s="960">
        <f t="shared" si="333"/>
        <v>0.05</v>
      </c>
      <c r="AU313" s="960">
        <f t="shared" si="333"/>
        <v>0.05</v>
      </c>
      <c r="AV313" s="960">
        <f t="shared" si="333"/>
        <v>0.05</v>
      </c>
      <c r="AW313" s="960">
        <f t="shared" si="333"/>
        <v>0.05</v>
      </c>
      <c r="AX313" s="960">
        <f t="shared" si="333"/>
        <v>0.05</v>
      </c>
      <c r="AY313" s="960">
        <f t="shared" si="333"/>
        <v>0.05</v>
      </c>
      <c r="BA313" s="960">
        <f t="shared" ref="BA313:BE313" si="334">SUM(BA183)</f>
        <v>0.15000000000000002</v>
      </c>
      <c r="BB313" s="960">
        <f t="shared" si="334"/>
        <v>0.15000000000000002</v>
      </c>
      <c r="BC313" s="960">
        <f t="shared" si="334"/>
        <v>0.15000000000000002</v>
      </c>
      <c r="BD313" s="960">
        <f t="shared" si="334"/>
        <v>0.15000000000000002</v>
      </c>
      <c r="BE313" s="960">
        <f t="shared" si="334"/>
        <v>0.60000000000000009</v>
      </c>
    </row>
    <row r="314" spans="3:57">
      <c r="N314" s="959">
        <f>N311+N313</f>
        <v>46184.364400000006</v>
      </c>
      <c r="R314" s="961">
        <f>R311+R313</f>
        <v>435.74113127203304</v>
      </c>
      <c r="U314" s="961">
        <f t="shared" ref="U314:AF314" si="335">U311+U313</f>
        <v>2387.7033333333334</v>
      </c>
      <c r="V314" s="961">
        <f t="shared" si="335"/>
        <v>3196.0993333333336</v>
      </c>
      <c r="W314" s="961">
        <f t="shared" si="335"/>
        <v>3952.3748000000001</v>
      </c>
      <c r="X314" s="961">
        <f t="shared" si="335"/>
        <v>3370.5033333333336</v>
      </c>
      <c r="Y314" s="961">
        <f t="shared" si="335"/>
        <v>3607.9633333333336</v>
      </c>
      <c r="Z314" s="961">
        <f t="shared" si="335"/>
        <v>4685.6787999999997</v>
      </c>
      <c r="AA314" s="961">
        <f t="shared" si="335"/>
        <v>4276.0033333333331</v>
      </c>
      <c r="AB314" s="961">
        <f t="shared" si="335"/>
        <v>3964.4533333333334</v>
      </c>
      <c r="AC314" s="961">
        <f t="shared" si="335"/>
        <v>4068.1088</v>
      </c>
      <c r="AD314" s="961">
        <f t="shared" si="335"/>
        <v>4508.9733333333334</v>
      </c>
      <c r="AE314" s="961">
        <f t="shared" si="335"/>
        <v>4381.7493333333341</v>
      </c>
      <c r="AF314" s="961">
        <f t="shared" si="335"/>
        <v>3784.7533333333336</v>
      </c>
      <c r="AH314" s="961">
        <f t="shared" ref="AH314" si="336">AH311+AH313</f>
        <v>9536.1774666666679</v>
      </c>
      <c r="AI314" s="961">
        <f t="shared" ref="AI314" si="337">AI311+AI313</f>
        <v>11664.145466666667</v>
      </c>
      <c r="AJ314" s="961">
        <f t="shared" ref="AJ314" si="338">AJ311+AJ313</f>
        <v>12308.565466666667</v>
      </c>
      <c r="AK314" s="961">
        <f t="shared" ref="AK314" si="339">AK311+AK313</f>
        <v>12675.476000000001</v>
      </c>
      <c r="AL314" s="961">
        <f t="shared" ref="AL314" si="340">AL311+AL313</f>
        <v>46184.364400000006</v>
      </c>
      <c r="AN314" s="960">
        <f t="shared" ref="AN314" si="341">AN311+AN313</f>
        <v>24.913670499537599</v>
      </c>
      <c r="AO314" s="960">
        <f t="shared" ref="AO314" si="342">AO311+AO313</f>
        <v>31.764169473394642</v>
      </c>
      <c r="AP314" s="960">
        <f t="shared" ref="AP314" si="343">AP311+AP313</f>
        <v>39.222963453421663</v>
      </c>
      <c r="AQ314" s="960">
        <f t="shared" ref="AQ314" si="344">AQ311+AQ313</f>
        <v>32.433959158550259</v>
      </c>
      <c r="AR314" s="960">
        <f t="shared" ref="AR314" si="345">AR311+AR313</f>
        <v>33.673801712433601</v>
      </c>
      <c r="AS314" s="960">
        <f t="shared" ref="AS314" si="346">AS311+AS313</f>
        <v>44.956938190639661</v>
      </c>
      <c r="AT314" s="960">
        <f t="shared" ref="AT314" si="347">AT311+AT313</f>
        <v>38.530701520662454</v>
      </c>
      <c r="AU314" s="960">
        <f t="shared" ref="AU314" si="348">AU311+AU313</f>
        <v>35.80258872913425</v>
      </c>
      <c r="AV314" s="960">
        <f t="shared" ref="AV314" si="349">AV311+AV313</f>
        <v>39.004530992725257</v>
      </c>
      <c r="AW314" s="960">
        <f t="shared" ref="AW314" si="350">AW311+AW313</f>
        <v>41.054530852111235</v>
      </c>
      <c r="AX314" s="960">
        <f t="shared" ref="AX314" si="351">AX311+AX313</f>
        <v>39.501692175297826</v>
      </c>
      <c r="AY314" s="960">
        <f t="shared" ref="AY314:BA314" si="352">AY311+AY313</f>
        <v>34.881584514124555</v>
      </c>
      <c r="BA314" s="960">
        <f t="shared" si="352"/>
        <v>95.900803426353903</v>
      </c>
      <c r="BB314" s="960">
        <f t="shared" ref="BB314" si="353">BB311+BB313</f>
        <v>111.06469906162354</v>
      </c>
      <c r="BC314" s="960">
        <f t="shared" ref="BC314" si="354">BC311+BC313</f>
        <v>113.33782124252198</v>
      </c>
      <c r="BD314" s="960">
        <f t="shared" ref="BD314" si="355">BD311+BD313</f>
        <v>115.43780754153363</v>
      </c>
      <c r="BE314" s="960">
        <f t="shared" ref="BE314" si="356">BE311+BE313</f>
        <v>435.74113127203304</v>
      </c>
    </row>
    <row r="315" spans="3:57" ht="15.75" thickBot="1">
      <c r="C315" s="126" t="s">
        <v>25</v>
      </c>
      <c r="N315" s="959">
        <f>N314-N247</f>
        <v>0</v>
      </c>
      <c r="R315" s="682">
        <f>R314-R247</f>
        <v>0</v>
      </c>
      <c r="U315" s="682">
        <f t="shared" ref="U315:AF315" si="357">U314-U247</f>
        <v>0</v>
      </c>
      <c r="V315" s="682">
        <f t="shared" si="357"/>
        <v>0</v>
      </c>
      <c r="W315" s="682">
        <f t="shared" si="357"/>
        <v>0</v>
      </c>
      <c r="X315" s="682">
        <f t="shared" si="357"/>
        <v>0</v>
      </c>
      <c r="Y315" s="682">
        <f t="shared" si="357"/>
        <v>0</v>
      </c>
      <c r="Z315" s="682">
        <f t="shared" si="357"/>
        <v>0</v>
      </c>
      <c r="AA315" s="682">
        <f t="shared" si="357"/>
        <v>0</v>
      </c>
      <c r="AB315" s="682">
        <f t="shared" si="357"/>
        <v>0</v>
      </c>
      <c r="AC315" s="682">
        <f t="shared" si="357"/>
        <v>0</v>
      </c>
      <c r="AD315" s="682">
        <f t="shared" si="357"/>
        <v>0</v>
      </c>
      <c r="AE315" s="682">
        <f t="shared" si="357"/>
        <v>0</v>
      </c>
      <c r="AF315" s="682">
        <f t="shared" si="357"/>
        <v>0</v>
      </c>
      <c r="AH315" s="682">
        <f t="shared" ref="AH315" si="358">AH314-AH247</f>
        <v>0</v>
      </c>
      <c r="AI315" s="682">
        <f t="shared" ref="AI315" si="359">AI314-AI247</f>
        <v>0</v>
      </c>
      <c r="AJ315" s="682">
        <f t="shared" ref="AJ315" si="360">AJ314-AJ247</f>
        <v>0</v>
      </c>
      <c r="AK315" s="682">
        <f t="shared" ref="AK315" si="361">AK314-AK247</f>
        <v>0</v>
      </c>
      <c r="AL315" s="682">
        <f t="shared" ref="AL315" si="362">AL314-AL247</f>
        <v>0</v>
      </c>
      <c r="AN315" s="962">
        <f t="shared" ref="AN315" si="363">AN314-AN247</f>
        <v>0</v>
      </c>
      <c r="AO315" s="962">
        <f t="shared" ref="AO315" si="364">AO314-AO247</f>
        <v>0</v>
      </c>
      <c r="AP315" s="962">
        <f t="shared" ref="AP315" si="365">AP314-AP247</f>
        <v>0</v>
      </c>
      <c r="AQ315" s="962">
        <f t="shared" ref="AQ315" si="366">AQ314-AQ247</f>
        <v>0</v>
      </c>
      <c r="AR315" s="962">
        <f t="shared" ref="AR315" si="367">AR314-AR247</f>
        <v>0</v>
      </c>
      <c r="AS315" s="962">
        <f t="shared" ref="AS315" si="368">AS314-AS247</f>
        <v>0</v>
      </c>
      <c r="AT315" s="962">
        <f t="shared" ref="AT315" si="369">AT314-AT247</f>
        <v>0</v>
      </c>
      <c r="AU315" s="962">
        <f t="shared" ref="AU315" si="370">AU314-AU247</f>
        <v>0</v>
      </c>
      <c r="AV315" s="962">
        <f t="shared" ref="AV315" si="371">AV314-AV247</f>
        <v>0</v>
      </c>
      <c r="AW315" s="962">
        <f t="shared" ref="AW315" si="372">AW314-AW247</f>
        <v>0</v>
      </c>
      <c r="AX315" s="962">
        <f t="shared" ref="AX315" si="373">AX314-AX247</f>
        <v>0</v>
      </c>
      <c r="AY315" s="962">
        <f t="shared" ref="AY315:BA315" si="374">AY314-AY247</f>
        <v>0</v>
      </c>
      <c r="BA315" s="962">
        <f t="shared" si="374"/>
        <v>0</v>
      </c>
      <c r="BB315" s="962">
        <f t="shared" ref="BB315" si="375">BB314-BB247</f>
        <v>0</v>
      </c>
      <c r="BC315" s="962">
        <f t="shared" ref="BC315" si="376">BC314-BC247</f>
        <v>0</v>
      </c>
      <c r="BD315" s="962">
        <f t="shared" ref="BD315" si="377">BD314-BD247</f>
        <v>0</v>
      </c>
      <c r="BE315" s="962">
        <f t="shared" ref="BE315" si="378">BE314-BE247</f>
        <v>0</v>
      </c>
    </row>
    <row r="319" spans="3:57">
      <c r="C319" s="955" t="s">
        <v>55</v>
      </c>
    </row>
    <row r="320" spans="3:57">
      <c r="C320" s="955" t="s">
        <v>26</v>
      </c>
      <c r="V320" s="959">
        <f>V295+U295</f>
        <v>1665.6</v>
      </c>
      <c r="W320" s="959">
        <f>V320+W295</f>
        <v>2637.6</v>
      </c>
      <c r="X320" s="959">
        <f t="shared" ref="X320:AF320" si="379">W320+X295</f>
        <v>3444.8999999999996</v>
      </c>
      <c r="Y320" s="959">
        <f t="shared" si="379"/>
        <v>4259.7</v>
      </c>
      <c r="Z320" s="959">
        <f t="shared" si="379"/>
        <v>5501.7</v>
      </c>
      <c r="AA320" s="959">
        <f t="shared" si="379"/>
        <v>6271.2</v>
      </c>
      <c r="AB320" s="959">
        <f t="shared" si="379"/>
        <v>7024.8</v>
      </c>
      <c r="AC320" s="959">
        <f t="shared" si="379"/>
        <v>7852.8</v>
      </c>
      <c r="AD320" s="959">
        <f t="shared" si="379"/>
        <v>8626.7999999999993</v>
      </c>
      <c r="AE320" s="959">
        <f t="shared" si="379"/>
        <v>9357.5999999999985</v>
      </c>
      <c r="AF320" s="959">
        <f t="shared" si="379"/>
        <v>10293.899999999998</v>
      </c>
      <c r="AO320" s="971">
        <f>AO295+AN295</f>
        <v>20.796815720941773</v>
      </c>
      <c r="AP320" s="971">
        <f>AO320+AP295</f>
        <v>32.786038581338673</v>
      </c>
      <c r="AQ320" s="971">
        <f t="shared" ref="AQ320:AY320" si="380">AP320+AQ295</f>
        <v>43.038294539188755</v>
      </c>
      <c r="AR320" s="971">
        <f t="shared" si="380"/>
        <v>53.055109197790671</v>
      </c>
      <c r="AS320" s="971">
        <f t="shared" si="380"/>
        <v>68.034305280800169</v>
      </c>
      <c r="AT320" s="971">
        <f t="shared" si="380"/>
        <v>77.825631202987751</v>
      </c>
      <c r="AU320" s="971">
        <f t="shared" si="380"/>
        <v>86.991699215115688</v>
      </c>
      <c r="AV320" s="971">
        <f t="shared" si="380"/>
        <v>97.326905736964562</v>
      </c>
      <c r="AW320" s="971">
        <f t="shared" si="380"/>
        <v>107.16401248597754</v>
      </c>
      <c r="AX320" s="971">
        <f t="shared" si="380"/>
        <v>116.25760557549948</v>
      </c>
      <c r="AY320" s="971">
        <f t="shared" si="380"/>
        <v>127.86342137176305</v>
      </c>
    </row>
    <row r="321" spans="3:51">
      <c r="C321" s="955" t="s">
        <v>49</v>
      </c>
      <c r="V321" s="959">
        <f t="shared" ref="V321:V340" si="381">V296+U296</f>
        <v>0</v>
      </c>
      <c r="W321" s="959">
        <f t="shared" ref="W321:AF340" si="382">V321+W296</f>
        <v>120</v>
      </c>
      <c r="X321" s="959">
        <f t="shared" si="382"/>
        <v>240</v>
      </c>
      <c r="Y321" s="959">
        <f t="shared" si="382"/>
        <v>360</v>
      </c>
      <c r="Z321" s="959">
        <f t="shared" si="382"/>
        <v>480</v>
      </c>
      <c r="AA321" s="959">
        <f t="shared" si="382"/>
        <v>600</v>
      </c>
      <c r="AB321" s="959">
        <f t="shared" si="382"/>
        <v>720</v>
      </c>
      <c r="AC321" s="959">
        <f t="shared" si="382"/>
        <v>840</v>
      </c>
      <c r="AD321" s="959">
        <f t="shared" si="382"/>
        <v>960</v>
      </c>
      <c r="AE321" s="959">
        <f t="shared" si="382"/>
        <v>1080</v>
      </c>
      <c r="AF321" s="959">
        <f t="shared" si="382"/>
        <v>1200</v>
      </c>
      <c r="AO321" s="971">
        <f t="shared" ref="AO321:AO340" si="383">AO296+AN296</f>
        <v>0</v>
      </c>
      <c r="AP321" s="971">
        <f t="shared" ref="AP321:AY340" si="384">AO321+AP296</f>
        <v>7.1999999999999995E-2</v>
      </c>
      <c r="AQ321" s="971">
        <f t="shared" si="384"/>
        <v>0.14399999999999999</v>
      </c>
      <c r="AR321" s="971">
        <f t="shared" si="384"/>
        <v>0.21599999999999997</v>
      </c>
      <c r="AS321" s="971">
        <f t="shared" si="384"/>
        <v>0.28799999999999998</v>
      </c>
      <c r="AT321" s="971">
        <f t="shared" si="384"/>
        <v>0.36</v>
      </c>
      <c r="AU321" s="971">
        <f t="shared" si="384"/>
        <v>0.432</v>
      </c>
      <c r="AV321" s="971">
        <f t="shared" si="384"/>
        <v>0.504</v>
      </c>
      <c r="AW321" s="971">
        <f t="shared" si="384"/>
        <v>0.57599999999999996</v>
      </c>
      <c r="AX321" s="971">
        <f t="shared" si="384"/>
        <v>0.64799999999999991</v>
      </c>
      <c r="AY321" s="971">
        <f t="shared" si="384"/>
        <v>0.71999999999999986</v>
      </c>
    </row>
    <row r="322" spans="3:51">
      <c r="C322" s="955" t="s">
        <v>27</v>
      </c>
      <c r="V322" s="959">
        <f t="shared" si="381"/>
        <v>151</v>
      </c>
      <c r="W322" s="959">
        <f t="shared" si="382"/>
        <v>230</v>
      </c>
      <c r="X322" s="959">
        <f t="shared" si="382"/>
        <v>309</v>
      </c>
      <c r="Y322" s="959">
        <f t="shared" si="382"/>
        <v>388</v>
      </c>
      <c r="Z322" s="959">
        <f t="shared" si="382"/>
        <v>467</v>
      </c>
      <c r="AA322" s="959">
        <f t="shared" si="382"/>
        <v>546</v>
      </c>
      <c r="AB322" s="959">
        <f t="shared" si="382"/>
        <v>625</v>
      </c>
      <c r="AC322" s="959">
        <f t="shared" si="382"/>
        <v>704</v>
      </c>
      <c r="AD322" s="959">
        <f t="shared" si="382"/>
        <v>895</v>
      </c>
      <c r="AE322" s="959">
        <f t="shared" si="382"/>
        <v>1181</v>
      </c>
      <c r="AF322" s="959">
        <f t="shared" si="382"/>
        <v>1450</v>
      </c>
      <c r="AO322" s="971">
        <f t="shared" si="383"/>
        <v>1.2424793950656079</v>
      </c>
      <c r="AP322" s="971">
        <f t="shared" si="384"/>
        <v>1.8925182838747672</v>
      </c>
      <c r="AQ322" s="971">
        <f t="shared" si="384"/>
        <v>2.5425571726839262</v>
      </c>
      <c r="AR322" s="971">
        <f t="shared" si="384"/>
        <v>3.1925960614930853</v>
      </c>
      <c r="AS322" s="971">
        <f t="shared" si="384"/>
        <v>3.8426349503022443</v>
      </c>
      <c r="AT322" s="971">
        <f t="shared" si="384"/>
        <v>4.4926738391114034</v>
      </c>
      <c r="AU322" s="971">
        <f t="shared" si="384"/>
        <v>5.1427127279205624</v>
      </c>
      <c r="AV322" s="971">
        <f t="shared" si="384"/>
        <v>5.7927516167297215</v>
      </c>
      <c r="AW322" s="971">
        <f t="shared" si="384"/>
        <v>7.3643646263822458</v>
      </c>
      <c r="AX322" s="971">
        <f t="shared" si="384"/>
        <v>9.7176699706786955</v>
      </c>
      <c r="AY322" s="971">
        <f t="shared" si="384"/>
        <v>11.931093528775705</v>
      </c>
    </row>
    <row r="323" spans="3:51">
      <c r="C323" s="955" t="s">
        <v>53</v>
      </c>
      <c r="V323" s="959">
        <f t="shared" si="381"/>
        <v>142</v>
      </c>
      <c r="W323" s="959">
        <f t="shared" si="382"/>
        <v>234</v>
      </c>
      <c r="X323" s="959">
        <f t="shared" si="382"/>
        <v>328</v>
      </c>
      <c r="Y323" s="959">
        <f t="shared" si="382"/>
        <v>452</v>
      </c>
      <c r="Z323" s="959">
        <f t="shared" si="382"/>
        <v>576</v>
      </c>
      <c r="AA323" s="959">
        <f t="shared" si="382"/>
        <v>672</v>
      </c>
      <c r="AB323" s="959">
        <f t="shared" si="382"/>
        <v>751</v>
      </c>
      <c r="AC323" s="959">
        <f t="shared" si="382"/>
        <v>797</v>
      </c>
      <c r="AD323" s="959">
        <f t="shared" si="382"/>
        <v>858</v>
      </c>
      <c r="AE323" s="959">
        <f t="shared" si="382"/>
        <v>900</v>
      </c>
      <c r="AF323" s="959">
        <f t="shared" si="382"/>
        <v>945</v>
      </c>
      <c r="AO323" s="971">
        <f t="shared" si="383"/>
        <v>1.9557939905627584</v>
      </c>
      <c r="AP323" s="971">
        <f t="shared" si="384"/>
        <v>3.2213892832794628</v>
      </c>
      <c r="AQ323" s="971">
        <f t="shared" si="384"/>
        <v>4.5238056126387303</v>
      </c>
      <c r="AR323" s="971">
        <f t="shared" si="384"/>
        <v>6.2367976650407373</v>
      </c>
      <c r="AS323" s="971">
        <f t="shared" si="384"/>
        <v>7.9261664130101259</v>
      </c>
      <c r="AT323" s="971">
        <f t="shared" si="384"/>
        <v>9.2417804745793397</v>
      </c>
      <c r="AU323" s="971">
        <f t="shared" si="384"/>
        <v>10.341861855471315</v>
      </c>
      <c r="AV323" s="971">
        <f t="shared" si="384"/>
        <v>10.979088871410783</v>
      </c>
      <c r="AW323" s="971">
        <f t="shared" si="384"/>
        <v>11.82160374887162</v>
      </c>
      <c r="AX323" s="971">
        <f t="shared" si="384"/>
        <v>12.391094517634116</v>
      </c>
      <c r="AY323" s="971">
        <f t="shared" si="384"/>
        <v>12.998099363035994</v>
      </c>
    </row>
    <row r="324" spans="3:51">
      <c r="C324" s="955" t="s">
        <v>54</v>
      </c>
      <c r="V324" s="959">
        <f t="shared" si="381"/>
        <v>220</v>
      </c>
      <c r="W324" s="959">
        <f t="shared" si="382"/>
        <v>310</v>
      </c>
      <c r="X324" s="959">
        <f t="shared" si="382"/>
        <v>390</v>
      </c>
      <c r="Y324" s="959">
        <f t="shared" si="382"/>
        <v>490</v>
      </c>
      <c r="Z324" s="959">
        <f t="shared" si="382"/>
        <v>590</v>
      </c>
      <c r="AA324" s="959">
        <f t="shared" si="382"/>
        <v>690</v>
      </c>
      <c r="AB324" s="959">
        <f t="shared" si="382"/>
        <v>790</v>
      </c>
      <c r="AC324" s="959">
        <f t="shared" si="382"/>
        <v>890</v>
      </c>
      <c r="AD324" s="959">
        <f t="shared" si="382"/>
        <v>990</v>
      </c>
      <c r="AE324" s="959">
        <f t="shared" si="382"/>
        <v>1110</v>
      </c>
      <c r="AF324" s="959">
        <f t="shared" si="382"/>
        <v>1200</v>
      </c>
      <c r="AO324" s="971">
        <f t="shared" si="383"/>
        <v>3.3110083487548594</v>
      </c>
      <c r="AP324" s="971">
        <f t="shared" si="384"/>
        <v>4.6655117641545747</v>
      </c>
      <c r="AQ324" s="971">
        <f t="shared" si="384"/>
        <v>5.8695148000654331</v>
      </c>
      <c r="AR324" s="971">
        <f t="shared" si="384"/>
        <v>7.3745185949540062</v>
      </c>
      <c r="AS324" s="971">
        <f t="shared" si="384"/>
        <v>8.8795223898425792</v>
      </c>
      <c r="AT324" s="971">
        <f t="shared" si="384"/>
        <v>10.384526184731152</v>
      </c>
      <c r="AU324" s="971">
        <f t="shared" si="384"/>
        <v>11.889529979619725</v>
      </c>
      <c r="AV324" s="971">
        <f t="shared" si="384"/>
        <v>13.394533774508298</v>
      </c>
      <c r="AW324" s="971">
        <f t="shared" si="384"/>
        <v>14.899537569396871</v>
      </c>
      <c r="AX324" s="971">
        <f t="shared" si="384"/>
        <v>16.705542123263157</v>
      </c>
      <c r="AY324" s="971">
        <f t="shared" si="384"/>
        <v>18.060045538662873</v>
      </c>
    </row>
    <row r="325" spans="3:51">
      <c r="C325" s="955" t="s">
        <v>52</v>
      </c>
      <c r="V325" s="959">
        <f t="shared" si="381"/>
        <v>100</v>
      </c>
      <c r="W325" s="959">
        <f t="shared" si="382"/>
        <v>150</v>
      </c>
      <c r="X325" s="959">
        <f t="shared" si="382"/>
        <v>200</v>
      </c>
      <c r="Y325" s="959">
        <f t="shared" si="382"/>
        <v>250</v>
      </c>
      <c r="Z325" s="959">
        <f t="shared" si="382"/>
        <v>300</v>
      </c>
      <c r="AA325" s="959">
        <f t="shared" si="382"/>
        <v>350</v>
      </c>
      <c r="AB325" s="959">
        <f t="shared" si="382"/>
        <v>400</v>
      </c>
      <c r="AC325" s="959">
        <f t="shared" si="382"/>
        <v>450</v>
      </c>
      <c r="AD325" s="959">
        <f t="shared" si="382"/>
        <v>500</v>
      </c>
      <c r="AE325" s="959">
        <f t="shared" si="382"/>
        <v>550</v>
      </c>
      <c r="AF325" s="959">
        <f t="shared" si="382"/>
        <v>600</v>
      </c>
      <c r="AO325" s="971">
        <f t="shared" si="383"/>
        <v>2.2906433064423979</v>
      </c>
      <c r="AP325" s="971">
        <f t="shared" si="384"/>
        <v>3.4359649596635968</v>
      </c>
      <c r="AQ325" s="971">
        <f t="shared" si="384"/>
        <v>4.5812866128847958</v>
      </c>
      <c r="AR325" s="971">
        <f t="shared" si="384"/>
        <v>5.7266082661059947</v>
      </c>
      <c r="AS325" s="971">
        <f t="shared" si="384"/>
        <v>6.8719299193271937</v>
      </c>
      <c r="AT325" s="971">
        <f t="shared" si="384"/>
        <v>8.0172515725483926</v>
      </c>
      <c r="AU325" s="971">
        <f t="shared" si="384"/>
        <v>9.1625732257695915</v>
      </c>
      <c r="AV325" s="971">
        <f t="shared" si="384"/>
        <v>10.30789487899079</v>
      </c>
      <c r="AW325" s="971">
        <f t="shared" si="384"/>
        <v>11.453216532211989</v>
      </c>
      <c r="AX325" s="971">
        <f t="shared" si="384"/>
        <v>12.598538185433188</v>
      </c>
      <c r="AY325" s="971">
        <f t="shared" si="384"/>
        <v>13.743859838654387</v>
      </c>
    </row>
    <row r="326" spans="3:51">
      <c r="C326" s="955" t="s">
        <v>56</v>
      </c>
      <c r="V326" s="959">
        <f t="shared" si="381"/>
        <v>96</v>
      </c>
      <c r="W326" s="959">
        <f t="shared" si="382"/>
        <v>126</v>
      </c>
      <c r="X326" s="959">
        <f t="shared" si="382"/>
        <v>156</v>
      </c>
      <c r="Y326" s="959">
        <f t="shared" si="382"/>
        <v>222</v>
      </c>
      <c r="Z326" s="959">
        <f t="shared" si="382"/>
        <v>282</v>
      </c>
      <c r="AA326" s="959">
        <f t="shared" si="382"/>
        <v>324</v>
      </c>
      <c r="AB326" s="959">
        <f t="shared" si="382"/>
        <v>384</v>
      </c>
      <c r="AC326" s="959">
        <f t="shared" si="382"/>
        <v>489</v>
      </c>
      <c r="AD326" s="959">
        <f t="shared" si="382"/>
        <v>575</v>
      </c>
      <c r="AE326" s="959">
        <f t="shared" si="382"/>
        <v>635</v>
      </c>
      <c r="AF326" s="959">
        <f t="shared" si="382"/>
        <v>690</v>
      </c>
      <c r="AO326" s="971">
        <f t="shared" si="383"/>
        <v>1.0397408273719728</v>
      </c>
      <c r="AP326" s="971">
        <f t="shared" si="384"/>
        <v>1.3389941583085676</v>
      </c>
      <c r="AQ326" s="971">
        <f t="shared" si="384"/>
        <v>1.640866989358114</v>
      </c>
      <c r="AR326" s="971">
        <f t="shared" si="384"/>
        <v>2.3787349856805404</v>
      </c>
      <c r="AS326" s="971">
        <f t="shared" si="384"/>
        <v>2.9798611476666816</v>
      </c>
      <c r="AT326" s="971">
        <f t="shared" si="384"/>
        <v>3.5227046949101419</v>
      </c>
      <c r="AU326" s="971">
        <f t="shared" si="384"/>
        <v>4.1319333287269009</v>
      </c>
      <c r="AV326" s="971">
        <f t="shared" si="384"/>
        <v>5.2548917238396387</v>
      </c>
      <c r="AW326" s="971">
        <f t="shared" si="384"/>
        <v>6.18852530247743</v>
      </c>
      <c r="AX326" s="971">
        <f t="shared" si="384"/>
        <v>6.797753936294189</v>
      </c>
      <c r="AY326" s="971">
        <f t="shared" si="384"/>
        <v>7.3959740683107933</v>
      </c>
    </row>
    <row r="327" spans="3:51">
      <c r="C327" s="955" t="s">
        <v>57</v>
      </c>
      <c r="V327" s="959">
        <f t="shared" si="381"/>
        <v>0</v>
      </c>
      <c r="W327" s="959">
        <f t="shared" si="382"/>
        <v>100</v>
      </c>
      <c r="X327" s="959">
        <f t="shared" si="382"/>
        <v>100</v>
      </c>
      <c r="Y327" s="959">
        <f t="shared" si="382"/>
        <v>100</v>
      </c>
      <c r="Z327" s="959">
        <f t="shared" si="382"/>
        <v>100</v>
      </c>
      <c r="AA327" s="959">
        <f t="shared" si="382"/>
        <v>200</v>
      </c>
      <c r="AB327" s="959">
        <f t="shared" si="382"/>
        <v>200</v>
      </c>
      <c r="AC327" s="959">
        <f t="shared" si="382"/>
        <v>200</v>
      </c>
      <c r="AD327" s="959">
        <f t="shared" si="382"/>
        <v>200</v>
      </c>
      <c r="AE327" s="959">
        <f t="shared" si="382"/>
        <v>300</v>
      </c>
      <c r="AF327" s="959">
        <f t="shared" si="382"/>
        <v>300</v>
      </c>
      <c r="AO327" s="971">
        <f t="shared" si="383"/>
        <v>0</v>
      </c>
      <c r="AP327" s="971">
        <f t="shared" si="384"/>
        <v>0.9281005978250001</v>
      </c>
      <c r="AQ327" s="971">
        <f t="shared" si="384"/>
        <v>0.9281005978250001</v>
      </c>
      <c r="AR327" s="971">
        <f t="shared" si="384"/>
        <v>0.9281005978250001</v>
      </c>
      <c r="AS327" s="971">
        <f t="shared" si="384"/>
        <v>0.9281005978250001</v>
      </c>
      <c r="AT327" s="971">
        <f t="shared" si="384"/>
        <v>1.8562011956500002</v>
      </c>
      <c r="AU327" s="971">
        <f t="shared" si="384"/>
        <v>1.8562011956500002</v>
      </c>
      <c r="AV327" s="971">
        <f t="shared" si="384"/>
        <v>1.8562011956500002</v>
      </c>
      <c r="AW327" s="971">
        <f t="shared" si="384"/>
        <v>1.8562011956500002</v>
      </c>
      <c r="AX327" s="971">
        <f t="shared" si="384"/>
        <v>2.7843017934750005</v>
      </c>
      <c r="AY327" s="971">
        <f t="shared" si="384"/>
        <v>2.7843017934750005</v>
      </c>
    </row>
    <row r="328" spans="3:51">
      <c r="C328" s="955" t="s">
        <v>28</v>
      </c>
      <c r="V328" s="959">
        <f t="shared" si="381"/>
        <v>142.5</v>
      </c>
      <c r="W328" s="959">
        <f t="shared" si="382"/>
        <v>303</v>
      </c>
      <c r="X328" s="959">
        <f t="shared" si="382"/>
        <v>442</v>
      </c>
      <c r="Y328" s="959">
        <f t="shared" si="382"/>
        <v>523.5</v>
      </c>
      <c r="Z328" s="959">
        <f t="shared" si="382"/>
        <v>663</v>
      </c>
      <c r="AA328" s="959">
        <f t="shared" si="382"/>
        <v>787.5</v>
      </c>
      <c r="AB328" s="959">
        <f t="shared" si="382"/>
        <v>946</v>
      </c>
      <c r="AC328" s="959">
        <f t="shared" si="382"/>
        <v>1093.5</v>
      </c>
      <c r="AD328" s="959">
        <f t="shared" si="382"/>
        <v>1262</v>
      </c>
      <c r="AE328" s="959">
        <f t="shared" si="382"/>
        <v>1400.5</v>
      </c>
      <c r="AF328" s="959">
        <f t="shared" si="382"/>
        <v>1454</v>
      </c>
      <c r="AO328" s="971">
        <f t="shared" si="383"/>
        <v>2.4960058591185774</v>
      </c>
      <c r="AP328" s="971">
        <f t="shared" si="384"/>
        <v>5.4652321781702167</v>
      </c>
      <c r="AQ328" s="971">
        <f t="shared" si="384"/>
        <v>7.9553350346982485</v>
      </c>
      <c r="AR328" s="971">
        <f t="shared" si="384"/>
        <v>9.7802450119101429</v>
      </c>
      <c r="AS328" s="971">
        <f t="shared" si="384"/>
        <v>12.321162032321585</v>
      </c>
      <c r="AT328" s="971">
        <f t="shared" si="384"/>
        <v>14.687762429522957</v>
      </c>
      <c r="AU328" s="971">
        <f t="shared" si="384"/>
        <v>17.528635447742658</v>
      </c>
      <c r="AV328" s="971">
        <f t="shared" si="384"/>
        <v>20.222160017975057</v>
      </c>
      <c r="AW328" s="971">
        <f t="shared" si="384"/>
        <v>23.251488513087761</v>
      </c>
      <c r="AX328" s="971">
        <f t="shared" si="384"/>
        <v>25.841292939420661</v>
      </c>
      <c r="AY328" s="971">
        <f t="shared" si="384"/>
        <v>26.864579145651632</v>
      </c>
    </row>
    <row r="329" spans="3:51">
      <c r="C329" s="955" t="s">
        <v>16</v>
      </c>
      <c r="V329" s="959">
        <f t="shared" si="381"/>
        <v>2000</v>
      </c>
      <c r="W329" s="959">
        <f t="shared" si="382"/>
        <v>3550</v>
      </c>
      <c r="X329" s="959">
        <f t="shared" si="382"/>
        <v>4800</v>
      </c>
      <c r="Y329" s="959">
        <f t="shared" si="382"/>
        <v>6350</v>
      </c>
      <c r="Z329" s="959">
        <f t="shared" si="382"/>
        <v>8400</v>
      </c>
      <c r="AA329" s="959">
        <f t="shared" si="382"/>
        <v>10450</v>
      </c>
      <c r="AB329" s="959">
        <f t="shared" si="382"/>
        <v>12500</v>
      </c>
      <c r="AC329" s="959">
        <f t="shared" si="382"/>
        <v>14550</v>
      </c>
      <c r="AD329" s="959">
        <f t="shared" si="382"/>
        <v>16850</v>
      </c>
      <c r="AE329" s="959">
        <f t="shared" si="382"/>
        <v>18900</v>
      </c>
      <c r="AF329" s="959">
        <f t="shared" si="382"/>
        <v>20400</v>
      </c>
      <c r="AO329" s="971">
        <f t="shared" si="383"/>
        <v>10.809999999999999</v>
      </c>
      <c r="AP329" s="971">
        <f>AO329+AP304</f>
        <v>19.032499999999999</v>
      </c>
      <c r="AQ329" s="971">
        <f t="shared" si="384"/>
        <v>25.777499999999996</v>
      </c>
      <c r="AR329" s="971">
        <f t="shared" si="384"/>
        <v>34.022499999999994</v>
      </c>
      <c r="AS329" s="971">
        <f>AR329+AS304</f>
        <v>45.357499999999995</v>
      </c>
      <c r="AT329" s="971">
        <f t="shared" si="384"/>
        <v>56.282499999999999</v>
      </c>
      <c r="AU329" s="971">
        <f t="shared" si="384"/>
        <v>67.207499999999996</v>
      </c>
      <c r="AV329" s="971">
        <f t="shared" si="384"/>
        <v>78.132499999999993</v>
      </c>
      <c r="AW329" s="971">
        <f t="shared" si="384"/>
        <v>90.80749999999999</v>
      </c>
      <c r="AX329" s="971">
        <f t="shared" si="384"/>
        <v>101.755</v>
      </c>
      <c r="AY329" s="971">
        <f t="shared" si="384"/>
        <v>109.83999999999999</v>
      </c>
    </row>
    <row r="330" spans="3:51">
      <c r="C330" s="955" t="s">
        <v>51</v>
      </c>
      <c r="V330" s="959">
        <f t="shared" si="381"/>
        <v>18</v>
      </c>
      <c r="W330" s="959">
        <f t="shared" si="382"/>
        <v>18</v>
      </c>
      <c r="X330" s="959">
        <f t="shared" si="382"/>
        <v>72</v>
      </c>
      <c r="Y330" s="959">
        <f t="shared" si="382"/>
        <v>72</v>
      </c>
      <c r="Z330" s="959">
        <f t="shared" si="382"/>
        <v>126</v>
      </c>
      <c r="AA330" s="959">
        <f t="shared" si="382"/>
        <v>180</v>
      </c>
      <c r="AB330" s="959">
        <f t="shared" si="382"/>
        <v>180</v>
      </c>
      <c r="AC330" s="959">
        <f t="shared" si="382"/>
        <v>234</v>
      </c>
      <c r="AD330" s="959">
        <f t="shared" si="382"/>
        <v>288</v>
      </c>
      <c r="AE330" s="959">
        <f t="shared" si="382"/>
        <v>342</v>
      </c>
      <c r="AF330" s="959">
        <f t="shared" si="382"/>
        <v>375</v>
      </c>
      <c r="AO330" s="971">
        <f t="shared" si="383"/>
        <v>0.2268</v>
      </c>
      <c r="AP330" s="971">
        <f t="shared" si="384"/>
        <v>0.2268</v>
      </c>
      <c r="AQ330" s="971">
        <f t="shared" si="384"/>
        <v>0.90720000000000001</v>
      </c>
      <c r="AR330" s="971">
        <f t="shared" si="384"/>
        <v>0.90720000000000001</v>
      </c>
      <c r="AS330" s="971">
        <f t="shared" si="384"/>
        <v>1.5876000000000001</v>
      </c>
      <c r="AT330" s="971">
        <f t="shared" si="384"/>
        <v>2.2680000000000002</v>
      </c>
      <c r="AU330" s="971">
        <f t="shared" si="384"/>
        <v>2.2680000000000002</v>
      </c>
      <c r="AV330" s="971">
        <f t="shared" si="384"/>
        <v>2.9484000000000004</v>
      </c>
      <c r="AW330" s="971">
        <f t="shared" si="384"/>
        <v>3.6288000000000005</v>
      </c>
      <c r="AX330" s="971">
        <f t="shared" si="384"/>
        <v>4.3092000000000006</v>
      </c>
      <c r="AY330" s="971">
        <f t="shared" si="384"/>
        <v>4.7250000000000005</v>
      </c>
    </row>
    <row r="331" spans="3:51">
      <c r="C331" s="955" t="s">
        <v>17</v>
      </c>
      <c r="V331" s="959">
        <f t="shared" si="381"/>
        <v>904.53600000000006</v>
      </c>
      <c r="W331" s="959">
        <f t="shared" si="382"/>
        <v>1527.152</v>
      </c>
      <c r="X331" s="959">
        <f t="shared" si="382"/>
        <v>2122.2719999999999</v>
      </c>
      <c r="Y331" s="959">
        <f t="shared" si="382"/>
        <v>2665.5920000000001</v>
      </c>
      <c r="Z331" s="959">
        <f t="shared" si="382"/>
        <v>3246.5120000000002</v>
      </c>
      <c r="AA331" s="959">
        <f t="shared" si="382"/>
        <v>3853.3320000000003</v>
      </c>
      <c r="AB331" s="959">
        <f t="shared" si="382"/>
        <v>4277.652</v>
      </c>
      <c r="AC331" s="959">
        <f t="shared" si="382"/>
        <v>4671.732</v>
      </c>
      <c r="AD331" s="959">
        <f t="shared" si="382"/>
        <v>5183.7520000000004</v>
      </c>
      <c r="AE331" s="959">
        <f t="shared" si="382"/>
        <v>5724.1680000000006</v>
      </c>
      <c r="AF331" s="959">
        <f t="shared" si="382"/>
        <v>6279.1880000000001</v>
      </c>
      <c r="AO331" s="971">
        <f t="shared" si="383"/>
        <v>7.295670083927341</v>
      </c>
      <c r="AP331" s="971">
        <f t="shared" si="384"/>
        <v>12.495172256336712</v>
      </c>
      <c r="AQ331" s="971">
        <f t="shared" si="384"/>
        <v>17.479278641785346</v>
      </c>
      <c r="AR331" s="971">
        <f t="shared" si="384"/>
        <v>21.949138241984912</v>
      </c>
      <c r="AS331" s="971">
        <f t="shared" si="384"/>
        <v>26.580005159673803</v>
      </c>
      <c r="AT331" s="971">
        <f t="shared" si="384"/>
        <v>31.436096813011563</v>
      </c>
      <c r="AU331" s="971">
        <f t="shared" si="384"/>
        <v>34.966284155791392</v>
      </c>
      <c r="AV331" s="971">
        <f t="shared" si="384"/>
        <v>38.340826429007734</v>
      </c>
      <c r="AW331" s="971">
        <f t="shared" si="384"/>
        <v>42.615465161952116</v>
      </c>
      <c r="AX331" s="971">
        <f t="shared" si="384"/>
        <v>47.063622265227785</v>
      </c>
      <c r="AY331" s="971">
        <f t="shared" si="384"/>
        <v>51.71196495234792</v>
      </c>
    </row>
    <row r="332" spans="3:51">
      <c r="C332" s="955" t="s">
        <v>18</v>
      </c>
      <c r="V332" s="959">
        <f t="shared" si="381"/>
        <v>0</v>
      </c>
      <c r="W332" s="959">
        <f t="shared" si="382"/>
        <v>0</v>
      </c>
      <c r="X332" s="959">
        <f t="shared" si="382"/>
        <v>0</v>
      </c>
      <c r="Y332" s="959">
        <f t="shared" si="382"/>
        <v>0</v>
      </c>
      <c r="Z332" s="959">
        <f t="shared" si="382"/>
        <v>0</v>
      </c>
      <c r="AA332" s="959">
        <f t="shared" si="382"/>
        <v>0</v>
      </c>
      <c r="AB332" s="959">
        <f t="shared" si="382"/>
        <v>0</v>
      </c>
      <c r="AC332" s="959">
        <f t="shared" si="382"/>
        <v>0</v>
      </c>
      <c r="AD332" s="959">
        <f t="shared" si="382"/>
        <v>0</v>
      </c>
      <c r="AE332" s="959">
        <f t="shared" si="382"/>
        <v>0</v>
      </c>
      <c r="AF332" s="959">
        <f t="shared" si="382"/>
        <v>0</v>
      </c>
      <c r="AO332" s="971">
        <f t="shared" si="383"/>
        <v>0</v>
      </c>
      <c r="AP332" s="971">
        <f t="shared" si="384"/>
        <v>0</v>
      </c>
      <c r="AQ332" s="971">
        <f t="shared" si="384"/>
        <v>0</v>
      </c>
      <c r="AR332" s="971">
        <f t="shared" si="384"/>
        <v>0</v>
      </c>
      <c r="AS332" s="971">
        <f t="shared" si="384"/>
        <v>0</v>
      </c>
      <c r="AT332" s="971">
        <f t="shared" si="384"/>
        <v>0</v>
      </c>
      <c r="AU332" s="971">
        <f t="shared" si="384"/>
        <v>0</v>
      </c>
      <c r="AV332" s="971">
        <f t="shared" si="384"/>
        <v>0</v>
      </c>
      <c r="AW332" s="971">
        <f t="shared" si="384"/>
        <v>0</v>
      </c>
      <c r="AX332" s="971">
        <f t="shared" si="384"/>
        <v>0</v>
      </c>
      <c r="AY332" s="971">
        <f t="shared" si="384"/>
        <v>0</v>
      </c>
    </row>
    <row r="333" spans="3:51">
      <c r="C333" s="955" t="s">
        <v>19</v>
      </c>
      <c r="V333" s="959">
        <f t="shared" si="381"/>
        <v>0</v>
      </c>
      <c r="W333" s="959">
        <f t="shared" si="382"/>
        <v>0</v>
      </c>
      <c r="X333" s="959">
        <f t="shared" si="382"/>
        <v>0</v>
      </c>
      <c r="Y333" s="959">
        <f t="shared" si="382"/>
        <v>0</v>
      </c>
      <c r="Z333" s="959">
        <f t="shared" si="382"/>
        <v>0</v>
      </c>
      <c r="AA333" s="959">
        <f t="shared" si="382"/>
        <v>0</v>
      </c>
      <c r="AB333" s="959">
        <f t="shared" si="382"/>
        <v>0</v>
      </c>
      <c r="AC333" s="959">
        <f t="shared" si="382"/>
        <v>0</v>
      </c>
      <c r="AD333" s="959">
        <f t="shared" si="382"/>
        <v>0</v>
      </c>
      <c r="AE333" s="959">
        <f t="shared" si="382"/>
        <v>0</v>
      </c>
      <c r="AF333" s="959">
        <f t="shared" si="382"/>
        <v>0</v>
      </c>
      <c r="AO333" s="971">
        <f t="shared" si="383"/>
        <v>0</v>
      </c>
      <c r="AP333" s="971">
        <f t="shared" si="384"/>
        <v>0</v>
      </c>
      <c r="AQ333" s="971">
        <f t="shared" si="384"/>
        <v>0</v>
      </c>
      <c r="AR333" s="971">
        <f t="shared" si="384"/>
        <v>0</v>
      </c>
      <c r="AS333" s="971">
        <f t="shared" si="384"/>
        <v>0</v>
      </c>
      <c r="AT333" s="971">
        <f t="shared" si="384"/>
        <v>0</v>
      </c>
      <c r="AU333" s="971">
        <f t="shared" si="384"/>
        <v>0</v>
      </c>
      <c r="AV333" s="971">
        <f t="shared" si="384"/>
        <v>0</v>
      </c>
      <c r="AW333" s="971">
        <f t="shared" si="384"/>
        <v>0</v>
      </c>
      <c r="AX333" s="971">
        <f t="shared" si="384"/>
        <v>0</v>
      </c>
      <c r="AY333" s="971">
        <f t="shared" si="384"/>
        <v>0</v>
      </c>
    </row>
    <row r="334" spans="3:51">
      <c r="C334" s="957" t="s">
        <v>21</v>
      </c>
      <c r="V334" s="959">
        <f t="shared" si="381"/>
        <v>5439.6360000000004</v>
      </c>
      <c r="W334" s="959">
        <f t="shared" si="382"/>
        <v>9305.7520000000004</v>
      </c>
      <c r="X334" s="959">
        <f t="shared" si="382"/>
        <v>12604.172</v>
      </c>
      <c r="Y334" s="959">
        <f t="shared" si="382"/>
        <v>16132.792000000001</v>
      </c>
      <c r="Z334" s="959">
        <f t="shared" si="382"/>
        <v>20732.212</v>
      </c>
      <c r="AA334" s="959">
        <f t="shared" si="382"/>
        <v>24924.031999999999</v>
      </c>
      <c r="AB334" s="959">
        <f t="shared" si="382"/>
        <v>28798.451999999997</v>
      </c>
      <c r="AC334" s="959">
        <f t="shared" si="382"/>
        <v>32772.031999999999</v>
      </c>
      <c r="AD334" s="959">
        <f t="shared" si="382"/>
        <v>37188.551999999996</v>
      </c>
      <c r="AE334" s="959">
        <f t="shared" si="382"/>
        <v>41480.267999999996</v>
      </c>
      <c r="AF334" s="959">
        <f t="shared" si="382"/>
        <v>45187.087999999996</v>
      </c>
      <c r="AO334" s="971">
        <f t="shared" si="383"/>
        <v>51.464957532185281</v>
      </c>
      <c r="AP334" s="971">
        <f t="shared" si="384"/>
        <v>85.560222062951567</v>
      </c>
      <c r="AQ334" s="971">
        <f t="shared" si="384"/>
        <v>115.38774000112835</v>
      </c>
      <c r="AR334" s="971">
        <f t="shared" si="384"/>
        <v>145.76754862278509</v>
      </c>
      <c r="AS334" s="971">
        <f t="shared" si="384"/>
        <v>185.59678789076938</v>
      </c>
      <c r="AT334" s="971">
        <f t="shared" si="384"/>
        <v>220.3751284070527</v>
      </c>
      <c r="AU334" s="971">
        <f t="shared" si="384"/>
        <v>251.91893113180782</v>
      </c>
      <c r="AV334" s="971">
        <f t="shared" si="384"/>
        <v>285.06015424507655</v>
      </c>
      <c r="AW334" s="971">
        <f t="shared" si="384"/>
        <v>321.62671513600753</v>
      </c>
      <c r="AX334" s="971">
        <f t="shared" si="384"/>
        <v>356.86962130692621</v>
      </c>
      <c r="AY334" s="971">
        <f t="shared" si="384"/>
        <v>388.63833960067728</v>
      </c>
    </row>
    <row r="335" spans="3:51">
      <c r="C335" s="956" t="s">
        <v>22</v>
      </c>
      <c r="V335" s="959">
        <f t="shared" si="381"/>
        <v>94.166666666666657</v>
      </c>
      <c r="W335" s="959">
        <f t="shared" si="382"/>
        <v>155.42546666666667</v>
      </c>
      <c r="X335" s="959">
        <f t="shared" si="382"/>
        <v>202.50880000000001</v>
      </c>
      <c r="Y335" s="959">
        <f t="shared" si="382"/>
        <v>256.85213333333331</v>
      </c>
      <c r="Z335" s="959">
        <f t="shared" si="382"/>
        <v>318.11093333333332</v>
      </c>
      <c r="AA335" s="959">
        <f t="shared" si="382"/>
        <v>377.29426666666666</v>
      </c>
      <c r="AB335" s="959">
        <f t="shared" si="382"/>
        <v>442.32759999999996</v>
      </c>
      <c r="AC335" s="959">
        <f t="shared" si="382"/>
        <v>511.85639999999995</v>
      </c>
      <c r="AD335" s="959">
        <f t="shared" si="382"/>
        <v>579.30973333333327</v>
      </c>
      <c r="AE335" s="959">
        <f t="shared" si="382"/>
        <v>644.34306666666657</v>
      </c>
      <c r="AF335" s="959">
        <f t="shared" si="382"/>
        <v>697.27639999999997</v>
      </c>
      <c r="AO335" s="971">
        <f t="shared" si="383"/>
        <v>5.1128824407469562</v>
      </c>
      <c r="AP335" s="971">
        <f t="shared" si="384"/>
        <v>10.190581363402336</v>
      </c>
      <c r="AQ335" s="971">
        <f t="shared" si="384"/>
        <v>12.747022583775813</v>
      </c>
      <c r="AR335" s="971">
        <f t="shared" si="384"/>
        <v>15.991015674552681</v>
      </c>
      <c r="AS335" s="971">
        <f t="shared" si="384"/>
        <v>21.068714597208061</v>
      </c>
      <c r="AT335" s="971">
        <f t="shared" si="384"/>
        <v>24.771075601587189</v>
      </c>
      <c r="AU335" s="971">
        <f t="shared" si="384"/>
        <v>28.979861605966317</v>
      </c>
      <c r="AV335" s="971">
        <f t="shared" si="384"/>
        <v>34.793169485422823</v>
      </c>
      <c r="AW335" s="971">
        <f t="shared" si="384"/>
        <v>39.231139446603081</v>
      </c>
      <c r="AX335" s="971">
        <f t="shared" si="384"/>
        <v>43.439925450982209</v>
      </c>
      <c r="AY335" s="971">
        <f t="shared" si="384"/>
        <v>46.502791671355688</v>
      </c>
    </row>
    <row r="336" spans="3:51">
      <c r="C336" s="957" t="s">
        <v>21</v>
      </c>
      <c r="V336" s="959">
        <f t="shared" si="381"/>
        <v>5533.8026666666665</v>
      </c>
      <c r="W336" s="959">
        <f t="shared" si="382"/>
        <v>9461.1774666666661</v>
      </c>
      <c r="X336" s="959">
        <f t="shared" si="382"/>
        <v>12806.6808</v>
      </c>
      <c r="Y336" s="959">
        <f t="shared" si="382"/>
        <v>16389.644133333335</v>
      </c>
      <c r="Z336" s="959">
        <f t="shared" si="382"/>
        <v>21050.322933333337</v>
      </c>
      <c r="AA336" s="959">
        <f t="shared" si="382"/>
        <v>25301.326266666671</v>
      </c>
      <c r="AB336" s="959">
        <f t="shared" si="382"/>
        <v>29240.779600000005</v>
      </c>
      <c r="AC336" s="959">
        <f t="shared" si="382"/>
        <v>33283.888400000003</v>
      </c>
      <c r="AD336" s="959">
        <f t="shared" si="382"/>
        <v>37767.861733333339</v>
      </c>
      <c r="AE336" s="959">
        <f t="shared" si="382"/>
        <v>42124.611066666672</v>
      </c>
      <c r="AF336" s="959">
        <f t="shared" si="382"/>
        <v>45884.364400000006</v>
      </c>
      <c r="AO336" s="971">
        <f t="shared" si="383"/>
        <v>56.577839972932239</v>
      </c>
      <c r="AP336" s="971">
        <f t="shared" si="384"/>
        <v>95.750803426353912</v>
      </c>
      <c r="AQ336" s="971">
        <f t="shared" si="384"/>
        <v>128.13476258490417</v>
      </c>
      <c r="AR336" s="971">
        <f t="shared" si="384"/>
        <v>161.75856429733778</v>
      </c>
      <c r="AS336" s="971">
        <f t="shared" si="384"/>
        <v>206.66550248797745</v>
      </c>
      <c r="AT336" s="971">
        <f t="shared" si="384"/>
        <v>245.1462040086399</v>
      </c>
      <c r="AU336" s="971">
        <f t="shared" si="384"/>
        <v>280.89879273777416</v>
      </c>
      <c r="AV336" s="971">
        <f t="shared" si="384"/>
        <v>319.85332373049943</v>
      </c>
      <c r="AW336" s="971">
        <f t="shared" si="384"/>
        <v>360.85785458261068</v>
      </c>
      <c r="AX336" s="971">
        <f t="shared" si="384"/>
        <v>400.30954675790849</v>
      </c>
      <c r="AY336" s="971">
        <f t="shared" si="384"/>
        <v>435.14113127203302</v>
      </c>
    </row>
    <row r="337" spans="3:51" ht="15.75" thickBot="1">
      <c r="C337" s="126" t="s">
        <v>59</v>
      </c>
      <c r="V337" s="959">
        <f t="shared" si="381"/>
        <v>0</v>
      </c>
      <c r="W337" s="959">
        <f t="shared" si="382"/>
        <v>0</v>
      </c>
      <c r="X337" s="959">
        <f t="shared" si="382"/>
        <v>0</v>
      </c>
      <c r="Y337" s="959">
        <f t="shared" si="382"/>
        <v>0</v>
      </c>
      <c r="Z337" s="959">
        <f t="shared" si="382"/>
        <v>0</v>
      </c>
      <c r="AA337" s="959">
        <f t="shared" si="382"/>
        <v>0</v>
      </c>
      <c r="AB337" s="959">
        <f t="shared" si="382"/>
        <v>0</v>
      </c>
      <c r="AC337" s="959">
        <f t="shared" si="382"/>
        <v>0</v>
      </c>
      <c r="AD337" s="959">
        <f t="shared" si="382"/>
        <v>0</v>
      </c>
      <c r="AE337" s="959">
        <f t="shared" si="382"/>
        <v>0</v>
      </c>
      <c r="AF337" s="959">
        <f t="shared" si="382"/>
        <v>0</v>
      </c>
      <c r="AO337" s="971">
        <f t="shared" si="383"/>
        <v>0</v>
      </c>
      <c r="AP337" s="971">
        <f t="shared" si="384"/>
        <v>0</v>
      </c>
      <c r="AQ337" s="971">
        <f t="shared" si="384"/>
        <v>0</v>
      </c>
      <c r="AR337" s="971">
        <f t="shared" si="384"/>
        <v>0</v>
      </c>
      <c r="AS337" s="971">
        <f t="shared" si="384"/>
        <v>0</v>
      </c>
      <c r="AT337" s="971">
        <f t="shared" si="384"/>
        <v>0</v>
      </c>
      <c r="AU337" s="971">
        <f t="shared" si="384"/>
        <v>0</v>
      </c>
      <c r="AV337" s="971">
        <f t="shared" si="384"/>
        <v>0</v>
      </c>
      <c r="AW337" s="971">
        <f t="shared" si="384"/>
        <v>0</v>
      </c>
      <c r="AX337" s="971">
        <f t="shared" si="384"/>
        <v>0</v>
      </c>
      <c r="AY337" s="971">
        <f t="shared" si="384"/>
        <v>0</v>
      </c>
    </row>
    <row r="338" spans="3:51">
      <c r="C338" s="958" t="s">
        <v>23</v>
      </c>
      <c r="V338" s="959">
        <f t="shared" si="381"/>
        <v>50</v>
      </c>
      <c r="W338" s="959">
        <f t="shared" si="382"/>
        <v>75</v>
      </c>
      <c r="X338" s="959">
        <f t="shared" si="382"/>
        <v>100</v>
      </c>
      <c r="Y338" s="959">
        <f t="shared" si="382"/>
        <v>125</v>
      </c>
      <c r="Z338" s="959">
        <f t="shared" si="382"/>
        <v>150</v>
      </c>
      <c r="AA338" s="959">
        <f t="shared" si="382"/>
        <v>175</v>
      </c>
      <c r="AB338" s="959">
        <f t="shared" si="382"/>
        <v>200</v>
      </c>
      <c r="AC338" s="959">
        <f t="shared" si="382"/>
        <v>225</v>
      </c>
      <c r="AD338" s="959">
        <f t="shared" si="382"/>
        <v>250</v>
      </c>
      <c r="AE338" s="959">
        <f t="shared" si="382"/>
        <v>275</v>
      </c>
      <c r="AF338" s="959">
        <f t="shared" si="382"/>
        <v>300</v>
      </c>
      <c r="AO338" s="971">
        <f t="shared" si="383"/>
        <v>0.1</v>
      </c>
      <c r="AP338" s="971">
        <f t="shared" si="384"/>
        <v>0.15000000000000002</v>
      </c>
      <c r="AQ338" s="971">
        <f t="shared" si="384"/>
        <v>0.2</v>
      </c>
      <c r="AR338" s="971">
        <f t="shared" si="384"/>
        <v>0.25</v>
      </c>
      <c r="AS338" s="971">
        <f t="shared" si="384"/>
        <v>0.3</v>
      </c>
      <c r="AT338" s="971">
        <f t="shared" si="384"/>
        <v>0.35</v>
      </c>
      <c r="AU338" s="971">
        <f t="shared" si="384"/>
        <v>0.39999999999999997</v>
      </c>
      <c r="AV338" s="971">
        <f t="shared" si="384"/>
        <v>0.44999999999999996</v>
      </c>
      <c r="AW338" s="971">
        <f t="shared" si="384"/>
        <v>0.49999999999999994</v>
      </c>
      <c r="AX338" s="971">
        <f t="shared" si="384"/>
        <v>0.54999999999999993</v>
      </c>
      <c r="AY338" s="971">
        <f t="shared" si="384"/>
        <v>0.6</v>
      </c>
    </row>
    <row r="339" spans="3:51">
      <c r="V339" s="959">
        <f t="shared" si="381"/>
        <v>5583.8026666666665</v>
      </c>
      <c r="W339" s="959">
        <f t="shared" si="382"/>
        <v>9536.1774666666661</v>
      </c>
      <c r="X339" s="959">
        <f t="shared" si="382"/>
        <v>12906.6808</v>
      </c>
      <c r="Y339" s="959">
        <f t="shared" si="382"/>
        <v>16514.644133333335</v>
      </c>
      <c r="Z339" s="959">
        <f t="shared" si="382"/>
        <v>21200.322933333337</v>
      </c>
      <c r="AA339" s="959">
        <f t="shared" si="382"/>
        <v>25476.326266666671</v>
      </c>
      <c r="AB339" s="959">
        <f t="shared" si="382"/>
        <v>29440.779600000005</v>
      </c>
      <c r="AC339" s="959">
        <f t="shared" si="382"/>
        <v>33508.888400000003</v>
      </c>
      <c r="AD339" s="959">
        <f t="shared" si="382"/>
        <v>38017.861733333339</v>
      </c>
      <c r="AE339" s="959">
        <f t="shared" si="382"/>
        <v>42399.611066666672</v>
      </c>
      <c r="AF339" s="959">
        <f t="shared" si="382"/>
        <v>46184.364400000006</v>
      </c>
      <c r="AO339" s="971">
        <f t="shared" si="383"/>
        <v>56.67783997293224</v>
      </c>
      <c r="AP339" s="971">
        <f t="shared" si="384"/>
        <v>95.900803426353903</v>
      </c>
      <c r="AQ339" s="971">
        <f t="shared" si="384"/>
        <v>128.33476258490415</v>
      </c>
      <c r="AR339" s="971">
        <f t="shared" si="384"/>
        <v>162.00856429733776</v>
      </c>
      <c r="AS339" s="971">
        <f t="shared" si="384"/>
        <v>206.9655024879774</v>
      </c>
      <c r="AT339" s="971">
        <f t="shared" si="384"/>
        <v>245.49620400863986</v>
      </c>
      <c r="AU339" s="971">
        <f t="shared" si="384"/>
        <v>281.29879273777414</v>
      </c>
      <c r="AV339" s="971">
        <f t="shared" si="384"/>
        <v>320.30332373049941</v>
      </c>
      <c r="AW339" s="971">
        <f t="shared" si="384"/>
        <v>361.35785458261063</v>
      </c>
      <c r="AX339" s="971">
        <f t="shared" si="384"/>
        <v>400.85954675790845</v>
      </c>
      <c r="AY339" s="971">
        <f t="shared" si="384"/>
        <v>435.74113127203299</v>
      </c>
    </row>
    <row r="340" spans="3:51" ht="15.75" thickBot="1">
      <c r="C340" s="126" t="s">
        <v>25</v>
      </c>
      <c r="V340" s="959">
        <f t="shared" si="381"/>
        <v>0</v>
      </c>
      <c r="W340" s="959">
        <f t="shared" si="382"/>
        <v>0</v>
      </c>
      <c r="X340" s="959">
        <f t="shared" si="382"/>
        <v>0</v>
      </c>
      <c r="Y340" s="959">
        <f t="shared" si="382"/>
        <v>0</v>
      </c>
      <c r="Z340" s="959">
        <f t="shared" si="382"/>
        <v>0</v>
      </c>
      <c r="AA340" s="959">
        <f t="shared" si="382"/>
        <v>0</v>
      </c>
      <c r="AB340" s="959">
        <f t="shared" si="382"/>
        <v>0</v>
      </c>
      <c r="AC340" s="959">
        <f t="shared" si="382"/>
        <v>0</v>
      </c>
      <c r="AD340" s="959">
        <f t="shared" si="382"/>
        <v>0</v>
      </c>
      <c r="AE340" s="959">
        <f t="shared" si="382"/>
        <v>0</v>
      </c>
      <c r="AF340" s="959">
        <f t="shared" si="382"/>
        <v>0</v>
      </c>
      <c r="AO340" s="971">
        <f t="shared" si="383"/>
        <v>0</v>
      </c>
      <c r="AP340" s="971">
        <f t="shared" si="384"/>
        <v>0</v>
      </c>
      <c r="AQ340" s="971">
        <f t="shared" si="384"/>
        <v>0</v>
      </c>
      <c r="AR340" s="971">
        <f t="shared" si="384"/>
        <v>0</v>
      </c>
      <c r="AS340" s="971">
        <f t="shared" si="384"/>
        <v>0</v>
      </c>
      <c r="AT340" s="971">
        <f t="shared" si="384"/>
        <v>0</v>
      </c>
      <c r="AU340" s="971">
        <f t="shared" si="384"/>
        <v>0</v>
      </c>
      <c r="AV340" s="971">
        <f t="shared" si="384"/>
        <v>0</v>
      </c>
      <c r="AW340" s="971">
        <f t="shared" si="384"/>
        <v>0</v>
      </c>
      <c r="AX340" s="971">
        <f t="shared" si="384"/>
        <v>0</v>
      </c>
      <c r="AY340" s="971">
        <f t="shared" si="384"/>
        <v>0</v>
      </c>
    </row>
  </sheetData>
  <autoFilter ref="A6:IV303"/>
  <mergeCells count="14">
    <mergeCell ref="C245:E245"/>
    <mergeCell ref="C247:E247"/>
    <mergeCell ref="C161:E161"/>
    <mergeCell ref="C162:E162"/>
    <mergeCell ref="C169:E169"/>
    <mergeCell ref="C176:E176"/>
    <mergeCell ref="C177:E177"/>
    <mergeCell ref="C183:E183"/>
    <mergeCell ref="C157:E157"/>
    <mergeCell ref="C103:E103"/>
    <mergeCell ref="C126:E126"/>
    <mergeCell ref="C132:E132"/>
    <mergeCell ref="C136:E136"/>
    <mergeCell ref="C137:E137"/>
  </mergeCells>
  <conditionalFormatting sqref="Q262:AE262 N261:N262 U261:AF261 N275 F261:L262 F275:L275 Q251:AE251 N249:N251 Q275:AF275 U249:AF250">
    <cfRule type="cellIs" dxfId="1" priority="2" stopIfTrue="1" operator="notEqual">
      <formula>0</formula>
    </cfRule>
  </conditionalFormatting>
  <conditionalFormatting sqref="AN262:AX262 AN261:AY261 AN251:AX251 AN249:AY250 AN275:AY275">
    <cfRule type="cellIs" dxfId="0" priority="1" stopIfTrue="1" operator="notEqual">
      <formula>0</formula>
    </cfRule>
  </conditionalFormatting>
  <printOptions horizontalCentered="1"/>
  <pageMargins left="0.5" right="0.5" top="1" bottom="1" header="0.5" footer="0.5"/>
  <pageSetup scale="51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2:BE12"/>
  <sheetViews>
    <sheetView topLeftCell="AM1" workbookViewId="0">
      <selection activeCell="AO12" sqref="AO12"/>
    </sheetView>
  </sheetViews>
  <sheetFormatPr defaultRowHeight="15"/>
  <sheetData>
    <row r="12" spans="3:57">
      <c r="C12" t="s">
        <v>16</v>
      </c>
      <c r="N12">
        <v>20775</v>
      </c>
      <c r="R12">
        <v>114.565</v>
      </c>
      <c r="U12">
        <v>750</v>
      </c>
      <c r="V12">
        <v>1250</v>
      </c>
      <c r="W12">
        <v>1550</v>
      </c>
      <c r="X12">
        <v>1250</v>
      </c>
      <c r="Y12">
        <v>1550</v>
      </c>
      <c r="Z12">
        <v>2050</v>
      </c>
      <c r="AA12">
        <v>2050</v>
      </c>
      <c r="AB12">
        <v>2050</v>
      </c>
      <c r="AC12">
        <v>2050</v>
      </c>
      <c r="AD12">
        <v>2300</v>
      </c>
      <c r="AE12">
        <v>2050</v>
      </c>
      <c r="AF12">
        <v>1500</v>
      </c>
      <c r="AH12">
        <v>3568</v>
      </c>
      <c r="AI12">
        <v>4958</v>
      </c>
      <c r="AJ12">
        <v>6258</v>
      </c>
      <c r="AK12">
        <v>5991</v>
      </c>
      <c r="AL12">
        <v>20775</v>
      </c>
      <c r="AN12">
        <v>4.0875000000000004</v>
      </c>
      <c r="AO12">
        <v>6.7224999999999993</v>
      </c>
      <c r="AP12">
        <v>8.2225000000000001</v>
      </c>
      <c r="AQ12">
        <v>6.7449999999999992</v>
      </c>
      <c r="AR12">
        <v>8.2449999999999992</v>
      </c>
      <c r="AS12">
        <v>11.335000000000001</v>
      </c>
      <c r="AT12">
        <v>10.925000000000001</v>
      </c>
      <c r="AU12">
        <v>10.925000000000001</v>
      </c>
      <c r="AV12">
        <v>10.925000000000001</v>
      </c>
      <c r="AW12">
        <v>12.675000000000001</v>
      </c>
      <c r="AX12">
        <v>10.9475</v>
      </c>
      <c r="AY12">
        <v>8.0849999999999991</v>
      </c>
      <c r="BA12">
        <v>19.2593</v>
      </c>
      <c r="BB12">
        <v>27.6858</v>
      </c>
      <c r="BC12">
        <v>34.135800000000003</v>
      </c>
      <c r="BD12">
        <v>33.484099999999998</v>
      </c>
      <c r="BE12">
        <v>114.565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B2:L68"/>
  <sheetViews>
    <sheetView zoomScale="80" zoomScaleNormal="80" workbookViewId="0">
      <selection activeCell="D14" sqref="D14"/>
    </sheetView>
  </sheetViews>
  <sheetFormatPr defaultRowHeight="14.25"/>
  <cols>
    <col min="1" max="1" width="9.140625" style="2" customWidth="1"/>
    <col min="2" max="2" width="23.7109375" style="2" customWidth="1"/>
    <col min="3" max="3" width="11.7109375" style="2" customWidth="1"/>
    <col min="4" max="4" width="13.140625" style="2" bestFit="1" customWidth="1"/>
    <col min="5" max="5" width="11.7109375" style="2" bestFit="1" customWidth="1"/>
    <col min="6" max="6" width="11.7109375" style="2" customWidth="1"/>
    <col min="7" max="7" width="11" style="2" customWidth="1"/>
    <col min="8" max="8" width="9.7109375" style="2" customWidth="1"/>
    <col min="9" max="9" width="11.85546875" style="2" customWidth="1"/>
    <col min="10" max="10" width="10.5703125" style="2" customWidth="1"/>
    <col min="11" max="16384" width="9.140625" style="2"/>
  </cols>
  <sheetData>
    <row r="2" spans="2:12" s="983" customFormat="1"/>
    <row r="3" spans="2:12" s="983" customFormat="1"/>
    <row r="4" spans="2:12" s="983" customFormat="1"/>
    <row r="7" spans="2:12" ht="15" thickBot="1"/>
    <row r="8" spans="2:12" ht="15.75" customHeight="1" thickBot="1">
      <c r="B8" s="1031" t="s">
        <v>589</v>
      </c>
      <c r="C8" s="1032"/>
      <c r="D8" s="1032"/>
      <c r="E8" s="1032"/>
      <c r="F8" s="1032"/>
      <c r="G8" s="1032"/>
      <c r="H8" s="1032"/>
      <c r="I8" s="1032"/>
      <c r="J8" s="1033"/>
    </row>
    <row r="9" spans="2:12">
      <c r="B9" s="8"/>
      <c r="C9" s="8"/>
      <c r="D9" s="10"/>
      <c r="E9" s="11"/>
      <c r="F9" s="11"/>
      <c r="G9" s="11"/>
      <c r="H9" s="9"/>
      <c r="I9" s="9"/>
      <c r="J9" s="11"/>
    </row>
    <row r="10" spans="2:12" ht="15.75" thickBot="1">
      <c r="B10" s="12" t="s">
        <v>4</v>
      </c>
      <c r="C10" s="8"/>
      <c r="D10" s="10"/>
      <c r="E10" s="11"/>
      <c r="F10" s="11"/>
      <c r="G10" s="11"/>
      <c r="H10" s="14" t="s">
        <v>5</v>
      </c>
      <c r="I10" s="14"/>
      <c r="J10" s="5"/>
    </row>
    <row r="11" spans="2:12" ht="45" customHeight="1" thickBot="1">
      <c r="B11" s="148" t="s">
        <v>6</v>
      </c>
      <c r="C11" s="149" t="s">
        <v>84</v>
      </c>
      <c r="D11" s="150" t="s">
        <v>83</v>
      </c>
      <c r="E11" s="150" t="s">
        <v>82</v>
      </c>
      <c r="F11" s="150" t="s">
        <v>590</v>
      </c>
      <c r="G11" s="149" t="s">
        <v>9</v>
      </c>
      <c r="H11" s="149" t="s">
        <v>10</v>
      </c>
      <c r="I11" s="149" t="s">
        <v>13</v>
      </c>
      <c r="J11" s="151" t="s">
        <v>14</v>
      </c>
    </row>
    <row r="12" spans="2:12" s="18" customFormat="1" ht="18.75" customHeight="1" thickBot="1">
      <c r="B12" s="152" t="s">
        <v>15</v>
      </c>
      <c r="C12" s="153">
        <f>SUM(C13:C21)</f>
        <v>15761.5</v>
      </c>
      <c r="D12" s="153">
        <f t="shared" ref="D12:G12" si="0">SUM(D13:D21)</f>
        <v>18133</v>
      </c>
      <c r="E12" s="153">
        <f t="shared" si="0"/>
        <v>13284.892000000002</v>
      </c>
      <c r="F12" s="153">
        <f t="shared" si="0"/>
        <v>21587.370000000003</v>
      </c>
      <c r="G12" s="153">
        <f t="shared" si="0"/>
        <v>-4848.1080000000002</v>
      </c>
      <c r="H12" s="156">
        <f t="shared" ref="H12:H29" si="1">IFERROR(G12/D12,"-")</f>
        <v>-0.26736381183477637</v>
      </c>
      <c r="I12" s="153">
        <f t="shared" ref="I12" si="2">SUM(I13:I21)</f>
        <v>-2476.6080000000002</v>
      </c>
      <c r="J12" s="161">
        <f t="shared" ref="J12:J29" si="3">IFERROR(E12/C12-1,0)</f>
        <v>-0.15713022237731167</v>
      </c>
    </row>
    <row r="13" spans="2:12" ht="18.75" customHeight="1">
      <c r="B13" s="78" t="s">
        <v>26</v>
      </c>
      <c r="C13" s="59">
        <f>9145+12</f>
        <v>9157</v>
      </c>
      <c r="D13" s="59">
        <v>10294</v>
      </c>
      <c r="E13" s="40">
        <v>6967.8147910000007</v>
      </c>
      <c r="F13" s="40">
        <v>8452</v>
      </c>
      <c r="G13" s="93">
        <f t="shared" ref="G13:G26" si="4">E13-D13</f>
        <v>-3326.1852089999993</v>
      </c>
      <c r="H13" s="157">
        <f t="shared" si="1"/>
        <v>-0.32311882737516995</v>
      </c>
      <c r="I13" s="93">
        <f t="shared" ref="I13:I26" si="5">E13-C13</f>
        <v>-2189.1852089999993</v>
      </c>
      <c r="J13" s="79">
        <f t="shared" si="3"/>
        <v>-0.23907231724363864</v>
      </c>
      <c r="L13" s="981"/>
    </row>
    <row r="14" spans="2:12" ht="18.75" customHeight="1">
      <c r="B14" s="80" t="s">
        <v>49</v>
      </c>
      <c r="C14" s="59">
        <v>790</v>
      </c>
      <c r="D14" s="59">
        <v>1200</v>
      </c>
      <c r="E14" s="40">
        <v>300</v>
      </c>
      <c r="F14" s="40">
        <v>6675</v>
      </c>
      <c r="G14" s="93">
        <f t="shared" si="4"/>
        <v>-900</v>
      </c>
      <c r="H14" s="157">
        <f t="shared" si="1"/>
        <v>-0.75</v>
      </c>
      <c r="I14" s="93">
        <f t="shared" si="5"/>
        <v>-490</v>
      </c>
      <c r="J14" s="81">
        <f t="shared" si="3"/>
        <v>-0.620253164556962</v>
      </c>
      <c r="L14" s="981"/>
    </row>
    <row r="15" spans="2:12" ht="18.75" customHeight="1">
      <c r="B15" s="80" t="s">
        <v>27</v>
      </c>
      <c r="C15" s="59">
        <v>1804</v>
      </c>
      <c r="D15" s="59">
        <v>1450</v>
      </c>
      <c r="E15" s="40">
        <v>641.12599999999998</v>
      </c>
      <c r="F15" s="40">
        <v>719.37</v>
      </c>
      <c r="G15" s="93">
        <f t="shared" si="4"/>
        <v>-808.87400000000002</v>
      </c>
      <c r="H15" s="157">
        <f t="shared" si="1"/>
        <v>-0.55784413793103449</v>
      </c>
      <c r="I15" s="93">
        <f t="shared" si="5"/>
        <v>-1162.874</v>
      </c>
      <c r="J15" s="81">
        <f t="shared" si="3"/>
        <v>-0.64460864745011093</v>
      </c>
      <c r="L15" s="981"/>
    </row>
    <row r="16" spans="2:12" ht="18.75" customHeight="1">
      <c r="B16" s="80" t="s">
        <v>53</v>
      </c>
      <c r="C16" s="59">
        <v>953</v>
      </c>
      <c r="D16" s="59">
        <v>945</v>
      </c>
      <c r="E16" s="40">
        <v>933.62050013499993</v>
      </c>
      <c r="F16" s="40">
        <v>1175</v>
      </c>
      <c r="G16" s="93">
        <f t="shared" si="4"/>
        <v>-11.379499865000071</v>
      </c>
      <c r="H16" s="157">
        <f t="shared" si="1"/>
        <v>-1.2041798798941874E-2</v>
      </c>
      <c r="I16" s="93">
        <f t="shared" si="5"/>
        <v>-19.379499865000071</v>
      </c>
      <c r="J16" s="81">
        <f t="shared" si="3"/>
        <v>-2.0335256941238278E-2</v>
      </c>
      <c r="L16" s="981"/>
    </row>
    <row r="17" spans="2:12" ht="18.75" customHeight="1">
      <c r="B17" s="80" t="s">
        <v>54</v>
      </c>
      <c r="C17" s="59">
        <v>1079</v>
      </c>
      <c r="D17" s="59">
        <v>1200</v>
      </c>
      <c r="E17" s="40">
        <v>1749.1660001998</v>
      </c>
      <c r="F17" s="40">
        <v>1770</v>
      </c>
      <c r="G17" s="93">
        <f t="shared" si="4"/>
        <v>549.16600019980001</v>
      </c>
      <c r="H17" s="157">
        <f t="shared" si="1"/>
        <v>0.45763833349983335</v>
      </c>
      <c r="I17" s="93">
        <f t="shared" si="5"/>
        <v>670.16600019980001</v>
      </c>
      <c r="J17" s="81">
        <f t="shared" si="3"/>
        <v>0.62109916607951798</v>
      </c>
      <c r="L17" s="981"/>
    </row>
    <row r="18" spans="2:12" ht="18.75" customHeight="1">
      <c r="B18" s="80" t="s">
        <v>52</v>
      </c>
      <c r="C18" s="59">
        <v>587</v>
      </c>
      <c r="D18" s="59">
        <v>600</v>
      </c>
      <c r="E18" s="40">
        <v>841</v>
      </c>
      <c r="F18" s="40">
        <v>767</v>
      </c>
      <c r="G18" s="93">
        <f t="shared" si="4"/>
        <v>241</v>
      </c>
      <c r="H18" s="157">
        <f t="shared" si="1"/>
        <v>0.40166666666666667</v>
      </c>
      <c r="I18" s="93">
        <f t="shared" si="5"/>
        <v>254</v>
      </c>
      <c r="J18" s="81">
        <f t="shared" si="3"/>
        <v>0.43270868824531505</v>
      </c>
      <c r="L18" s="981"/>
    </row>
    <row r="19" spans="2:12" ht="18.75" customHeight="1">
      <c r="B19" s="80" t="s">
        <v>56</v>
      </c>
      <c r="C19" s="59">
        <v>242</v>
      </c>
      <c r="D19" s="59">
        <v>690</v>
      </c>
      <c r="E19" s="40">
        <v>464.75450714150713</v>
      </c>
      <c r="F19" s="40">
        <v>888</v>
      </c>
      <c r="G19" s="93">
        <f t="shared" si="4"/>
        <v>-225.24549285849287</v>
      </c>
      <c r="H19" s="157">
        <f t="shared" si="1"/>
        <v>-0.32644274327317807</v>
      </c>
      <c r="I19" s="93">
        <f t="shared" si="5"/>
        <v>222.75450714150713</v>
      </c>
      <c r="J19" s="81">
        <f t="shared" si="3"/>
        <v>0.92047317000622786</v>
      </c>
      <c r="L19" s="981"/>
    </row>
    <row r="20" spans="2:12" ht="18.75" customHeight="1">
      <c r="B20" s="82" t="s">
        <v>57</v>
      </c>
      <c r="C20" s="59">
        <v>293</v>
      </c>
      <c r="D20" s="59">
        <v>300</v>
      </c>
      <c r="E20" s="40">
        <v>197.96600000000001</v>
      </c>
      <c r="F20" s="40">
        <v>199.99999999999997</v>
      </c>
      <c r="G20" s="93">
        <f t="shared" si="4"/>
        <v>-102.03399999999999</v>
      </c>
      <c r="H20" s="157">
        <f t="shared" si="1"/>
        <v>-0.34011333333333332</v>
      </c>
      <c r="I20" s="93">
        <f t="shared" si="5"/>
        <v>-95.033999999999992</v>
      </c>
      <c r="J20" s="81">
        <f t="shared" si="3"/>
        <v>-0.32434812286689418</v>
      </c>
      <c r="L20" s="981"/>
    </row>
    <row r="21" spans="2:12" ht="18.75" customHeight="1" thickBot="1">
      <c r="B21" s="82" t="s">
        <v>28</v>
      </c>
      <c r="C21" s="91">
        <f>851+5.5</f>
        <v>856.5</v>
      </c>
      <c r="D21" s="91">
        <v>1454</v>
      </c>
      <c r="E21" s="91">
        <v>1189.4442015236923</v>
      </c>
      <c r="F21" s="91">
        <v>941</v>
      </c>
      <c r="G21" s="96">
        <f t="shared" si="4"/>
        <v>-264.5557984763077</v>
      </c>
      <c r="H21" s="160">
        <f t="shared" si="1"/>
        <v>-0.18195034283102318</v>
      </c>
      <c r="I21" s="96">
        <f t="shared" si="5"/>
        <v>332.9442015236923</v>
      </c>
      <c r="J21" s="83">
        <f t="shared" si="3"/>
        <v>0.38872644661260036</v>
      </c>
      <c r="L21" s="981"/>
    </row>
    <row r="22" spans="2:12" ht="21.75" customHeight="1" thickBot="1">
      <c r="B22" s="114" t="s">
        <v>16</v>
      </c>
      <c r="C22" s="115">
        <v>13876</v>
      </c>
      <c r="D22" s="115">
        <f>20775-D23</f>
        <v>20400</v>
      </c>
      <c r="E22" s="115">
        <v>6138.99</v>
      </c>
      <c r="F22" s="115">
        <v>11816.666666666666</v>
      </c>
      <c r="G22" s="119">
        <f t="shared" si="4"/>
        <v>-14261.01</v>
      </c>
      <c r="H22" s="158">
        <f t="shared" si="1"/>
        <v>-0.69906911764705881</v>
      </c>
      <c r="I22" s="119">
        <f t="shared" si="5"/>
        <v>-7737.01</v>
      </c>
      <c r="J22" s="118">
        <f t="shared" si="3"/>
        <v>-0.55758215624099172</v>
      </c>
      <c r="L22" s="981"/>
    </row>
    <row r="23" spans="2:12" ht="21.75" customHeight="1" thickBot="1">
      <c r="B23" s="89" t="s">
        <v>51</v>
      </c>
      <c r="C23" s="176">
        <v>488</v>
      </c>
      <c r="D23" s="176">
        <v>375</v>
      </c>
      <c r="E23" s="91">
        <v>0</v>
      </c>
      <c r="F23" s="91"/>
      <c r="G23" s="96">
        <f t="shared" si="4"/>
        <v>-375</v>
      </c>
      <c r="H23" s="160">
        <f t="shared" si="1"/>
        <v>-1</v>
      </c>
      <c r="I23" s="96">
        <f t="shared" si="5"/>
        <v>-488</v>
      </c>
      <c r="J23" s="162">
        <f t="shared" si="3"/>
        <v>-1</v>
      </c>
      <c r="L23" s="981"/>
    </row>
    <row r="24" spans="2:12" ht="21.75" customHeight="1" thickBot="1">
      <c r="B24" s="114" t="s">
        <v>17</v>
      </c>
      <c r="C24" s="115">
        <v>3991</v>
      </c>
      <c r="D24" s="115">
        <v>6279.1880000000001</v>
      </c>
      <c r="E24" s="115">
        <v>3736</v>
      </c>
      <c r="F24" s="115">
        <v>5169</v>
      </c>
      <c r="G24" s="119">
        <f t="shared" si="4"/>
        <v>-2543.1880000000001</v>
      </c>
      <c r="H24" s="158">
        <f t="shared" si="1"/>
        <v>-0.40501861068660472</v>
      </c>
      <c r="I24" s="119">
        <f t="shared" si="5"/>
        <v>-255</v>
      </c>
      <c r="J24" s="118">
        <f t="shared" si="3"/>
        <v>-6.3893760962164925E-2</v>
      </c>
      <c r="L24" s="981"/>
    </row>
    <row r="25" spans="2:12" ht="18.75" customHeight="1" thickBot="1">
      <c r="B25" s="89" t="s">
        <v>18</v>
      </c>
      <c r="C25" s="176">
        <v>223</v>
      </c>
      <c r="D25" s="176"/>
      <c r="E25" s="91">
        <v>0</v>
      </c>
      <c r="F25" s="91">
        <v>135</v>
      </c>
      <c r="G25" s="96">
        <f t="shared" si="4"/>
        <v>0</v>
      </c>
      <c r="H25" s="160" t="str">
        <f t="shared" si="1"/>
        <v>-</v>
      </c>
      <c r="I25" s="96">
        <f t="shared" si="5"/>
        <v>-223</v>
      </c>
      <c r="J25" s="162">
        <f t="shared" si="3"/>
        <v>-1</v>
      </c>
      <c r="L25" s="981"/>
    </row>
    <row r="26" spans="2:12" s="18" customFormat="1" ht="23.25" customHeight="1" thickBot="1">
      <c r="B26" s="65" t="s">
        <v>20</v>
      </c>
      <c r="C26" s="71">
        <v>543</v>
      </c>
      <c r="D26" s="71">
        <v>300</v>
      </c>
      <c r="E26" s="71">
        <v>0</v>
      </c>
      <c r="F26" s="71">
        <v>0</v>
      </c>
      <c r="G26" s="94">
        <f t="shared" si="4"/>
        <v>-300</v>
      </c>
      <c r="H26" s="159">
        <f t="shared" si="1"/>
        <v>-1</v>
      </c>
      <c r="I26" s="94">
        <f t="shared" si="5"/>
        <v>-543</v>
      </c>
      <c r="J26" s="69">
        <f t="shared" si="3"/>
        <v>-1</v>
      </c>
      <c r="L26" s="981"/>
    </row>
    <row r="27" spans="2:12" ht="21.75" customHeight="1" thickBot="1">
      <c r="B27" s="97" t="s">
        <v>21</v>
      </c>
      <c r="C27" s="98">
        <f>C12+C22+C23+C25+C26+C24</f>
        <v>34882.5</v>
      </c>
      <c r="D27" s="98">
        <f t="shared" ref="D27:F27" si="6">D12+D22+D23+D25+D26+D24</f>
        <v>45487.188000000002</v>
      </c>
      <c r="E27" s="98">
        <f t="shared" si="6"/>
        <v>23159.882000000001</v>
      </c>
      <c r="F27" s="98">
        <f t="shared" si="6"/>
        <v>38708.036666666667</v>
      </c>
      <c r="G27" s="98">
        <f t="shared" ref="G27" si="7">G12+G22+G23+G25+G26+G24</f>
        <v>-22327.306000000004</v>
      </c>
      <c r="H27" s="100">
        <f t="shared" si="1"/>
        <v>-0.4908482362110404</v>
      </c>
      <c r="I27" s="98">
        <f t="shared" ref="I27" si="8">I12+I22+I23+I25+I26+I24</f>
        <v>-11722.618</v>
      </c>
      <c r="J27" s="124">
        <f t="shared" si="3"/>
        <v>-0.33606014477173363</v>
      </c>
      <c r="L27" s="981"/>
    </row>
    <row r="28" spans="2:12" ht="15" thickBot="1">
      <c r="B28" s="177" t="s">
        <v>50</v>
      </c>
      <c r="C28" s="176">
        <v>617</v>
      </c>
      <c r="D28" s="91">
        <v>697</v>
      </c>
      <c r="E28" s="91">
        <v>522.36241999999993</v>
      </c>
      <c r="F28" s="91">
        <v>583.26</v>
      </c>
      <c r="G28" s="96">
        <f>E28-D28</f>
        <v>-174.63758000000007</v>
      </c>
      <c r="H28" s="160">
        <f t="shared" si="1"/>
        <v>-0.25055606886657111</v>
      </c>
      <c r="I28" s="96">
        <f>E28-C28</f>
        <v>-94.637580000000071</v>
      </c>
      <c r="J28" s="162">
        <f t="shared" si="3"/>
        <v>-0.15338343598055115</v>
      </c>
      <c r="L28" s="981"/>
    </row>
    <row r="29" spans="2:12" ht="21" customHeight="1" thickBot="1">
      <c r="B29" s="97" t="s">
        <v>21</v>
      </c>
      <c r="C29" s="98">
        <f>SUM(C28:C28)</f>
        <v>617</v>
      </c>
      <c r="D29" s="98">
        <f>SUM(D28:D28)</f>
        <v>697</v>
      </c>
      <c r="E29" s="98">
        <f>SUM(E28:E28)</f>
        <v>522.36241999999993</v>
      </c>
      <c r="F29" s="98">
        <f>SUM(F28:F28)</f>
        <v>583.26</v>
      </c>
      <c r="G29" s="98">
        <f>SUM(G28:G28)</f>
        <v>-174.63758000000007</v>
      </c>
      <c r="H29" s="100">
        <f t="shared" si="1"/>
        <v>-0.25055606886657111</v>
      </c>
      <c r="I29" s="98">
        <f>SUM(I28:I28)</f>
        <v>-94.637580000000071</v>
      </c>
      <c r="J29" s="676">
        <f t="shared" si="3"/>
        <v>-0.15338343598055115</v>
      </c>
      <c r="L29" s="981"/>
    </row>
    <row r="30" spans="2:12">
      <c r="L30" s="981"/>
    </row>
    <row r="31" spans="2:12">
      <c r="L31" s="981"/>
    </row>
    <row r="32" spans="2:12">
      <c r="L32" s="981"/>
    </row>
    <row r="33" spans="2:12">
      <c r="B33" s="203"/>
      <c r="L33" s="981"/>
    </row>
    <row r="34" spans="2:12">
      <c r="B34" s="203"/>
      <c r="L34" s="981"/>
    </row>
    <row r="35" spans="2:12" ht="15" thickBot="1">
      <c r="L35" s="981"/>
    </row>
    <row r="36" spans="2:12" ht="15.75" customHeight="1" thickBot="1">
      <c r="B36" s="1031" t="str">
        <f>B8</f>
        <v>Estimates ABP Vs Actual 17-18</v>
      </c>
      <c r="C36" s="1032"/>
      <c r="D36" s="1032"/>
      <c r="E36" s="1032"/>
      <c r="F36" s="1032"/>
      <c r="G36" s="1032"/>
      <c r="H36" s="1032"/>
      <c r="I36" s="1032"/>
      <c r="J36" s="1033"/>
      <c r="L36" s="981"/>
    </row>
    <row r="37" spans="2:12">
      <c r="B37" s="8"/>
      <c r="C37" s="8"/>
      <c r="D37" s="10"/>
      <c r="E37" s="11"/>
      <c r="F37" s="11"/>
      <c r="G37" s="11"/>
      <c r="H37" s="9"/>
      <c r="I37" s="9"/>
      <c r="J37" s="11"/>
      <c r="L37" s="981"/>
    </row>
    <row r="38" spans="2:12" ht="15.75" thickBot="1">
      <c r="B38" s="12" t="s">
        <v>24</v>
      </c>
      <c r="C38" s="8"/>
      <c r="D38" s="10"/>
      <c r="E38" s="11"/>
      <c r="F38" s="11"/>
      <c r="G38" s="11"/>
      <c r="H38" s="14" t="s">
        <v>67</v>
      </c>
      <c r="I38" s="14"/>
      <c r="J38" s="5"/>
      <c r="L38" s="981"/>
    </row>
    <row r="39" spans="2:12" ht="45" customHeight="1" thickBot="1">
      <c r="B39" s="148" t="s">
        <v>6</v>
      </c>
      <c r="C39" s="149" t="str">
        <f>C11</f>
        <v>P.Y ( 15-16)</v>
      </c>
      <c r="D39" s="149" t="str">
        <f>D11</f>
        <v>ABP ( 16-17)</v>
      </c>
      <c r="E39" s="149" t="str">
        <f>E11</f>
        <v>ACT 16-17</v>
      </c>
      <c r="F39" s="150" t="s">
        <v>590</v>
      </c>
      <c r="G39" s="149" t="str">
        <f>G11</f>
        <v>Variance             ( ABP  Vs ACT)</v>
      </c>
      <c r="H39" s="149" t="str">
        <f>H11</f>
        <v>%</v>
      </c>
      <c r="I39" s="149" t="str">
        <f>I11</f>
        <v>Variance           ( PY Vs ACT)</v>
      </c>
      <c r="J39" s="149" t="str">
        <f>J11</f>
        <v>% of Change over P.Y</v>
      </c>
      <c r="L39" s="981"/>
    </row>
    <row r="40" spans="2:12" s="18" customFormat="1" ht="18.75" customHeight="1" thickBot="1">
      <c r="B40" s="152" t="s">
        <v>15</v>
      </c>
      <c r="C40" s="169">
        <f>SUM(C41:C49)</f>
        <v>203.83000000000004</v>
      </c>
      <c r="D40" s="169">
        <f t="shared" ref="D40:G40" si="9">SUM(D41:D49)</f>
        <v>222.36434733213792</v>
      </c>
      <c r="E40" s="169">
        <f t="shared" si="9"/>
        <v>186.16338988025072</v>
      </c>
      <c r="F40" s="169">
        <f t="shared" si="9"/>
        <v>249.14</v>
      </c>
      <c r="G40" s="169">
        <f t="shared" si="9"/>
        <v>-36.200957451887177</v>
      </c>
      <c r="H40" s="156">
        <f t="shared" ref="H40:H57" si="10">IFERROR(G40/D40,"-")</f>
        <v>-0.1628001875580129</v>
      </c>
      <c r="I40" s="169">
        <f t="shared" ref="I40" si="11">SUM(I41:I49)</f>
        <v>-17.666610119749311</v>
      </c>
      <c r="J40" s="161">
        <f t="shared" ref="J40:J57" si="12">IFERROR(E40/C40-1,0)</f>
        <v>-8.6673257713532403E-2</v>
      </c>
      <c r="L40" s="981"/>
    </row>
    <row r="41" spans="2:12" ht="18.75" customHeight="1">
      <c r="B41" s="78" t="s">
        <v>26</v>
      </c>
      <c r="C41" s="129">
        <f>116.11+0.18</f>
        <v>116.29</v>
      </c>
      <c r="D41" s="129">
        <v>127.86</v>
      </c>
      <c r="E41" s="48">
        <v>92.782920569949823</v>
      </c>
      <c r="F41" s="48">
        <v>141.72999999999999</v>
      </c>
      <c r="G41" s="140">
        <f t="shared" ref="G41:G54" si="13">E41-D41</f>
        <v>-35.077079430050176</v>
      </c>
      <c r="H41" s="157">
        <f t="shared" si="10"/>
        <v>-0.27433974214023288</v>
      </c>
      <c r="I41" s="140">
        <f t="shared" ref="I41:I54" si="14">E41-C41</f>
        <v>-23.507079430050183</v>
      </c>
      <c r="J41" s="79">
        <f t="shared" si="12"/>
        <v>-0.20214188176154602</v>
      </c>
      <c r="L41" s="49"/>
    </row>
    <row r="42" spans="2:12" ht="18.75" customHeight="1">
      <c r="B42" s="80" t="s">
        <v>49</v>
      </c>
      <c r="C42" s="129">
        <v>8.9499999999999993</v>
      </c>
      <c r="D42" s="129">
        <v>0.72</v>
      </c>
      <c r="E42" s="48">
        <v>0.16500000000000001</v>
      </c>
      <c r="F42" s="48">
        <v>3.6</v>
      </c>
      <c r="G42" s="140">
        <f t="shared" si="13"/>
        <v>-0.55499999999999994</v>
      </c>
      <c r="H42" s="157">
        <f t="shared" si="10"/>
        <v>-0.77083333333333326</v>
      </c>
      <c r="I42" s="140">
        <f t="shared" si="14"/>
        <v>-8.7850000000000001</v>
      </c>
      <c r="J42" s="81">
        <f t="shared" si="12"/>
        <v>-0.98156424581005586</v>
      </c>
      <c r="L42" s="49"/>
    </row>
    <row r="43" spans="2:12" ht="18.75" customHeight="1">
      <c r="B43" s="80" t="s">
        <v>27</v>
      </c>
      <c r="C43" s="129">
        <v>13.36</v>
      </c>
      <c r="D43" s="129">
        <v>11.93</v>
      </c>
      <c r="E43" s="48">
        <v>5.0468711646099997</v>
      </c>
      <c r="F43" s="48">
        <v>6.5589279119999997</v>
      </c>
      <c r="G43" s="140">
        <f t="shared" si="13"/>
        <v>-6.88312883539</v>
      </c>
      <c r="H43" s="157">
        <f t="shared" si="10"/>
        <v>-0.57695966767728413</v>
      </c>
      <c r="I43" s="140">
        <f t="shared" si="14"/>
        <v>-8.3131288353899997</v>
      </c>
      <c r="J43" s="81">
        <f t="shared" si="12"/>
        <v>-0.6222401822896706</v>
      </c>
      <c r="L43" s="49"/>
    </row>
    <row r="44" spans="2:12" ht="18.75" customHeight="1">
      <c r="B44" s="80" t="s">
        <v>53</v>
      </c>
      <c r="C44" s="129">
        <v>14.85</v>
      </c>
      <c r="D44" s="129">
        <v>13</v>
      </c>
      <c r="E44" s="48">
        <v>14.495174635965336</v>
      </c>
      <c r="F44" s="48">
        <v>19.149999999999999</v>
      </c>
      <c r="G44" s="140">
        <f t="shared" si="13"/>
        <v>1.495174635965336</v>
      </c>
      <c r="H44" s="157">
        <f t="shared" si="10"/>
        <v>0.11501343353579507</v>
      </c>
      <c r="I44" s="140">
        <f t="shared" si="14"/>
        <v>-0.35482536403466369</v>
      </c>
      <c r="J44" s="81">
        <f t="shared" si="12"/>
        <v>-2.3893963908058202E-2</v>
      </c>
      <c r="L44" s="49"/>
    </row>
    <row r="45" spans="2:12" ht="18.75" customHeight="1">
      <c r="B45" s="80" t="s">
        <v>54</v>
      </c>
      <c r="C45" s="129">
        <v>17.329999999999998</v>
      </c>
      <c r="D45" s="129">
        <v>18.06004553866287</v>
      </c>
      <c r="E45" s="48">
        <v>28.737845368055588</v>
      </c>
      <c r="F45" s="48">
        <v>28.35</v>
      </c>
      <c r="G45" s="140">
        <f t="shared" si="13"/>
        <v>10.677799829392718</v>
      </c>
      <c r="H45" s="157">
        <f t="shared" si="10"/>
        <v>0.59123880980996035</v>
      </c>
      <c r="I45" s="140">
        <f t="shared" si="14"/>
        <v>11.40784536805559</v>
      </c>
      <c r="J45" s="81">
        <f t="shared" si="12"/>
        <v>0.6582715157562371</v>
      </c>
      <c r="L45" s="49"/>
    </row>
    <row r="46" spans="2:12" ht="18.75" customHeight="1">
      <c r="B46" s="80" t="s">
        <v>52</v>
      </c>
      <c r="C46" s="129">
        <v>13.55</v>
      </c>
      <c r="D46" s="129">
        <v>13.74</v>
      </c>
      <c r="E46" s="48">
        <v>20.018220974919092</v>
      </c>
      <c r="F46" s="48">
        <v>18.260000000000002</v>
      </c>
      <c r="G46" s="140">
        <f t="shared" si="13"/>
        <v>6.2782209749190923</v>
      </c>
      <c r="H46" s="157">
        <f t="shared" si="10"/>
        <v>0.456930201959177</v>
      </c>
      <c r="I46" s="140">
        <f t="shared" si="14"/>
        <v>6.4682209749190918</v>
      </c>
      <c r="J46" s="81">
        <f t="shared" si="12"/>
        <v>0.47735948154384444</v>
      </c>
      <c r="L46" s="49"/>
    </row>
    <row r="47" spans="2:12" ht="18.75" customHeight="1">
      <c r="B47" s="80" t="s">
        <v>56</v>
      </c>
      <c r="C47" s="129">
        <v>2.74</v>
      </c>
      <c r="D47" s="129">
        <v>7.4</v>
      </c>
      <c r="E47" s="48">
        <v>5.0858412607635106</v>
      </c>
      <c r="F47" s="48">
        <v>9.2799999999999994</v>
      </c>
      <c r="G47" s="140">
        <f t="shared" si="13"/>
        <v>-2.3141587392364897</v>
      </c>
      <c r="H47" s="157">
        <f t="shared" si="10"/>
        <v>-0.31272415395087699</v>
      </c>
      <c r="I47" s="140">
        <f t="shared" si="14"/>
        <v>2.3458412607635104</v>
      </c>
      <c r="J47" s="81">
        <f t="shared" si="12"/>
        <v>0.85614644553412789</v>
      </c>
      <c r="L47" s="49"/>
    </row>
    <row r="48" spans="2:12" ht="18.75" customHeight="1">
      <c r="B48" s="82" t="s">
        <v>57</v>
      </c>
      <c r="C48" s="129">
        <v>3.31</v>
      </c>
      <c r="D48" s="129">
        <v>2.7843017934750005</v>
      </c>
      <c r="E48" s="48">
        <v>2.0157556866478874</v>
      </c>
      <c r="F48" s="48">
        <v>1.9521126760563374</v>
      </c>
      <c r="G48" s="140">
        <f t="shared" si="13"/>
        <v>-0.76854610682711311</v>
      </c>
      <c r="H48" s="157">
        <f t="shared" si="10"/>
        <v>-0.27602830577784265</v>
      </c>
      <c r="I48" s="140">
        <f t="shared" si="14"/>
        <v>-1.2942443133521127</v>
      </c>
      <c r="J48" s="81">
        <f t="shared" si="12"/>
        <v>-0.39101036657163524</v>
      </c>
      <c r="L48" s="49"/>
    </row>
    <row r="49" spans="2:12" ht="18.75" customHeight="1" thickBot="1">
      <c r="B49" s="82" t="s">
        <v>28</v>
      </c>
      <c r="C49" s="141">
        <f>13.45</f>
        <v>13.45</v>
      </c>
      <c r="D49" s="141">
        <v>26.87</v>
      </c>
      <c r="E49" s="141">
        <v>17.81576021933946</v>
      </c>
      <c r="F49" s="141">
        <v>20.258959411943664</v>
      </c>
      <c r="G49" s="175">
        <f t="shared" si="13"/>
        <v>-9.0542397806605415</v>
      </c>
      <c r="H49" s="160">
        <f t="shared" si="10"/>
        <v>-0.33696463642205216</v>
      </c>
      <c r="I49" s="175">
        <f t="shared" si="14"/>
        <v>4.3657602193394602</v>
      </c>
      <c r="J49" s="83">
        <f t="shared" si="12"/>
        <v>0.32459183786910484</v>
      </c>
      <c r="L49" s="49"/>
    </row>
    <row r="50" spans="2:12" ht="21.75" customHeight="1" thickBot="1">
      <c r="B50" s="114" t="s">
        <v>16</v>
      </c>
      <c r="C50" s="133">
        <v>77</v>
      </c>
      <c r="D50" s="133">
        <f>114.565-D51</f>
        <v>109.84</v>
      </c>
      <c r="E50" s="172">
        <v>35.905037887999995</v>
      </c>
      <c r="F50" s="172">
        <v>77.290266666666668</v>
      </c>
      <c r="G50" s="142">
        <f t="shared" si="13"/>
        <v>-73.934962112000008</v>
      </c>
      <c r="H50" s="158">
        <f t="shared" si="10"/>
        <v>-0.67311509570284056</v>
      </c>
      <c r="I50" s="142">
        <f t="shared" si="14"/>
        <v>-41.094962112000005</v>
      </c>
      <c r="J50" s="118">
        <f t="shared" si="12"/>
        <v>-0.53370080664935071</v>
      </c>
      <c r="L50" s="49"/>
    </row>
    <row r="51" spans="2:12" ht="21.75" customHeight="1" thickBot="1">
      <c r="B51" s="89" t="s">
        <v>51</v>
      </c>
      <c r="C51" s="179">
        <v>6.92</v>
      </c>
      <c r="D51" s="179">
        <v>4.7250000000000005</v>
      </c>
      <c r="E51" s="141">
        <v>0</v>
      </c>
      <c r="F51" s="141"/>
      <c r="G51" s="175">
        <f t="shared" si="13"/>
        <v>-4.7250000000000005</v>
      </c>
      <c r="H51" s="160">
        <f t="shared" si="10"/>
        <v>-1</v>
      </c>
      <c r="I51" s="175">
        <f t="shared" si="14"/>
        <v>-6.92</v>
      </c>
      <c r="J51" s="162">
        <f t="shared" si="12"/>
        <v>-1</v>
      </c>
      <c r="L51" s="49"/>
    </row>
    <row r="52" spans="2:12" ht="21.75" customHeight="1" thickBot="1">
      <c r="B52" s="114" t="s">
        <v>17</v>
      </c>
      <c r="C52" s="133">
        <v>35.75</v>
      </c>
      <c r="D52" s="133">
        <v>51.71196495234792</v>
      </c>
      <c r="E52" s="133">
        <v>31.020000000000003</v>
      </c>
      <c r="F52" s="133">
        <v>42.077154058339445</v>
      </c>
      <c r="G52" s="142">
        <f t="shared" si="13"/>
        <v>-20.691964952347917</v>
      </c>
      <c r="H52" s="158">
        <f t="shared" si="10"/>
        <v>-0.40013882611916535</v>
      </c>
      <c r="I52" s="142">
        <f t="shared" si="14"/>
        <v>-4.7299999999999969</v>
      </c>
      <c r="J52" s="118">
        <f t="shared" si="12"/>
        <v>-0.13230769230769224</v>
      </c>
      <c r="L52" s="49"/>
    </row>
    <row r="53" spans="2:12" ht="18.75" customHeight="1" thickBot="1">
      <c r="B53" s="89" t="s">
        <v>18</v>
      </c>
      <c r="C53" s="179">
        <v>2.5</v>
      </c>
      <c r="D53" s="179"/>
      <c r="E53" s="141">
        <v>0</v>
      </c>
      <c r="F53" s="141">
        <v>2.2500044999999997</v>
      </c>
      <c r="G53" s="175">
        <f t="shared" si="13"/>
        <v>0</v>
      </c>
      <c r="H53" s="160" t="str">
        <f t="shared" si="10"/>
        <v>-</v>
      </c>
      <c r="I53" s="175">
        <f t="shared" si="14"/>
        <v>-2.5</v>
      </c>
      <c r="J53" s="162">
        <f t="shared" si="12"/>
        <v>-1</v>
      </c>
      <c r="L53" s="49"/>
    </row>
    <row r="54" spans="2:12" ht="19.5" customHeight="1" thickBot="1">
      <c r="B54" s="65" t="s">
        <v>20</v>
      </c>
      <c r="C54" s="143">
        <v>1.07</v>
      </c>
      <c r="D54" s="143">
        <v>0.60000000000000009</v>
      </c>
      <c r="E54" s="143">
        <v>0.54443009399999998</v>
      </c>
      <c r="F54" s="143">
        <v>0</v>
      </c>
      <c r="G54" s="144">
        <f t="shared" si="13"/>
        <v>-5.5569906000000113E-2</v>
      </c>
      <c r="H54" s="159">
        <f t="shared" si="10"/>
        <v>-9.261651000000018E-2</v>
      </c>
      <c r="I54" s="989">
        <f t="shared" si="14"/>
        <v>-0.52556990600000009</v>
      </c>
      <c r="J54" s="988">
        <f t="shared" si="12"/>
        <v>-0.49118682803738323</v>
      </c>
      <c r="L54" s="49"/>
    </row>
    <row r="55" spans="2:12" ht="15" thickBot="1">
      <c r="B55" s="97" t="s">
        <v>21</v>
      </c>
      <c r="C55" s="127">
        <f>C40+C50+C51+C53+C54+C52</f>
        <v>327.07000000000005</v>
      </c>
      <c r="D55" s="127">
        <f t="shared" ref="D55:F55" si="15">D40+D50+D51+D53+D54+D52</f>
        <v>389.24131228448584</v>
      </c>
      <c r="E55" s="127">
        <f t="shared" si="15"/>
        <v>253.63285786225075</v>
      </c>
      <c r="F55" s="127">
        <f t="shared" si="15"/>
        <v>370.75742522500605</v>
      </c>
      <c r="G55" s="127">
        <f t="shared" ref="G55" si="16">G40+G50+G51+G53+G54+G52</f>
        <v>-135.6084544222351</v>
      </c>
      <c r="H55" s="100">
        <f t="shared" si="10"/>
        <v>-0.34839173063706708</v>
      </c>
      <c r="I55" s="127">
        <f t="shared" ref="I55" si="17">I40+I50+I51+I53+I54+I52</f>
        <v>-73.437142137749305</v>
      </c>
      <c r="J55" s="124">
        <f t="shared" si="12"/>
        <v>-0.22453035172210623</v>
      </c>
      <c r="L55" s="49"/>
    </row>
    <row r="56" spans="2:12" ht="15" thickBot="1">
      <c r="B56" s="177" t="s">
        <v>68</v>
      </c>
      <c r="C56" s="179">
        <v>39.25</v>
      </c>
      <c r="D56" s="141">
        <v>46.5</v>
      </c>
      <c r="E56" s="141">
        <v>41.972128024999996</v>
      </c>
      <c r="F56" s="141">
        <v>34.948187000000004</v>
      </c>
      <c r="G56" s="175">
        <f>E56-D56</f>
        <v>-4.5278719750000036</v>
      </c>
      <c r="H56" s="160">
        <f t="shared" si="10"/>
        <v>-9.7373590860215131E-2</v>
      </c>
      <c r="I56" s="175">
        <f>E56-C56</f>
        <v>2.7221280249999964</v>
      </c>
      <c r="J56" s="162">
        <f t="shared" si="12"/>
        <v>6.9353580254776892E-2</v>
      </c>
      <c r="L56" s="49"/>
    </row>
    <row r="57" spans="2:12" ht="15" thickBot="1">
      <c r="B57" s="97" t="s">
        <v>21</v>
      </c>
      <c r="C57" s="127">
        <f t="shared" ref="C57:G57" si="18">C55+C56</f>
        <v>366.32000000000005</v>
      </c>
      <c r="D57" s="127">
        <f t="shared" si="18"/>
        <v>435.74131228448584</v>
      </c>
      <c r="E57" s="127">
        <f t="shared" si="18"/>
        <v>295.60498588725073</v>
      </c>
      <c r="F57" s="127">
        <f t="shared" si="18"/>
        <v>405.70561222500606</v>
      </c>
      <c r="G57" s="127">
        <f t="shared" si="18"/>
        <v>-140.13632639723511</v>
      </c>
      <c r="H57" s="100">
        <f t="shared" si="10"/>
        <v>-0.32160440712526062</v>
      </c>
      <c r="I57" s="127">
        <f>I55+I56</f>
        <v>-70.715014112749316</v>
      </c>
      <c r="J57" s="676">
        <f t="shared" si="12"/>
        <v>-0.19304164149582148</v>
      </c>
      <c r="L57" s="49"/>
    </row>
    <row r="58" spans="2:12" ht="21.75" customHeight="1">
      <c r="C58" s="49"/>
      <c r="D58" s="49"/>
      <c r="E58" s="49"/>
      <c r="F58" s="49"/>
      <c r="G58" s="49"/>
      <c r="L58" s="49"/>
    </row>
    <row r="59" spans="2:12">
      <c r="C59" s="49"/>
      <c r="D59" s="49"/>
      <c r="E59" s="49"/>
      <c r="F59" s="49"/>
      <c r="G59" s="49"/>
      <c r="L59" s="49"/>
    </row>
    <row r="60" spans="2:12">
      <c r="C60" s="49"/>
      <c r="D60" s="49"/>
      <c r="E60" s="49"/>
      <c r="F60" s="49"/>
      <c r="G60" s="49"/>
      <c r="L60" s="49"/>
    </row>
    <row r="61" spans="2:12" s="1012" customFormat="1">
      <c r="C61" s="1013"/>
      <c r="D61" s="1013"/>
      <c r="E61" s="1013"/>
      <c r="F61" s="1013"/>
      <c r="G61" s="1013"/>
      <c r="L61" s="1013"/>
    </row>
    <row r="62" spans="2:12" s="1012" customFormat="1">
      <c r="C62" s="1013"/>
      <c r="D62" s="1013"/>
      <c r="E62" s="1013"/>
      <c r="F62" s="1013"/>
      <c r="G62" s="1013"/>
      <c r="L62" s="1013"/>
    </row>
    <row r="63" spans="2:12" s="1012" customFormat="1">
      <c r="C63" s="1013"/>
      <c r="D63" s="1013"/>
      <c r="E63" s="1013"/>
      <c r="F63" s="1013"/>
      <c r="G63" s="1013"/>
      <c r="L63" s="1013"/>
    </row>
    <row r="64" spans="2:12" s="1012" customFormat="1">
      <c r="C64" s="1013"/>
      <c r="D64" s="1013"/>
      <c r="E64" s="1013"/>
      <c r="F64" s="1013"/>
      <c r="G64" s="1013"/>
      <c r="L64" s="1013"/>
    </row>
    <row r="65" spans="3:12" s="1012" customFormat="1">
      <c r="C65" s="1013"/>
      <c r="D65" s="1013"/>
      <c r="E65" s="1013"/>
      <c r="F65" s="1013"/>
      <c r="G65" s="1013"/>
      <c r="L65" s="1013"/>
    </row>
    <row r="66" spans="3:12" s="1012" customFormat="1">
      <c r="C66" s="1013"/>
      <c r="D66" s="1013"/>
      <c r="E66" s="1013"/>
      <c r="F66" s="1013"/>
      <c r="G66" s="1013"/>
      <c r="L66" s="1013"/>
    </row>
    <row r="67" spans="3:12">
      <c r="C67" s="49"/>
      <c r="D67" s="49"/>
      <c r="E67" s="49"/>
      <c r="F67" s="49"/>
      <c r="G67" s="49"/>
      <c r="L67" s="49"/>
    </row>
    <row r="68" spans="3:12">
      <c r="C68" s="49"/>
      <c r="D68" s="49"/>
      <c r="E68" s="49"/>
      <c r="F68" s="49"/>
      <c r="G68" s="49"/>
      <c r="L68" s="981"/>
    </row>
  </sheetData>
  <mergeCells count="2">
    <mergeCell ref="B8:J8"/>
    <mergeCell ref="B36:J36"/>
  </mergeCells>
  <pageMargins left="0.43307086614173229" right="0.70866141732283472" top="0.39370078740157483" bottom="0.74803149606299213" header="0.31496062992125984" footer="0.31496062992125984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4D7AB9A4533B4BA69EA15B9A4EEFE9" ma:contentTypeVersion="2" ma:contentTypeDescription="Create a new document." ma:contentTypeScope="" ma:versionID="bba67284890688b725af75512d94df05">
  <xsd:schema xmlns:xsd="http://www.w3.org/2001/XMLSchema" xmlns:xs="http://www.w3.org/2001/XMLSchema" xmlns:p="http://schemas.microsoft.com/office/2006/metadata/properties" xmlns:ns2="863e7a7e-902c-429b-9ced-ec8faf9df407" targetNamespace="http://schemas.microsoft.com/office/2006/metadata/properties" ma:root="true" ma:fieldsID="b75c3b5344841bc540ec615050c0d9bc" ns2:_="">
    <xsd:import namespace="863e7a7e-902c-429b-9ced-ec8faf9df40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e7a7e-902c-429b-9ced-ec8faf9df4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434D37-7128-4836-AEBB-8AE9CE003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3e7a7e-902c-429b-9ced-ec8faf9df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62C330-0EEA-472A-8DE7-2B0EBF23D9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6F817F-308B-458B-B8A6-C343F7E6E763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863e7a7e-902c-429b-9ced-ec8faf9df40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Analysis</vt:lpstr>
      <vt:lpstr>Sales performance</vt:lpstr>
      <vt:lpstr>CMB sales Variance(15-16)</vt:lpstr>
      <vt:lpstr>CMB_Sales volume summary</vt:lpstr>
      <vt:lpstr>Sheet1</vt:lpstr>
      <vt:lpstr>Sales performance (2)</vt:lpstr>
      <vt:lpstr>'CMB_Sales volume summary'!Print_Area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sanchit.goel</dc:creator>
  <cp:lastModifiedBy>Sunny Salvi</cp:lastModifiedBy>
  <cp:lastPrinted>2014-08-05T10:19:50Z</cp:lastPrinted>
  <dcterms:created xsi:type="dcterms:W3CDTF">2014-08-05T06:36:41Z</dcterms:created>
  <dcterms:modified xsi:type="dcterms:W3CDTF">2017-04-05T12:27:33Z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0x010100D14D7AB9A4533B4BA69EA15B9A4EEFE9</vt:lpwstr>
  </property>
</Properties>
</file>