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activeTab="3"/>
  </bookViews>
  <sheets>
    <sheet name="Savings with Proposed Project" sheetId="1" r:id="rId1"/>
    <sheet name="Power factor Savings" sheetId="2" r:id="rId2"/>
    <sheet name="HSD savings" sheetId="3" r:id="rId3"/>
    <sheet name="Net savings" sheetId="4" r:id="rId4"/>
  </sheets>
  <calcPr calcId="145621"/>
</workbook>
</file>

<file path=xl/calcChain.xml><?xml version="1.0" encoding="utf-8"?>
<calcChain xmlns="http://schemas.openxmlformats.org/spreadsheetml/2006/main">
  <c r="E30" i="4" l="1"/>
  <c r="E28" i="4"/>
  <c r="E25" i="4"/>
  <c r="E22" i="4"/>
  <c r="E21" i="4"/>
  <c r="E20" i="4"/>
  <c r="E19" i="4"/>
  <c r="E18" i="4"/>
  <c r="E17" i="4"/>
  <c r="E16" i="4"/>
  <c r="E15" i="4"/>
  <c r="E14" i="4"/>
  <c r="E13" i="4"/>
  <c r="E12" i="4"/>
  <c r="E11" i="4"/>
  <c r="E10" i="4"/>
  <c r="E9" i="4"/>
  <c r="E8" i="4"/>
  <c r="E6" i="4"/>
  <c r="E5" i="4"/>
  <c r="E4" i="4"/>
  <c r="J15" i="3" l="1"/>
  <c r="I15" i="3"/>
  <c r="H15" i="3"/>
  <c r="G15" i="3"/>
  <c r="E15" i="3"/>
  <c r="D15" i="3"/>
  <c r="C15" i="3"/>
  <c r="B15" i="3"/>
  <c r="F14" i="2" l="1"/>
  <c r="G14" i="2" s="1"/>
  <c r="H14" i="2" s="1"/>
  <c r="B14" i="2"/>
  <c r="F13" i="2"/>
  <c r="G13" i="2" s="1"/>
  <c r="H13" i="2" s="1"/>
  <c r="B13" i="2"/>
  <c r="F12" i="2"/>
  <c r="G12" i="2" s="1"/>
  <c r="H12" i="2" s="1"/>
  <c r="B12" i="2"/>
  <c r="F11" i="2"/>
  <c r="G11" i="2" s="1"/>
  <c r="H11" i="2" s="1"/>
  <c r="B11" i="2"/>
  <c r="F10" i="2"/>
  <c r="G10" i="2" s="1"/>
  <c r="H10" i="2" s="1"/>
  <c r="B10" i="2"/>
  <c r="F9" i="2"/>
  <c r="G9" i="2" s="1"/>
  <c r="H9" i="2" s="1"/>
  <c r="B9" i="2"/>
  <c r="F8" i="2"/>
  <c r="G8" i="2" s="1"/>
  <c r="H8" i="2" s="1"/>
  <c r="B8" i="2"/>
  <c r="F7" i="2"/>
  <c r="G7" i="2" s="1"/>
  <c r="H7" i="2" s="1"/>
  <c r="B7" i="2"/>
  <c r="F6" i="2"/>
  <c r="G6" i="2" s="1"/>
  <c r="H6" i="2" s="1"/>
  <c r="B6" i="2"/>
  <c r="F5" i="2"/>
  <c r="G5" i="2" s="1"/>
  <c r="H5" i="2" s="1"/>
  <c r="B5" i="2"/>
  <c r="F4" i="2"/>
  <c r="G4" i="2" s="1"/>
  <c r="H4" i="2" s="1"/>
  <c r="B4" i="2"/>
  <c r="F3" i="2"/>
  <c r="G3" i="2" s="1"/>
  <c r="H3" i="2" s="1"/>
  <c r="B3" i="2"/>
  <c r="H15" i="2" l="1"/>
  <c r="E25" i="1"/>
  <c r="E11" i="1" l="1"/>
  <c r="E19" i="1"/>
  <c r="E36" i="1" l="1"/>
  <c r="E33" i="1"/>
  <c r="E32" i="1"/>
  <c r="G32" i="1" s="1"/>
  <c r="E31" i="1"/>
  <c r="G31" i="1" s="1"/>
  <c r="E5" i="1"/>
  <c r="E10" i="1"/>
  <c r="E9" i="1"/>
  <c r="E28" i="1"/>
  <c r="E22" i="1"/>
  <c r="E6" i="1"/>
  <c r="E21" i="1"/>
  <c r="E20" i="1"/>
  <c r="E18" i="1"/>
  <c r="E13" i="1"/>
  <c r="E17" i="1"/>
  <c r="E16" i="1"/>
  <c r="E15" i="1"/>
  <c r="E14" i="1"/>
  <c r="E12" i="1"/>
  <c r="E8" i="1"/>
  <c r="E4" i="1"/>
</calcChain>
</file>

<file path=xl/sharedStrings.xml><?xml version="1.0" encoding="utf-8"?>
<sst xmlns="http://schemas.openxmlformats.org/spreadsheetml/2006/main" count="203" uniqueCount="109">
  <si>
    <t>Energy Conservations Initiatives towards reduction of Product Conversion Cost</t>
  </si>
  <si>
    <t>Sl. No.</t>
  </si>
  <si>
    <t>Area / Location</t>
  </si>
  <si>
    <t>Details of action taken</t>
  </si>
  <si>
    <t>Date of Implementation</t>
  </si>
  <si>
    <t xml:space="preserve">Potential Savings / Year in Rs. Lac </t>
  </si>
  <si>
    <t>Remarks</t>
  </si>
  <si>
    <t>Lighting Optimization in different area</t>
  </si>
  <si>
    <t>Sigma Mixer Area</t>
  </si>
  <si>
    <t>kwh*24 hrs*30 days*No. of Months*unit rate</t>
  </si>
  <si>
    <t>Pumping Energy &amp; Steam savings Optimization</t>
  </si>
  <si>
    <t xml:space="preserve">Installtion of air washer &amp; Exhaust unit instead of DX coil based AHU only by agreement of J&amp;J technically to meet the requirement. </t>
  </si>
  <si>
    <t>Saved steam in KG*av. Production*No. of Months*av. Steam cost per kg (Working sheet attached)</t>
  </si>
  <si>
    <t xml:space="preserve"> Noodles Mazzoni plant 20HP Vacuum Pump </t>
  </si>
  <si>
    <t>During opertaion of Mazzoni plant, 20HP vacuum pump is stopped due to water jet injector</t>
  </si>
  <si>
    <t>kwh*av. R hr of plant per month*No. of Months*unit rate</t>
  </si>
  <si>
    <t>Power failure has been reduce drastically resulting savings in Diesel cost (Compared with (April-15 to June-15) Diesel Consumption</t>
  </si>
  <si>
    <t>Working sheet attached</t>
  </si>
  <si>
    <t>Energy conservation through Interlocking and Automations</t>
  </si>
  <si>
    <t>Soap Plant</t>
  </si>
  <si>
    <t>Improvement of quality of Product along with cost savings by putting auto cleaning of Slip rings of Pouching Machines</t>
  </si>
  <si>
    <t>20.06.2015</t>
  </si>
  <si>
    <t xml:space="preserve">Savings of 13  to 14 lakhs </t>
  </si>
  <si>
    <t xml:space="preserve">Sr. No. </t>
  </si>
  <si>
    <t>Payback in Months</t>
  </si>
  <si>
    <t>Utilities</t>
  </si>
  <si>
    <t>Stopping of Water chillers during Winters</t>
  </si>
  <si>
    <t>units saved per month*no of months*unit rate</t>
  </si>
  <si>
    <t>Optimization of Chiller water cooling tower pumping system during winters and partially stopage of soap lines</t>
  </si>
  <si>
    <t>KWH*hrs*days*no of months*unit rate</t>
  </si>
  <si>
    <t>DG operation reduction due to changing of substation from Katha to Bhatoliklan by follow ups. Savings in FY-16-17 in Lacs</t>
  </si>
  <si>
    <t xml:space="preserve">Optimization of Chilled water secandary/process Pump </t>
  </si>
  <si>
    <t>Optimization in MP steam boiler by running only one bed as per the steam requirement.Resulting stopping of one FD Fan and one screw feeder. We have started this practice w.e.f 8th Sep-16. Savings are 1000 Units per day. Taking 8 months single bed operation</t>
  </si>
  <si>
    <t>units saved/day*no. of days*no. Of month*unit rate</t>
  </si>
  <si>
    <t>Replacement of existing 100HP motor with 60HP motor. Savings of 21A or 13.5KWH.Ywearly savings are calculated @ 16Hrs of root blower operation</t>
  </si>
  <si>
    <t>Both FD fans are having capacity of 40HP and 60HP. Optimized both FD fans through VFD operation and run both FD fans @28Hz . Savings of 20KWH</t>
  </si>
  <si>
    <t>MP Boiler</t>
  </si>
  <si>
    <t>Pet coke handeling Contractor Man Power reduction resulting saving of Rs. 28811 per month.</t>
  </si>
  <si>
    <t>Installation of reinjection fuel system in MP,HP and Thermic Fluid heater</t>
  </si>
  <si>
    <t>Optimization of bore well operation</t>
  </si>
  <si>
    <t>Earlier the running hrs were 22 Hrs but by increasing the pipe size the bore well operation is reduced to 12 Hrs. Savings of 20 KWH</t>
  </si>
  <si>
    <t>Saved Rs*no of month</t>
  </si>
  <si>
    <t>TLP,MSP,RM/PM and Noodles</t>
  </si>
  <si>
    <t>Idle disconnection and Timer based operation and replacement of some of the lights with LED lights in different areas. Savings of 25KWH</t>
  </si>
  <si>
    <t>Capacity reduced from 15HP/220cmh to 165cmh/7.5HP. Savings of 5 KWH</t>
  </si>
  <si>
    <t>DFA Precon &amp; Post Con Vacuum Pump</t>
  </si>
  <si>
    <t>Boiler Condensate Recovery</t>
  </si>
  <si>
    <t>Automation of TRM with simplex &amp; Duplex plodder Hopper level</t>
  </si>
  <si>
    <t>Earlier TRM keeps on running 24 Hrs.Now the automation has been done for 7 lines.TRM stopes and starts as per requirement of material in duplex plodder. Savings of 45KWH (Machine Idle Time per day=6 Hrs)</t>
  </si>
  <si>
    <t xml:space="preserve">Optimization of Acma 711 Machine </t>
  </si>
  <si>
    <t>Replaced the 3HP motor with 1.5HP only done in one Acma.Savings of 1.1KWH</t>
  </si>
  <si>
    <t>MSP- H-8 Line</t>
  </si>
  <si>
    <t>Optimization of H-8 Simplex through VFD- Savings of 15KWH</t>
  </si>
  <si>
    <t>Optimization of Noodles plant conveying blower through VFD</t>
  </si>
  <si>
    <t xml:space="preserve">Optimization of Precon Hot well pump through VFD </t>
  </si>
  <si>
    <t>Replacement of CFL &amp; Tube rods lighting in the entire plant with LED lights</t>
  </si>
  <si>
    <t>Replacement of other lighting like Street,Well glass etc  in the entire plant with LED lights</t>
  </si>
  <si>
    <t>Water jet reinjection system for MIL</t>
  </si>
  <si>
    <t>Acma Main motor replacement</t>
  </si>
  <si>
    <t>Micro Lab &amp; Powder plant</t>
  </si>
  <si>
    <t>Replacement of CFL light fixtures with LED ligh fixtures Total 72 Lights are replaced</t>
  </si>
  <si>
    <t>Replacement of CFL light fixtures with LED ligh fixtures: Total 38 Lights are replaced</t>
  </si>
  <si>
    <t>Trial taken and savings potential is 14 KWH</t>
  </si>
  <si>
    <t>Trial taken and savings potential is 20KWH</t>
  </si>
  <si>
    <t>saving potential is 36KWH</t>
  </si>
  <si>
    <t>saving potential is 44KWH</t>
  </si>
  <si>
    <t>Proven technology as done in Mazzoni</t>
  </si>
  <si>
    <t>Trail is successful. 3HP motor is to be replaced with 1.5HP for 6nos of  machines. Savings of 1.1KWH in one machine</t>
  </si>
  <si>
    <t>Data for Assurance</t>
  </si>
  <si>
    <t>Potential Savings/Year in Rs. Lac</t>
  </si>
  <si>
    <t>Investment in Lac</t>
  </si>
  <si>
    <t>in This Year 42105MT steam is generated and 19784 MT condensate is recovered.46.98%</t>
  </si>
  <si>
    <t>Condensate Recovery in Mt*cost of RO water</t>
  </si>
  <si>
    <t>Noodles Root Blower</t>
  </si>
  <si>
    <t>Area / Location &amp;Sub Headings</t>
  </si>
  <si>
    <t>Water jet injector is commissioined and savings are calculated for this FY</t>
  </si>
  <si>
    <t>Noodles Mazzoni plant water Jet Injector- Actual Steam savings</t>
  </si>
  <si>
    <t>DG set Diesel Savings and Savings due to improved power factor</t>
  </si>
  <si>
    <t>Power factor</t>
  </si>
  <si>
    <t>Power factor is maintained between 0.997 to 0.999 wheras incoming power factor remains 0.9 max. calculations are based on 0.9 power factor.In which 1454134 units are saved in this FY</t>
  </si>
  <si>
    <t>Total units saved*HPSEB unit rate</t>
  </si>
  <si>
    <t>Month wise saving by Maintaining power factor in FY-2016-17</t>
  </si>
  <si>
    <t>Month</t>
  </si>
  <si>
    <t>Overall power factor maintaining in lagging</t>
  </si>
  <si>
    <t>KWH units Consumed</t>
  </si>
  <si>
    <t>KVAH Units consumed at maintained power factor</t>
  </si>
  <si>
    <t>Incoming HPSEB Power factor recorded in Lagging</t>
  </si>
  <si>
    <t>KVAH Units calculated at incoming power factor</t>
  </si>
  <si>
    <t>KVAH units saved</t>
  </si>
  <si>
    <t>Saving in Rs. Per Month in Electricity Bill</t>
  </si>
  <si>
    <t>Total savings by maintaining Power factor near to unity in FY-2016-17 in Rs. Lac</t>
  </si>
  <si>
    <t>Comparison of Power failure and HSD consumption after power connectivity from Bhatoliklan 66/11KV substation</t>
  </si>
  <si>
    <t>FY-2014-15</t>
  </si>
  <si>
    <t>FY-2016-17</t>
  </si>
  <si>
    <t>No of Fails</t>
  </si>
  <si>
    <t>Fail Time in Minutes</t>
  </si>
  <si>
    <t>HSD Consumption in Ltr</t>
  </si>
  <si>
    <t>DG running Hrs</t>
  </si>
  <si>
    <t>No of Power Fails</t>
  </si>
  <si>
    <t>Power Fail Time in Minutes</t>
  </si>
  <si>
    <t>HSD Consumption</t>
  </si>
  <si>
    <t>April-14 to Nov-14</t>
  </si>
  <si>
    <t>April-16 to Nov-16</t>
  </si>
  <si>
    <t>Note: Power supply connected from Bhatoliklan Substation on 28th June-2015, Comparison is of FY-2014-15 and FY 2016-17</t>
  </si>
  <si>
    <t>No of Power Failure reduced by 42%</t>
  </si>
  <si>
    <t>HSD consumption reduced by approx.60% or 126326 Ltrs  in FY  2016-17</t>
  </si>
  <si>
    <t>Average HSD price in FY-2016-17= Rs. 43.63/Ltr</t>
  </si>
  <si>
    <t>Savings in Rs= 126326x43.63= 55.11 Lakhs</t>
  </si>
  <si>
    <t>Total Savings in Rs. lac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</si>
</sst>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5" x14ac:knownFonts="1">
    <font>
      <sz val="11"/>
      <color theme="1"/>
      <name val="Calibri"/>
      <family val="2"/>
      <scheme val="minor"/>
    </font>
    <font>
      <b/>
      <sz val="11"/>
      <color theme="1"/>
      <name val="Calibri"/>
      <family val="2"/>
      <scheme val="minor"/>
    </font>
    <font>
      <sz val="11"/>
      <color rgb="FF000000"/>
      <name val="Calibri"/>
      <family val="2"/>
      <scheme val="minor"/>
    </font>
    <font>
      <sz val="10"/>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64">
    <xf numFmtId="0" fontId="0" fillId="0" borderId="0" xfId="0"/>
    <xf numFmtId="0" fontId="0" fillId="0" borderId="0" xfId="0" applyFont="1"/>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xf>
    <xf numFmtId="0" fontId="0" fillId="2" borderId="1" xfId="0" applyFont="1" applyFill="1" applyBorder="1"/>
    <xf numFmtId="0" fontId="0" fillId="0" borderId="1" xfId="0" applyFont="1" applyFill="1" applyBorder="1"/>
    <xf numFmtId="0" fontId="0" fillId="0" borderId="1" xfId="0" applyFont="1" applyFill="1" applyBorder="1" applyAlignment="1">
      <alignment wrapText="1"/>
    </xf>
    <xf numFmtId="2" fontId="0" fillId="0" borderId="1" xfId="0" applyNumberFormat="1" applyFont="1" applyFill="1" applyBorder="1"/>
    <xf numFmtId="0" fontId="0" fillId="0" borderId="0" xfId="0" applyFont="1" applyFill="1"/>
    <xf numFmtId="0" fontId="0" fillId="0" borderId="1" xfId="0" applyFont="1" applyFill="1" applyBorder="1" applyAlignment="1">
      <alignment horizontal="center" wrapText="1"/>
    </xf>
    <xf numFmtId="0" fontId="0" fillId="0" borderId="1" xfId="0" applyFont="1" applyBorder="1"/>
    <xf numFmtId="0" fontId="2" fillId="0" borderId="1" xfId="0" applyFont="1" applyBorder="1" applyAlignment="1">
      <alignment wrapText="1"/>
    </xf>
    <xf numFmtId="0" fontId="0" fillId="2" borderId="0" xfId="0" applyFont="1" applyFill="1" applyBorder="1" applyAlignment="1">
      <alignment horizontal="center"/>
    </xf>
    <xf numFmtId="0" fontId="0" fillId="2" borderId="2" xfId="0" applyFont="1" applyFill="1" applyBorder="1" applyAlignment="1">
      <alignment vertical="center"/>
    </xf>
    <xf numFmtId="0" fontId="1" fillId="0" borderId="0" xfId="0" applyFont="1"/>
    <xf numFmtId="0" fontId="0" fillId="0" borderId="1" xfId="0" applyBorder="1" applyAlignment="1">
      <alignment wrapText="1"/>
    </xf>
    <xf numFmtId="0" fontId="0" fillId="0" borderId="1" xfId="0" applyFill="1" applyBorder="1" applyAlignment="1">
      <alignment wrapText="1"/>
    </xf>
    <xf numFmtId="2" fontId="0" fillId="0" borderId="1" xfId="0" applyNumberFormat="1" applyBorder="1"/>
    <xf numFmtId="0" fontId="0" fillId="0" borderId="1" xfId="0" applyBorder="1"/>
    <xf numFmtId="0" fontId="0" fillId="0" borderId="3" xfId="0" applyFont="1" applyFill="1" applyBorder="1" applyAlignment="1">
      <alignment wrapText="1"/>
    </xf>
    <xf numFmtId="0" fontId="2" fillId="0" borderId="1" xfId="0" applyFont="1" applyFill="1" applyBorder="1" applyAlignment="1">
      <alignment horizontal="center" wrapText="1" readingOrder="1"/>
    </xf>
    <xf numFmtId="2" fontId="0" fillId="0" borderId="1" xfId="0" applyNumberFormat="1" applyFill="1" applyBorder="1"/>
    <xf numFmtId="0" fontId="0" fillId="0" borderId="1" xfId="0" applyFill="1" applyBorder="1"/>
    <xf numFmtId="0" fontId="0" fillId="0" borderId="0" xfId="0" applyFont="1" applyFill="1" applyBorder="1"/>
    <xf numFmtId="0" fontId="0" fillId="0" borderId="0" xfId="0" applyFont="1" applyFill="1" applyBorder="1" applyAlignment="1">
      <alignment wrapText="1"/>
    </xf>
    <xf numFmtId="164" fontId="3" fillId="3" borderId="0" xfId="0" applyNumberFormat="1" applyFont="1" applyFill="1" applyBorder="1" applyAlignment="1">
      <alignment horizontal="center"/>
    </xf>
    <xf numFmtId="0" fontId="0" fillId="4" borderId="1" xfId="0" applyFill="1" applyBorder="1"/>
    <xf numFmtId="0" fontId="0" fillId="4" borderId="1" xfId="0" applyFill="1"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1" xfId="0" applyBorder="1" applyAlignment="1">
      <alignment horizontal="center"/>
    </xf>
    <xf numFmtId="0" fontId="0" fillId="4" borderId="1" xfId="0" applyFill="1" applyBorder="1" applyAlignment="1">
      <alignment wrapText="1"/>
    </xf>
    <xf numFmtId="2" fontId="0" fillId="0" borderId="1" xfId="0" applyNumberFormat="1" applyBorder="1" applyAlignment="1">
      <alignment horizontal="center"/>
    </xf>
    <xf numFmtId="0" fontId="0" fillId="2" borderId="1" xfId="0" applyFont="1" applyFill="1" applyBorder="1" applyAlignment="1">
      <alignment wrapText="1"/>
    </xf>
    <xf numFmtId="2" fontId="0" fillId="2" borderId="1" xfId="0" applyNumberFormat="1" applyFont="1" applyFill="1" applyBorder="1"/>
    <xf numFmtId="0" fontId="0" fillId="2" borderId="1" xfId="0" applyFill="1" applyBorder="1" applyAlignment="1">
      <alignment wrapText="1"/>
    </xf>
    <xf numFmtId="0" fontId="4" fillId="0" borderId="0" xfId="0" applyFont="1" applyAlignment="1">
      <alignment horizontal="center"/>
    </xf>
    <xf numFmtId="0" fontId="4"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17" fontId="4" fillId="0" borderId="1" xfId="0" applyNumberFormat="1" applyFont="1" applyBorder="1" applyAlignment="1">
      <alignment horizontal="center" vertical="center" wrapText="1"/>
    </xf>
    <xf numFmtId="165" fontId="4" fillId="0" borderId="1" xfId="0" applyNumberFormat="1" applyFont="1" applyBorder="1" applyAlignment="1">
      <alignment horizontal="center"/>
    </xf>
    <xf numFmtId="0" fontId="4" fillId="0" borderId="1" xfId="0" applyFont="1" applyBorder="1" applyAlignment="1">
      <alignment horizontal="center"/>
    </xf>
    <xf numFmtId="1" fontId="4" fillId="0" borderId="1" xfId="0" applyNumberFormat="1" applyFont="1" applyBorder="1" applyAlignment="1">
      <alignment horizontal="center"/>
    </xf>
    <xf numFmtId="1" fontId="4" fillId="2" borderId="1" xfId="0" applyNumberFormat="1" applyFont="1" applyFill="1" applyBorder="1" applyAlignment="1">
      <alignment horizontal="center"/>
    </xf>
    <xf numFmtId="2" fontId="0" fillId="2" borderId="1" xfId="0" applyNumberFormat="1" applyFill="1" applyBorder="1" applyAlignment="1">
      <alignment horizontal="center"/>
    </xf>
    <xf numFmtId="0" fontId="0" fillId="2" borderId="1" xfId="0" applyFill="1" applyBorder="1" applyAlignment="1">
      <alignment horizontal="center"/>
    </xf>
    <xf numFmtId="17" fontId="0" fillId="0" borderId="1" xfId="0" applyNumberFormat="1" applyBorder="1"/>
    <xf numFmtId="17" fontId="0" fillId="0" borderId="1" xfId="0" applyNumberFormat="1" applyFill="1" applyBorder="1"/>
    <xf numFmtId="0" fontId="0" fillId="2" borderId="1" xfId="0" applyFill="1" applyBorder="1"/>
    <xf numFmtId="0" fontId="0" fillId="0" borderId="8" xfId="0" applyBorder="1" applyAlignment="1"/>
    <xf numFmtId="0" fontId="0" fillId="2" borderId="1" xfId="0" applyFont="1" applyFill="1" applyBorder="1" applyAlignment="1">
      <alignment horizontal="center"/>
    </xf>
    <xf numFmtId="0" fontId="0" fillId="2" borderId="1" xfId="0" applyFont="1" applyFill="1" applyBorder="1" applyAlignment="1">
      <alignment horizontal="center" vertical="center"/>
    </xf>
    <xf numFmtId="0" fontId="4" fillId="0" borderId="4" xfId="0" applyFont="1" applyBorder="1" applyAlignment="1">
      <alignment horizontal="left"/>
    </xf>
    <xf numFmtId="0" fontId="0" fillId="2"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0" xfId="0" applyAlignment="1">
      <alignment horizontal="center"/>
    </xf>
    <xf numFmtId="0" fontId="0" fillId="0" borderId="4" xfId="0" applyBorder="1" applyAlignment="1">
      <alignment horizontal="center"/>
    </xf>
    <xf numFmtId="0" fontId="0" fillId="4" borderId="1" xfId="0" applyFont="1" applyFill="1" applyBorder="1" applyAlignment="1">
      <alignment horizontal="center"/>
    </xf>
    <xf numFmtId="0" fontId="0" fillId="4" borderId="1" xfId="0" applyFont="1" applyFill="1" applyBorder="1"/>
    <xf numFmtId="164" fontId="3" fillId="4" borderId="1" xfId="0" applyNumberFormat="1" applyFont="1" applyFill="1" applyBorder="1" applyAlignment="1">
      <alignment horizontal="center"/>
    </xf>
    <xf numFmtId="0" fontId="0" fillId="4"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J8" sqref="J8"/>
    </sheetView>
  </sheetViews>
  <sheetFormatPr defaultRowHeight="15" x14ac:dyDescent="0.25"/>
  <cols>
    <col min="1" max="1" width="6.7109375" style="1" bestFit="1" customWidth="1"/>
    <col min="2" max="2" width="20.140625" style="1" customWidth="1"/>
    <col min="3" max="3" width="38.42578125" style="1" customWidth="1"/>
    <col min="4" max="4" width="22.7109375" style="1" hidden="1" customWidth="1"/>
    <col min="5" max="5" width="20.5703125" style="1" customWidth="1"/>
    <col min="6" max="6" width="42" style="1" customWidth="1"/>
    <col min="7" max="7" width="19.42578125" style="1" customWidth="1"/>
    <col min="8" max="16384" width="9.140625" style="1"/>
  </cols>
  <sheetData>
    <row r="1" spans="1:6" x14ac:dyDescent="0.25">
      <c r="A1" s="51" t="s">
        <v>0</v>
      </c>
      <c r="B1" s="51"/>
      <c r="C1" s="51"/>
      <c r="D1" s="51"/>
      <c r="E1" s="51"/>
      <c r="F1" s="51"/>
    </row>
    <row r="2" spans="1:6" ht="30" x14ac:dyDescent="0.25">
      <c r="A2" s="2" t="s">
        <v>1</v>
      </c>
      <c r="B2" s="3" t="s">
        <v>74</v>
      </c>
      <c r="C2" s="2" t="s">
        <v>3</v>
      </c>
      <c r="D2" s="2" t="s">
        <v>4</v>
      </c>
      <c r="E2" s="3" t="s">
        <v>5</v>
      </c>
      <c r="F2" s="4" t="s">
        <v>6</v>
      </c>
    </row>
    <row r="3" spans="1:6" x14ac:dyDescent="0.25">
      <c r="A3" s="52" t="s">
        <v>7</v>
      </c>
      <c r="B3" s="52"/>
      <c r="C3" s="52"/>
      <c r="D3" s="52"/>
      <c r="E3" s="52"/>
      <c r="F3" s="5"/>
    </row>
    <row r="4" spans="1:6" s="9" customFormat="1" ht="45" x14ac:dyDescent="0.25">
      <c r="A4" s="6">
        <v>1</v>
      </c>
      <c r="B4" s="6" t="s">
        <v>8</v>
      </c>
      <c r="C4" s="7" t="s">
        <v>61</v>
      </c>
      <c r="D4" s="6"/>
      <c r="E4" s="8">
        <f>1.52*24*30*12*6.25/100000</f>
        <v>0.82079999999999997</v>
      </c>
      <c r="F4" s="6" t="s">
        <v>9</v>
      </c>
    </row>
    <row r="5" spans="1:6" s="9" customFormat="1" ht="45" x14ac:dyDescent="0.25">
      <c r="A5" s="6">
        <v>2</v>
      </c>
      <c r="B5" s="7" t="s">
        <v>59</v>
      </c>
      <c r="C5" s="7" t="s">
        <v>60</v>
      </c>
      <c r="D5" s="6"/>
      <c r="E5" s="8">
        <f>2.3*24*30*12*6.25/100000</f>
        <v>1.2419999999999998</v>
      </c>
      <c r="F5" s="6" t="s">
        <v>9</v>
      </c>
    </row>
    <row r="6" spans="1:6" s="9" customFormat="1" ht="60" x14ac:dyDescent="0.25">
      <c r="A6" s="6">
        <v>3</v>
      </c>
      <c r="B6" s="7" t="s">
        <v>42</v>
      </c>
      <c r="C6" s="16" t="s">
        <v>43</v>
      </c>
      <c r="D6" s="6"/>
      <c r="E6" s="19">
        <f>25*12*30*12*6.25/100000</f>
        <v>6.75</v>
      </c>
      <c r="F6" s="6" t="s">
        <v>9</v>
      </c>
    </row>
    <row r="7" spans="1:6" x14ac:dyDescent="0.25">
      <c r="A7" s="51" t="s">
        <v>10</v>
      </c>
      <c r="B7" s="51"/>
      <c r="C7" s="51"/>
      <c r="D7" s="51"/>
      <c r="E7" s="51"/>
      <c r="F7" s="51"/>
    </row>
    <row r="8" spans="1:6" ht="60" x14ac:dyDescent="0.25">
      <c r="A8" s="6">
        <v>4</v>
      </c>
      <c r="B8" s="6" t="s">
        <v>8</v>
      </c>
      <c r="C8" s="7" t="s">
        <v>11</v>
      </c>
      <c r="D8" s="6"/>
      <c r="E8" s="8">
        <f>23*24*30*7*6.25/100000</f>
        <v>7.2450000000000001</v>
      </c>
      <c r="F8" s="6" t="s">
        <v>9</v>
      </c>
    </row>
    <row r="9" spans="1:6" ht="30" x14ac:dyDescent="0.25">
      <c r="A9" s="6">
        <v>5</v>
      </c>
      <c r="B9" s="17" t="s">
        <v>49</v>
      </c>
      <c r="C9" s="17" t="s">
        <v>50</v>
      </c>
      <c r="D9" s="6"/>
      <c r="E9" s="22">
        <f>1.1*24*30.12*6.25/100000</f>
        <v>4.9698000000000013E-2</v>
      </c>
      <c r="F9" s="6" t="s">
        <v>29</v>
      </c>
    </row>
    <row r="10" spans="1:6" ht="30" x14ac:dyDescent="0.25">
      <c r="A10" s="6">
        <v>6</v>
      </c>
      <c r="B10" s="20" t="s">
        <v>51</v>
      </c>
      <c r="C10" s="17" t="s">
        <v>52</v>
      </c>
      <c r="D10" s="6"/>
      <c r="E10" s="22">
        <f>15*24*30*12*6.25/100000</f>
        <v>8.1</v>
      </c>
      <c r="F10" s="7" t="s">
        <v>29</v>
      </c>
    </row>
    <row r="11" spans="1:6" ht="60" x14ac:dyDescent="0.25">
      <c r="A11" s="5">
        <v>7</v>
      </c>
      <c r="B11" s="34" t="s">
        <v>76</v>
      </c>
      <c r="C11" s="34" t="s">
        <v>75</v>
      </c>
      <c r="D11" s="5"/>
      <c r="E11" s="35">
        <f>65*2890.76*12*1.18/100000</f>
        <v>26.606555040000003</v>
      </c>
      <c r="F11" s="34" t="s">
        <v>12</v>
      </c>
    </row>
    <row r="12" spans="1:6" ht="45" x14ac:dyDescent="0.25">
      <c r="A12" s="6">
        <v>8</v>
      </c>
      <c r="B12" s="7" t="s">
        <v>13</v>
      </c>
      <c r="C12" s="7" t="s">
        <v>14</v>
      </c>
      <c r="D12" s="6"/>
      <c r="E12" s="8">
        <f>12*498*12*6.25/100000</f>
        <v>4.4820000000000002</v>
      </c>
      <c r="F12" s="7" t="s">
        <v>15</v>
      </c>
    </row>
    <row r="13" spans="1:6" ht="60" x14ac:dyDescent="0.25">
      <c r="A13" s="6">
        <v>9</v>
      </c>
      <c r="B13" s="7" t="s">
        <v>73</v>
      </c>
      <c r="C13" s="17" t="s">
        <v>34</v>
      </c>
      <c r="D13" s="6"/>
      <c r="E13" s="8">
        <f>13.5*16*30*12*6.25/100000</f>
        <v>4.8600000000000003</v>
      </c>
      <c r="F13" s="6" t="s">
        <v>29</v>
      </c>
    </row>
    <row r="14" spans="1:6" x14ac:dyDescent="0.25">
      <c r="A14" s="6">
        <v>10</v>
      </c>
      <c r="B14" s="7" t="s">
        <v>25</v>
      </c>
      <c r="C14" s="7" t="s">
        <v>26</v>
      </c>
      <c r="D14" s="6"/>
      <c r="E14" s="8">
        <f>52936*4*6.25/100000</f>
        <v>13.234</v>
      </c>
      <c r="F14" s="6" t="s">
        <v>27</v>
      </c>
    </row>
    <row r="15" spans="1:6" ht="45" x14ac:dyDescent="0.25">
      <c r="A15" s="6">
        <v>11</v>
      </c>
      <c r="B15" s="7" t="s">
        <v>25</v>
      </c>
      <c r="C15" s="17" t="s">
        <v>28</v>
      </c>
      <c r="D15" s="6"/>
      <c r="E15" s="8">
        <f>20*24*30*4*6.25/100000</f>
        <v>3.6</v>
      </c>
      <c r="F15" s="6" t="s">
        <v>29</v>
      </c>
    </row>
    <row r="16" spans="1:6" ht="30" x14ac:dyDescent="0.25">
      <c r="A16" s="6">
        <v>12</v>
      </c>
      <c r="B16" s="7" t="s">
        <v>25</v>
      </c>
      <c r="C16" s="17" t="s">
        <v>31</v>
      </c>
      <c r="D16" s="6"/>
      <c r="E16" s="8">
        <f>7.5*24*30*12*6.25/100000</f>
        <v>4.05</v>
      </c>
      <c r="F16" s="6" t="s">
        <v>29</v>
      </c>
    </row>
    <row r="17" spans="1:7" ht="105" x14ac:dyDescent="0.25">
      <c r="A17" s="6">
        <v>13</v>
      </c>
      <c r="B17" s="7" t="s">
        <v>36</v>
      </c>
      <c r="C17" s="17" t="s">
        <v>32</v>
      </c>
      <c r="D17" s="6"/>
      <c r="E17" s="8">
        <f>1050*30*2.5*6.25/100000</f>
        <v>4.921875</v>
      </c>
      <c r="F17" s="7" t="s">
        <v>33</v>
      </c>
    </row>
    <row r="18" spans="1:7" ht="60" x14ac:dyDescent="0.25">
      <c r="A18" s="6">
        <v>14</v>
      </c>
      <c r="B18" s="7" t="s">
        <v>36</v>
      </c>
      <c r="C18" s="17" t="s">
        <v>35</v>
      </c>
      <c r="D18" s="6"/>
      <c r="E18" s="8">
        <f>20*24*30*12*6.25/100000</f>
        <v>10.8</v>
      </c>
      <c r="F18" s="6"/>
    </row>
    <row r="19" spans="1:7" ht="45" x14ac:dyDescent="0.25">
      <c r="A19" s="5">
        <v>15</v>
      </c>
      <c r="B19" s="34" t="s">
        <v>46</v>
      </c>
      <c r="C19" s="36" t="s">
        <v>71</v>
      </c>
      <c r="D19" s="5"/>
      <c r="E19" s="35">
        <f>19784*58.85/100000</f>
        <v>11.642884000000002</v>
      </c>
      <c r="F19" s="5" t="s">
        <v>72</v>
      </c>
    </row>
    <row r="20" spans="1:7" ht="60" x14ac:dyDescent="0.25">
      <c r="A20" s="6">
        <v>16</v>
      </c>
      <c r="B20" s="17" t="s">
        <v>38</v>
      </c>
      <c r="C20" s="21" t="s">
        <v>37</v>
      </c>
      <c r="D20" s="6"/>
      <c r="E20" s="22">
        <f>28811*12/100000</f>
        <v>3.4573200000000002</v>
      </c>
      <c r="F20" s="6" t="s">
        <v>41</v>
      </c>
    </row>
    <row r="21" spans="1:7" ht="60" x14ac:dyDescent="0.25">
      <c r="A21" s="6">
        <v>17</v>
      </c>
      <c r="B21" s="17" t="s">
        <v>39</v>
      </c>
      <c r="C21" s="17" t="s">
        <v>40</v>
      </c>
      <c r="D21" s="6"/>
      <c r="E21" s="23">
        <f>20*10*30*12*6.25/100000</f>
        <v>4.5</v>
      </c>
      <c r="F21" s="6" t="s">
        <v>29</v>
      </c>
    </row>
    <row r="22" spans="1:7" ht="30" x14ac:dyDescent="0.25">
      <c r="A22" s="6">
        <v>18</v>
      </c>
      <c r="B22" s="7" t="s">
        <v>45</v>
      </c>
      <c r="C22" s="17" t="s">
        <v>44</v>
      </c>
      <c r="D22" s="6"/>
      <c r="E22" s="23">
        <f>5*24*30*12*6.25/100000</f>
        <v>2.7</v>
      </c>
      <c r="F22" s="6" t="s">
        <v>29</v>
      </c>
    </row>
    <row r="23" spans="1:7" x14ac:dyDescent="0.25">
      <c r="A23" s="51" t="s">
        <v>77</v>
      </c>
      <c r="B23" s="51"/>
      <c r="C23" s="51"/>
      <c r="D23" s="51"/>
      <c r="E23" s="51"/>
      <c r="F23" s="51"/>
    </row>
    <row r="24" spans="1:7" ht="120" x14ac:dyDescent="0.25">
      <c r="A24" s="6">
        <v>19</v>
      </c>
      <c r="B24" s="10" t="s">
        <v>30</v>
      </c>
      <c r="C24" s="7" t="s">
        <v>16</v>
      </c>
      <c r="D24" s="6"/>
      <c r="E24" s="6">
        <v>55.11</v>
      </c>
      <c r="F24" s="7" t="s">
        <v>17</v>
      </c>
    </row>
    <row r="25" spans="1:7" ht="75" x14ac:dyDescent="0.25">
      <c r="A25" s="6">
        <v>20</v>
      </c>
      <c r="B25" s="10" t="s">
        <v>78</v>
      </c>
      <c r="C25" s="7" t="s">
        <v>79</v>
      </c>
      <c r="D25" s="6"/>
      <c r="E25" s="6">
        <f>1454134*5.75/100000</f>
        <v>83.612705000000005</v>
      </c>
      <c r="F25" s="7" t="s">
        <v>80</v>
      </c>
    </row>
    <row r="26" spans="1:7" x14ac:dyDescent="0.25">
      <c r="A26" s="51" t="s">
        <v>18</v>
      </c>
      <c r="B26" s="51"/>
      <c r="C26" s="51"/>
      <c r="D26" s="51"/>
      <c r="E26" s="51"/>
      <c r="F26" s="51"/>
    </row>
    <row r="27" spans="1:7" ht="60" x14ac:dyDescent="0.25">
      <c r="A27" s="11">
        <v>21</v>
      </c>
      <c r="B27" s="11" t="s">
        <v>19</v>
      </c>
      <c r="C27" s="12" t="s">
        <v>20</v>
      </c>
      <c r="D27" s="11" t="s">
        <v>21</v>
      </c>
      <c r="E27" s="11">
        <v>13</v>
      </c>
      <c r="F27" s="11" t="s">
        <v>22</v>
      </c>
    </row>
    <row r="28" spans="1:7" ht="90" x14ac:dyDescent="0.25">
      <c r="A28" s="11">
        <v>22</v>
      </c>
      <c r="B28" s="17" t="s">
        <v>47</v>
      </c>
      <c r="C28" s="16" t="s">
        <v>48</v>
      </c>
      <c r="D28" s="11"/>
      <c r="E28" s="19">
        <f>45*6*30*12*6.25/100000</f>
        <v>6.0750000000000002</v>
      </c>
      <c r="F28" s="6" t="s">
        <v>29</v>
      </c>
    </row>
    <row r="29" spans="1:7" x14ac:dyDescent="0.25">
      <c r="A29" s="51"/>
      <c r="B29" s="51"/>
      <c r="C29" s="51"/>
      <c r="D29" s="51"/>
      <c r="E29" s="51"/>
      <c r="F29" s="51"/>
    </row>
    <row r="30" spans="1:7" ht="45" x14ac:dyDescent="0.25">
      <c r="A30" s="13" t="s">
        <v>23</v>
      </c>
      <c r="B30" s="14" t="s">
        <v>2</v>
      </c>
      <c r="C30" s="27" t="s">
        <v>68</v>
      </c>
      <c r="D30" s="13"/>
      <c r="E30" s="32" t="s">
        <v>69</v>
      </c>
      <c r="F30" s="28" t="s">
        <v>70</v>
      </c>
      <c r="G30" s="27" t="s">
        <v>24</v>
      </c>
    </row>
    <row r="31" spans="1:7" ht="60" x14ac:dyDescent="0.25">
      <c r="A31" s="11">
        <v>1</v>
      </c>
      <c r="B31" s="16" t="s">
        <v>53</v>
      </c>
      <c r="C31" s="16" t="s">
        <v>62</v>
      </c>
      <c r="D31" s="11"/>
      <c r="E31" s="18">
        <f>14*16*30*12*6.5/100000</f>
        <v>5.2416</v>
      </c>
      <c r="F31" s="31">
        <v>2.5</v>
      </c>
      <c r="G31" s="33">
        <f>F31/E31*12</f>
        <v>5.7234432234432226</v>
      </c>
    </row>
    <row r="32" spans="1:7" ht="45" x14ac:dyDescent="0.25">
      <c r="A32" s="11">
        <v>2</v>
      </c>
      <c r="B32" s="16" t="s">
        <v>54</v>
      </c>
      <c r="C32" s="16" t="s">
        <v>63</v>
      </c>
      <c r="D32" s="11"/>
      <c r="E32" s="18">
        <f>20*24*30*12*6.5/100000</f>
        <v>11.231999999999999</v>
      </c>
      <c r="F32" s="31">
        <v>3.17</v>
      </c>
      <c r="G32" s="33">
        <f>F32/E32*12</f>
        <v>3.3867521367521372</v>
      </c>
    </row>
    <row r="33" spans="1:7" ht="60" x14ac:dyDescent="0.25">
      <c r="A33" s="11">
        <v>3</v>
      </c>
      <c r="B33" s="16" t="s">
        <v>55</v>
      </c>
      <c r="C33" s="16" t="s">
        <v>64</v>
      </c>
      <c r="D33" s="24"/>
      <c r="E33" s="18">
        <f>36*24*30*12*6.5/100000</f>
        <v>20.217600000000001</v>
      </c>
      <c r="F33" s="31">
        <v>15</v>
      </c>
      <c r="G33" s="29">
        <v>7.5</v>
      </c>
    </row>
    <row r="34" spans="1:7" ht="75" x14ac:dyDescent="0.25">
      <c r="A34" s="11">
        <v>4</v>
      </c>
      <c r="B34" s="16" t="s">
        <v>56</v>
      </c>
      <c r="C34" s="16" t="s">
        <v>65</v>
      </c>
      <c r="D34" s="24"/>
      <c r="E34" s="18">
        <v>12.34</v>
      </c>
      <c r="F34" s="31">
        <v>12.25</v>
      </c>
      <c r="G34" s="30">
        <v>12</v>
      </c>
    </row>
    <row r="35" spans="1:7" ht="30" x14ac:dyDescent="0.25">
      <c r="A35" s="11">
        <v>5</v>
      </c>
      <c r="B35" s="16" t="s">
        <v>57</v>
      </c>
      <c r="C35" s="16" t="s">
        <v>66</v>
      </c>
      <c r="D35" s="24"/>
      <c r="E35" s="19">
        <v>20.76</v>
      </c>
      <c r="F35" s="31">
        <v>12.81</v>
      </c>
      <c r="G35" s="30">
        <v>6</v>
      </c>
    </row>
    <row r="36" spans="1:7" ht="60" x14ac:dyDescent="0.25">
      <c r="A36" s="11">
        <v>6</v>
      </c>
      <c r="B36" s="16" t="s">
        <v>58</v>
      </c>
      <c r="C36" s="16" t="s">
        <v>67</v>
      </c>
      <c r="D36" s="24"/>
      <c r="E36" s="18">
        <f>1.1*6*24*30*12*6.5/100000</f>
        <v>3.7065600000000001</v>
      </c>
      <c r="F36" s="31">
        <v>0.6</v>
      </c>
      <c r="G36" s="31">
        <v>2</v>
      </c>
    </row>
    <row r="37" spans="1:7" x14ac:dyDescent="0.25">
      <c r="A37" s="24"/>
      <c r="B37" s="24"/>
      <c r="C37" s="25"/>
      <c r="D37" s="24"/>
      <c r="E37" s="26"/>
      <c r="F37" s="25"/>
    </row>
    <row r="38" spans="1:7" x14ac:dyDescent="0.25">
      <c r="A38" s="24"/>
      <c r="B38" s="24"/>
      <c r="C38" s="25"/>
      <c r="D38" s="24"/>
      <c r="E38" s="26"/>
      <c r="F38" s="25"/>
    </row>
    <row r="39" spans="1:7" x14ac:dyDescent="0.25">
      <c r="A39" s="24"/>
      <c r="B39" s="24"/>
      <c r="C39" s="25"/>
      <c r="D39" s="24"/>
      <c r="E39" s="26"/>
      <c r="F39" s="25"/>
    </row>
    <row r="40" spans="1:7" x14ac:dyDescent="0.25">
      <c r="A40" s="24"/>
      <c r="B40" s="24"/>
      <c r="C40" s="25"/>
      <c r="D40" s="24"/>
      <c r="E40" s="26"/>
      <c r="F40" s="25"/>
    </row>
    <row r="41" spans="1:7" x14ac:dyDescent="0.25">
      <c r="A41" s="24"/>
      <c r="B41" s="24"/>
      <c r="C41" s="25"/>
      <c r="D41" s="24"/>
      <c r="E41" s="26"/>
      <c r="F41" s="25"/>
    </row>
    <row r="42" spans="1:7" x14ac:dyDescent="0.25">
      <c r="A42" s="24"/>
      <c r="B42" s="24"/>
      <c r="C42" s="25"/>
      <c r="D42" s="24"/>
      <c r="E42" s="26"/>
      <c r="F42" s="25"/>
    </row>
    <row r="43" spans="1:7" x14ac:dyDescent="0.25">
      <c r="A43" s="24"/>
      <c r="B43" s="24"/>
      <c r="C43" s="25"/>
      <c r="D43" s="24"/>
      <c r="E43" s="26"/>
      <c r="F43" s="25"/>
    </row>
    <row r="44" spans="1:7" x14ac:dyDescent="0.25">
      <c r="A44" s="24"/>
      <c r="B44" s="24"/>
      <c r="C44" s="25"/>
      <c r="D44" s="24"/>
      <c r="E44" s="26"/>
      <c r="F44" s="25"/>
    </row>
    <row r="45" spans="1:7" x14ac:dyDescent="0.25">
      <c r="A45" s="24"/>
      <c r="B45" s="24"/>
      <c r="C45" s="25"/>
      <c r="D45" s="24"/>
      <c r="E45" s="26"/>
      <c r="F45" s="25"/>
    </row>
    <row r="46" spans="1:7" x14ac:dyDescent="0.25">
      <c r="A46" s="24"/>
      <c r="B46" s="24"/>
      <c r="C46" s="25"/>
      <c r="D46" s="24"/>
      <c r="E46" s="26"/>
      <c r="F46" s="25"/>
    </row>
    <row r="49" spans="5:5" x14ac:dyDescent="0.25">
      <c r="E49" s="15"/>
    </row>
  </sheetData>
  <mergeCells count="6">
    <mergeCell ref="A29:F29"/>
    <mergeCell ref="A1:F1"/>
    <mergeCell ref="A3:E3"/>
    <mergeCell ref="A7:F7"/>
    <mergeCell ref="A23:F23"/>
    <mergeCell ref="A26:F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J6" sqref="J6"/>
    </sheetView>
  </sheetViews>
  <sheetFormatPr defaultRowHeight="15" x14ac:dyDescent="0.25"/>
  <cols>
    <col min="1" max="1" width="14" customWidth="1"/>
    <col min="7" max="7" width="11.140625" customWidth="1"/>
    <col min="8" max="8" width="18" customWidth="1"/>
  </cols>
  <sheetData>
    <row r="1" spans="1:8" x14ac:dyDescent="0.25">
      <c r="A1" s="53" t="s">
        <v>81</v>
      </c>
      <c r="B1" s="53"/>
      <c r="C1" s="53"/>
      <c r="D1" s="53"/>
      <c r="E1" s="53"/>
      <c r="F1" s="53"/>
      <c r="G1" s="37"/>
      <c r="H1" s="37"/>
    </row>
    <row r="2" spans="1:8" ht="120" x14ac:dyDescent="0.25">
      <c r="A2" s="38" t="s">
        <v>82</v>
      </c>
      <c r="B2" s="38" t="s">
        <v>83</v>
      </c>
      <c r="C2" s="38" t="s">
        <v>84</v>
      </c>
      <c r="D2" s="38" t="s">
        <v>85</v>
      </c>
      <c r="E2" s="38" t="s">
        <v>86</v>
      </c>
      <c r="F2" s="38" t="s">
        <v>87</v>
      </c>
      <c r="G2" s="38" t="s">
        <v>88</v>
      </c>
      <c r="H2" s="39" t="s">
        <v>89</v>
      </c>
    </row>
    <row r="3" spans="1:8" x14ac:dyDescent="0.25">
      <c r="A3" s="40">
        <v>42461</v>
      </c>
      <c r="B3" s="41">
        <f t="shared" ref="B3:B14" si="0">C3/D3</f>
        <v>0.99663341645885284</v>
      </c>
      <c r="C3" s="42">
        <v>1278880</v>
      </c>
      <c r="D3" s="42">
        <v>1283200</v>
      </c>
      <c r="E3" s="42">
        <v>0.9</v>
      </c>
      <c r="F3" s="43">
        <f t="shared" ref="F3:F12" si="1">C3/E3</f>
        <v>1420977.7777777778</v>
      </c>
      <c r="G3" s="43">
        <f t="shared" ref="G3:G12" si="2">F3-D3</f>
        <v>137777.77777777775</v>
      </c>
      <c r="H3" s="44">
        <f>G3*5.6</f>
        <v>771555.55555555539</v>
      </c>
    </row>
    <row r="4" spans="1:8" x14ac:dyDescent="0.25">
      <c r="A4" s="40">
        <v>42491</v>
      </c>
      <c r="B4" s="41">
        <f t="shared" si="0"/>
        <v>0.99474069635843154</v>
      </c>
      <c r="C4" s="42">
        <v>1195360</v>
      </c>
      <c r="D4" s="42">
        <v>1201680</v>
      </c>
      <c r="E4" s="42">
        <v>0.9</v>
      </c>
      <c r="F4" s="43">
        <f t="shared" si="1"/>
        <v>1328177.7777777778</v>
      </c>
      <c r="G4" s="43">
        <f t="shared" si="2"/>
        <v>126497.77777777775</v>
      </c>
      <c r="H4" s="44">
        <f>G4*5.66</f>
        <v>715977.42222222209</v>
      </c>
    </row>
    <row r="5" spans="1:8" x14ac:dyDescent="0.25">
      <c r="A5" s="40">
        <v>42522</v>
      </c>
      <c r="B5" s="41">
        <f t="shared" si="0"/>
        <v>0.99610100259933165</v>
      </c>
      <c r="C5" s="42">
        <v>1287600</v>
      </c>
      <c r="D5" s="42">
        <v>1292640</v>
      </c>
      <c r="E5" s="42">
        <v>0.9</v>
      </c>
      <c r="F5" s="43">
        <f t="shared" si="1"/>
        <v>1430666.6666666667</v>
      </c>
      <c r="G5" s="43">
        <f t="shared" si="2"/>
        <v>138026.66666666674</v>
      </c>
      <c r="H5" s="44">
        <f>G5*5.58</f>
        <v>770188.8000000004</v>
      </c>
    </row>
    <row r="6" spans="1:8" x14ac:dyDescent="0.25">
      <c r="A6" s="40">
        <v>42552</v>
      </c>
      <c r="B6" s="41">
        <f t="shared" si="0"/>
        <v>0.9958023786520972</v>
      </c>
      <c r="C6" s="42">
        <v>1195640</v>
      </c>
      <c r="D6" s="42">
        <v>1200680</v>
      </c>
      <c r="E6" s="42">
        <v>0.9</v>
      </c>
      <c r="F6" s="43">
        <f t="shared" si="1"/>
        <v>1328488.8888888888</v>
      </c>
      <c r="G6" s="43">
        <f t="shared" si="2"/>
        <v>127808.88888888876</v>
      </c>
      <c r="H6" s="44">
        <f>G6*5.76</f>
        <v>736179.19999999925</v>
      </c>
    </row>
    <row r="7" spans="1:8" x14ac:dyDescent="0.25">
      <c r="A7" s="40">
        <v>42583</v>
      </c>
      <c r="B7" s="41">
        <f t="shared" si="0"/>
        <v>0.99821225977240691</v>
      </c>
      <c r="C7" s="42">
        <v>1161400</v>
      </c>
      <c r="D7" s="42">
        <v>1163480</v>
      </c>
      <c r="E7" s="42">
        <v>0.9</v>
      </c>
      <c r="F7" s="43">
        <f t="shared" si="1"/>
        <v>1290444.4444444445</v>
      </c>
      <c r="G7" s="43">
        <f t="shared" si="2"/>
        <v>126964.4444444445</v>
      </c>
      <c r="H7" s="44">
        <f>G7*5.7</f>
        <v>723697.3333333336</v>
      </c>
    </row>
    <row r="8" spans="1:8" x14ac:dyDescent="0.25">
      <c r="A8" s="40">
        <v>42614</v>
      </c>
      <c r="B8" s="41">
        <f t="shared" si="0"/>
        <v>0.99911848967898331</v>
      </c>
      <c r="C8" s="42">
        <v>1088080</v>
      </c>
      <c r="D8" s="42">
        <v>1089040</v>
      </c>
      <c r="E8" s="42">
        <v>0.9</v>
      </c>
      <c r="F8" s="43">
        <f t="shared" si="1"/>
        <v>1208977.7777777778</v>
      </c>
      <c r="G8" s="43">
        <f t="shared" si="2"/>
        <v>119937.77777777775</v>
      </c>
      <c r="H8" s="44">
        <f>G8*5.81</f>
        <v>696838.48888888874</v>
      </c>
    </row>
    <row r="9" spans="1:8" x14ac:dyDescent="0.25">
      <c r="A9" s="40">
        <v>42644</v>
      </c>
      <c r="B9" s="41">
        <f t="shared" si="0"/>
        <v>0.99792429331622445</v>
      </c>
      <c r="C9" s="42">
        <v>1057680</v>
      </c>
      <c r="D9" s="42">
        <v>1059880</v>
      </c>
      <c r="E9" s="42">
        <v>0.9</v>
      </c>
      <c r="F9" s="43">
        <f t="shared" si="1"/>
        <v>1175200</v>
      </c>
      <c r="G9" s="43">
        <f t="shared" si="2"/>
        <v>115320</v>
      </c>
      <c r="H9" s="44">
        <f>G9*5.84</f>
        <v>673468.79999999993</v>
      </c>
    </row>
    <row r="10" spans="1:8" x14ac:dyDescent="0.25">
      <c r="A10" s="40">
        <v>42675</v>
      </c>
      <c r="B10" s="41">
        <f t="shared" si="0"/>
        <v>0.99784254833114772</v>
      </c>
      <c r="C10" s="42">
        <v>943520</v>
      </c>
      <c r="D10" s="42">
        <v>945560</v>
      </c>
      <c r="E10" s="42">
        <v>0.9</v>
      </c>
      <c r="F10" s="43">
        <f t="shared" si="1"/>
        <v>1048355.5555555555</v>
      </c>
      <c r="G10" s="43">
        <f t="shared" si="2"/>
        <v>102795.5555555555</v>
      </c>
      <c r="H10" s="44">
        <f>G10*5.93</f>
        <v>609577.6444444441</v>
      </c>
    </row>
    <row r="11" spans="1:8" x14ac:dyDescent="0.25">
      <c r="A11" s="40">
        <v>42705</v>
      </c>
      <c r="B11" s="41">
        <f t="shared" si="0"/>
        <v>0.9990780577750461</v>
      </c>
      <c r="C11" s="42">
        <v>1040320</v>
      </c>
      <c r="D11" s="42">
        <v>1041280</v>
      </c>
      <c r="E11" s="42">
        <v>0.9</v>
      </c>
      <c r="F11" s="43">
        <f t="shared" si="1"/>
        <v>1155911.111111111</v>
      </c>
      <c r="G11" s="43">
        <f t="shared" si="2"/>
        <v>114631.11111111101</v>
      </c>
      <c r="H11" s="44">
        <f>G11*5.82</f>
        <v>667153.06666666607</v>
      </c>
    </row>
    <row r="12" spans="1:8" x14ac:dyDescent="0.25">
      <c r="A12" s="40">
        <v>42736</v>
      </c>
      <c r="B12" s="41">
        <f t="shared" si="0"/>
        <v>0.99817009012306146</v>
      </c>
      <c r="C12" s="37">
        <v>872760</v>
      </c>
      <c r="D12" s="37">
        <v>874360</v>
      </c>
      <c r="E12" s="42">
        <v>0.9</v>
      </c>
      <c r="F12" s="43">
        <f t="shared" si="1"/>
        <v>969733.33333333326</v>
      </c>
      <c r="G12" s="43">
        <f t="shared" si="2"/>
        <v>95373.333333333256</v>
      </c>
      <c r="H12" s="44">
        <f>G12*6.13</f>
        <v>584638.53333333286</v>
      </c>
    </row>
    <row r="13" spans="1:8" x14ac:dyDescent="0.25">
      <c r="A13" s="40">
        <v>42767</v>
      </c>
      <c r="B13" s="41">
        <f t="shared" si="0"/>
        <v>0.99809004092769438</v>
      </c>
      <c r="C13" s="42">
        <v>1170560</v>
      </c>
      <c r="D13" s="42">
        <v>1172800</v>
      </c>
      <c r="E13" s="42">
        <v>0.9</v>
      </c>
      <c r="F13" s="43">
        <f>C13/E13</f>
        <v>1300622.2222222222</v>
      </c>
      <c r="G13" s="43">
        <f>F13-D13</f>
        <v>127822.22222222225</v>
      </c>
      <c r="H13" s="44">
        <f>G13*5.75</f>
        <v>734977.77777777798</v>
      </c>
    </row>
    <row r="14" spans="1:8" x14ac:dyDescent="0.25">
      <c r="A14" s="40">
        <v>42795</v>
      </c>
      <c r="B14" s="41">
        <f t="shared" si="0"/>
        <v>0.99758312329523879</v>
      </c>
      <c r="C14" s="42">
        <v>1155720</v>
      </c>
      <c r="D14" s="42">
        <v>1158520</v>
      </c>
      <c r="E14" s="42">
        <v>0.9</v>
      </c>
      <c r="F14" s="43">
        <f>C14/E14</f>
        <v>1284133.3333333333</v>
      </c>
      <c r="G14" s="43">
        <f>F14-D14</f>
        <v>125613.33333333326</v>
      </c>
      <c r="H14" s="44">
        <f>G14*5.76</f>
        <v>723532.79999999958</v>
      </c>
    </row>
    <row r="15" spans="1:8" x14ac:dyDescent="0.25">
      <c r="A15" s="54" t="s">
        <v>90</v>
      </c>
      <c r="B15" s="54"/>
      <c r="C15" s="54"/>
      <c r="D15" s="54"/>
      <c r="E15" s="54"/>
      <c r="F15" s="54"/>
      <c r="G15" s="54"/>
      <c r="H15" s="45">
        <f>SUM(H3:H14)/100000</f>
        <v>84.077854222222214</v>
      </c>
    </row>
  </sheetData>
  <mergeCells count="2">
    <mergeCell ref="A1:F1"/>
    <mergeCell ref="A15:G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G20" sqref="G20"/>
    </sheetView>
  </sheetViews>
  <sheetFormatPr defaultRowHeight="15" x14ac:dyDescent="0.25"/>
  <cols>
    <col min="1" max="1" width="16.42578125" customWidth="1"/>
    <col min="2" max="2" width="12" customWidth="1"/>
    <col min="3" max="3" width="16.85546875" customWidth="1"/>
    <col min="4" max="4" width="17" bestFit="1" customWidth="1"/>
    <col min="5" max="5" width="14.28515625" bestFit="1" customWidth="1"/>
    <col min="6" max="6" width="17.28515625" customWidth="1"/>
    <col min="7" max="7" width="10.28515625" bestFit="1" customWidth="1"/>
    <col min="8" max="8" width="10.5703125" customWidth="1"/>
    <col min="9" max="9" width="17" bestFit="1" customWidth="1"/>
    <col min="10" max="10" width="14.28515625" bestFit="1" customWidth="1"/>
  </cols>
  <sheetData>
    <row r="1" spans="1:10" x14ac:dyDescent="0.25">
      <c r="A1" t="s">
        <v>91</v>
      </c>
    </row>
    <row r="2" spans="1:10" x14ac:dyDescent="0.25">
      <c r="A2" s="55" t="s">
        <v>92</v>
      </c>
      <c r="B2" s="56"/>
      <c r="C2" s="56"/>
      <c r="D2" s="56"/>
      <c r="E2" s="57"/>
      <c r="F2" s="46"/>
      <c r="G2" s="55" t="s">
        <v>93</v>
      </c>
      <c r="H2" s="56"/>
      <c r="I2" s="56"/>
      <c r="J2" s="57"/>
    </row>
    <row r="3" spans="1:10" ht="45" x14ac:dyDescent="0.25">
      <c r="A3" s="19" t="s">
        <v>82</v>
      </c>
      <c r="B3" s="19" t="s">
        <v>94</v>
      </c>
      <c r="C3" s="16" t="s">
        <v>95</v>
      </c>
      <c r="D3" s="16" t="s">
        <v>96</v>
      </c>
      <c r="E3" s="19" t="s">
        <v>97</v>
      </c>
      <c r="F3" s="19" t="s">
        <v>82</v>
      </c>
      <c r="G3" s="16" t="s">
        <v>98</v>
      </c>
      <c r="H3" s="16" t="s">
        <v>99</v>
      </c>
      <c r="I3" s="19" t="s">
        <v>100</v>
      </c>
      <c r="J3" s="19" t="s">
        <v>97</v>
      </c>
    </row>
    <row r="4" spans="1:10" x14ac:dyDescent="0.25">
      <c r="A4" s="47">
        <v>41730</v>
      </c>
      <c r="B4" s="19">
        <v>19</v>
      </c>
      <c r="C4" s="19">
        <v>1165</v>
      </c>
      <c r="D4" s="19">
        <v>14846</v>
      </c>
      <c r="E4" s="19">
        <v>140</v>
      </c>
      <c r="F4" s="47">
        <v>42461</v>
      </c>
      <c r="G4" s="19">
        <v>11</v>
      </c>
      <c r="H4" s="19">
        <v>790</v>
      </c>
      <c r="I4" s="19">
        <v>7648</v>
      </c>
      <c r="J4" s="19">
        <v>69</v>
      </c>
    </row>
    <row r="5" spans="1:10" x14ac:dyDescent="0.25">
      <c r="A5" s="47">
        <v>41760</v>
      </c>
      <c r="B5" s="19">
        <v>28</v>
      </c>
      <c r="C5" s="19">
        <v>835</v>
      </c>
      <c r="D5" s="19">
        <v>27276</v>
      </c>
      <c r="E5" s="19">
        <v>169</v>
      </c>
      <c r="F5" s="47">
        <v>42491</v>
      </c>
      <c r="G5" s="19">
        <v>9</v>
      </c>
      <c r="H5" s="19">
        <v>1140</v>
      </c>
      <c r="I5" s="19">
        <v>6944</v>
      </c>
      <c r="J5" s="19">
        <v>64</v>
      </c>
    </row>
    <row r="6" spans="1:10" x14ac:dyDescent="0.25">
      <c r="A6" s="47">
        <v>41791</v>
      </c>
      <c r="B6" s="19">
        <v>38</v>
      </c>
      <c r="C6" s="19">
        <v>2250</v>
      </c>
      <c r="D6" s="19">
        <v>34968</v>
      </c>
      <c r="E6" s="19">
        <v>268</v>
      </c>
      <c r="F6" s="47">
        <v>42522</v>
      </c>
      <c r="G6" s="19">
        <v>15</v>
      </c>
      <c r="H6" s="19">
        <v>788</v>
      </c>
      <c r="I6" s="19">
        <v>12407</v>
      </c>
      <c r="J6" s="19">
        <v>114</v>
      </c>
    </row>
    <row r="7" spans="1:10" x14ac:dyDescent="0.25">
      <c r="A7" s="48">
        <v>41821</v>
      </c>
      <c r="B7" s="19">
        <v>36</v>
      </c>
      <c r="C7" s="19">
        <v>1590</v>
      </c>
      <c r="D7" s="19">
        <v>32930</v>
      </c>
      <c r="E7" s="19">
        <v>212</v>
      </c>
      <c r="F7" s="47">
        <v>42552</v>
      </c>
      <c r="G7" s="19">
        <v>16</v>
      </c>
      <c r="H7" s="19">
        <v>443</v>
      </c>
      <c r="I7" s="19">
        <v>9008</v>
      </c>
      <c r="J7" s="19">
        <v>81</v>
      </c>
    </row>
    <row r="8" spans="1:10" x14ac:dyDescent="0.25">
      <c r="A8" s="47">
        <v>41852</v>
      </c>
      <c r="B8" s="19">
        <v>47</v>
      </c>
      <c r="C8" s="19">
        <v>2330</v>
      </c>
      <c r="D8" s="19">
        <v>38052</v>
      </c>
      <c r="E8" s="19">
        <v>290.5</v>
      </c>
      <c r="F8" s="47">
        <v>42583</v>
      </c>
      <c r="G8" s="19">
        <v>25</v>
      </c>
      <c r="H8" s="19">
        <v>1630</v>
      </c>
      <c r="I8" s="19">
        <v>20517</v>
      </c>
      <c r="J8" s="19">
        <v>185</v>
      </c>
    </row>
    <row r="9" spans="1:10" x14ac:dyDescent="0.25">
      <c r="A9" s="47">
        <v>41883</v>
      </c>
      <c r="B9" s="19">
        <v>27</v>
      </c>
      <c r="C9" s="19">
        <v>3335</v>
      </c>
      <c r="D9" s="19">
        <v>40989</v>
      </c>
      <c r="E9" s="19">
        <v>252</v>
      </c>
      <c r="F9" s="47">
        <v>42614</v>
      </c>
      <c r="G9" s="19">
        <v>5</v>
      </c>
      <c r="H9" s="19">
        <v>71</v>
      </c>
      <c r="I9" s="19">
        <v>2685</v>
      </c>
      <c r="J9" s="19">
        <v>28</v>
      </c>
    </row>
    <row r="10" spans="1:10" x14ac:dyDescent="0.25">
      <c r="A10" s="47">
        <v>41913</v>
      </c>
      <c r="B10" s="19">
        <v>14</v>
      </c>
      <c r="C10" s="19">
        <v>1010</v>
      </c>
      <c r="D10" s="19">
        <v>6169</v>
      </c>
      <c r="E10" s="19">
        <v>68</v>
      </c>
      <c r="F10" s="47">
        <v>42644</v>
      </c>
      <c r="G10" s="19">
        <v>2</v>
      </c>
      <c r="H10" s="19">
        <v>470</v>
      </c>
      <c r="I10" s="19">
        <v>3612</v>
      </c>
      <c r="J10" s="19">
        <v>35</v>
      </c>
    </row>
    <row r="11" spans="1:10" x14ac:dyDescent="0.25">
      <c r="A11" s="47">
        <v>41944</v>
      </c>
      <c r="B11" s="19">
        <v>11</v>
      </c>
      <c r="C11" s="19">
        <v>895</v>
      </c>
      <c r="D11" s="19">
        <v>13132</v>
      </c>
      <c r="E11" s="19">
        <v>124</v>
      </c>
      <c r="F11" s="47">
        <v>42675</v>
      </c>
      <c r="G11" s="19">
        <v>4</v>
      </c>
      <c r="H11" s="19">
        <v>27</v>
      </c>
      <c r="I11" s="19">
        <v>1900</v>
      </c>
      <c r="J11" s="19">
        <v>19</v>
      </c>
    </row>
    <row r="12" spans="1:10" x14ac:dyDescent="0.25">
      <c r="A12" s="47">
        <v>41974</v>
      </c>
      <c r="B12" s="19">
        <v>22</v>
      </c>
      <c r="C12" s="19">
        <v>1775</v>
      </c>
      <c r="D12" s="19">
        <v>17657</v>
      </c>
      <c r="E12" s="19">
        <v>166.5</v>
      </c>
      <c r="F12" s="47">
        <v>42705</v>
      </c>
      <c r="G12" s="19">
        <v>8</v>
      </c>
      <c r="H12" s="19">
        <v>280</v>
      </c>
      <c r="I12" s="19">
        <v>3263</v>
      </c>
      <c r="J12" s="19">
        <v>35</v>
      </c>
    </row>
    <row r="13" spans="1:10" x14ac:dyDescent="0.25">
      <c r="A13" s="47">
        <v>42005</v>
      </c>
      <c r="B13" s="19">
        <v>17</v>
      </c>
      <c r="C13" s="19">
        <v>1235</v>
      </c>
      <c r="D13" s="19">
        <v>26569</v>
      </c>
      <c r="E13" s="19">
        <v>143</v>
      </c>
      <c r="F13" s="47">
        <v>42736</v>
      </c>
      <c r="G13" s="19">
        <v>25</v>
      </c>
      <c r="H13" s="19">
        <v>922</v>
      </c>
      <c r="I13" s="19">
        <v>10845</v>
      </c>
      <c r="J13" s="19">
        <v>93</v>
      </c>
    </row>
    <row r="14" spans="1:10" x14ac:dyDescent="0.25">
      <c r="A14" s="47">
        <v>42036</v>
      </c>
      <c r="B14" s="19">
        <v>16</v>
      </c>
      <c r="C14" s="19">
        <v>565</v>
      </c>
      <c r="D14" s="19">
        <v>25212</v>
      </c>
      <c r="E14" s="19">
        <v>102</v>
      </c>
      <c r="F14" s="47">
        <v>42767</v>
      </c>
      <c r="G14" s="19">
        <v>7</v>
      </c>
      <c r="H14" s="19">
        <v>86</v>
      </c>
      <c r="I14" s="19">
        <v>3207</v>
      </c>
      <c r="J14" s="19">
        <v>31</v>
      </c>
    </row>
    <row r="15" spans="1:10" x14ac:dyDescent="0.25">
      <c r="A15" s="49" t="s">
        <v>101</v>
      </c>
      <c r="B15" s="19">
        <f>SUM(B4:B11)</f>
        <v>220</v>
      </c>
      <c r="C15" s="19">
        <f t="shared" ref="C15:E15" si="0">SUM(C4:C11)</f>
        <v>13410</v>
      </c>
      <c r="D15" s="19">
        <f t="shared" si="0"/>
        <v>208362</v>
      </c>
      <c r="E15" s="19">
        <f t="shared" si="0"/>
        <v>1523.5</v>
      </c>
      <c r="F15" s="49" t="s">
        <v>102</v>
      </c>
      <c r="G15" s="19">
        <f>SUM(G4:G14)</f>
        <v>127</v>
      </c>
      <c r="H15" s="19">
        <f t="shared" ref="H15:J15" si="1">SUM(H4:H14)</f>
        <v>6647</v>
      </c>
      <c r="I15" s="19">
        <f t="shared" si="1"/>
        <v>82036</v>
      </c>
      <c r="J15" s="19">
        <f t="shared" si="1"/>
        <v>754</v>
      </c>
    </row>
    <row r="16" spans="1:10" x14ac:dyDescent="0.25">
      <c r="A16" s="50" t="s">
        <v>103</v>
      </c>
      <c r="B16" s="50"/>
      <c r="C16" s="50"/>
      <c r="D16" s="50"/>
      <c r="E16" s="50"/>
      <c r="F16" s="50"/>
      <c r="G16" s="50"/>
    </row>
    <row r="17" spans="1:6" x14ac:dyDescent="0.25">
      <c r="A17" s="58" t="s">
        <v>104</v>
      </c>
      <c r="B17" s="58"/>
      <c r="C17" s="58"/>
      <c r="D17" s="58"/>
      <c r="E17" s="58"/>
    </row>
    <row r="18" spans="1:6" x14ac:dyDescent="0.25">
      <c r="A18" s="58" t="s">
        <v>105</v>
      </c>
      <c r="B18" s="58"/>
      <c r="C18" s="58"/>
      <c r="D18" s="58"/>
      <c r="E18" s="58"/>
      <c r="F18" s="58"/>
    </row>
    <row r="19" spans="1:6" x14ac:dyDescent="0.25">
      <c r="A19" s="59" t="s">
        <v>106</v>
      </c>
      <c r="B19" s="59"/>
      <c r="C19" s="59"/>
      <c r="D19" s="59"/>
      <c r="E19" s="59"/>
    </row>
    <row r="20" spans="1:6" x14ac:dyDescent="0.25">
      <c r="A20" s="55" t="s">
        <v>107</v>
      </c>
      <c r="B20" s="56"/>
      <c r="C20" s="56"/>
      <c r="D20" s="56"/>
      <c r="E20" s="57"/>
    </row>
  </sheetData>
  <mergeCells count="6">
    <mergeCell ref="A20:E20"/>
    <mergeCell ref="A2:E2"/>
    <mergeCell ref="G2:J2"/>
    <mergeCell ref="A17:E17"/>
    <mergeCell ref="A18:F18"/>
    <mergeCell ref="A19:E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abSelected="1" workbookViewId="0">
      <selection activeCell="K8" sqref="K8"/>
    </sheetView>
  </sheetViews>
  <sheetFormatPr defaultRowHeight="15" x14ac:dyDescent="0.25"/>
  <cols>
    <col min="1" max="1" width="6.7109375" style="1" bestFit="1" customWidth="1"/>
    <col min="2" max="2" width="20.140625" style="1" customWidth="1"/>
    <col min="3" max="3" width="38.42578125" style="1" customWidth="1"/>
    <col min="4" max="4" width="22.7109375" style="1" hidden="1" customWidth="1"/>
    <col min="5" max="5" width="20.5703125" style="1" customWidth="1"/>
    <col min="6" max="6" width="42" style="1" customWidth="1"/>
    <col min="7" max="7" width="19.42578125" style="1" customWidth="1"/>
    <col min="8" max="16384" width="9.140625" style="1"/>
  </cols>
  <sheetData>
    <row r="1" spans="1:6" x14ac:dyDescent="0.25">
      <c r="A1" s="51" t="s">
        <v>0</v>
      </c>
      <c r="B1" s="51"/>
      <c r="C1" s="51"/>
      <c r="D1" s="51"/>
      <c r="E1" s="51"/>
      <c r="F1" s="51"/>
    </row>
    <row r="2" spans="1:6" ht="30" x14ac:dyDescent="0.25">
      <c r="A2" s="2" t="s">
        <v>1</v>
      </c>
      <c r="B2" s="3" t="s">
        <v>74</v>
      </c>
      <c r="C2" s="2" t="s">
        <v>3</v>
      </c>
      <c r="D2" s="2" t="s">
        <v>4</v>
      </c>
      <c r="E2" s="3" t="s">
        <v>5</v>
      </c>
      <c r="F2" s="4" t="s">
        <v>6</v>
      </c>
    </row>
    <row r="3" spans="1:6" x14ac:dyDescent="0.25">
      <c r="A3" s="52" t="s">
        <v>7</v>
      </c>
      <c r="B3" s="52"/>
      <c r="C3" s="52"/>
      <c r="D3" s="52"/>
      <c r="E3" s="52"/>
      <c r="F3" s="5"/>
    </row>
    <row r="4" spans="1:6" s="9" customFormat="1" ht="45" x14ac:dyDescent="0.25">
      <c r="A4" s="6">
        <v>1</v>
      </c>
      <c r="B4" s="6" t="s">
        <v>8</v>
      </c>
      <c r="C4" s="7" t="s">
        <v>61</v>
      </c>
      <c r="D4" s="6"/>
      <c r="E4" s="8">
        <f>1.52*24*30*12*6.25/100000</f>
        <v>0.82079999999999997</v>
      </c>
      <c r="F4" s="6" t="s">
        <v>9</v>
      </c>
    </row>
    <row r="5" spans="1:6" s="9" customFormat="1" ht="45" x14ac:dyDescent="0.25">
      <c r="A5" s="6">
        <v>2</v>
      </c>
      <c r="B5" s="7" t="s">
        <v>59</v>
      </c>
      <c r="C5" s="7" t="s">
        <v>60</v>
      </c>
      <c r="D5" s="6"/>
      <c r="E5" s="8">
        <f>2.3*24*30*12*6.25/100000</f>
        <v>1.2419999999999998</v>
      </c>
      <c r="F5" s="6" t="s">
        <v>9</v>
      </c>
    </row>
    <row r="6" spans="1:6" s="9" customFormat="1" ht="60" x14ac:dyDescent="0.25">
      <c r="A6" s="6">
        <v>3</v>
      </c>
      <c r="B6" s="7" t="s">
        <v>42</v>
      </c>
      <c r="C6" s="16" t="s">
        <v>43</v>
      </c>
      <c r="D6" s="6"/>
      <c r="E6" s="19">
        <f>25*12*30*12*6.25/100000</f>
        <v>6.75</v>
      </c>
      <c r="F6" s="6" t="s">
        <v>9</v>
      </c>
    </row>
    <row r="7" spans="1:6" x14ac:dyDescent="0.25">
      <c r="A7" s="51" t="s">
        <v>10</v>
      </c>
      <c r="B7" s="51"/>
      <c r="C7" s="51"/>
      <c r="D7" s="51"/>
      <c r="E7" s="51"/>
      <c r="F7" s="51"/>
    </row>
    <row r="8" spans="1:6" ht="60" x14ac:dyDescent="0.25">
      <c r="A8" s="6">
        <v>4</v>
      </c>
      <c r="B8" s="6" t="s">
        <v>8</v>
      </c>
      <c r="C8" s="7" t="s">
        <v>11</v>
      </c>
      <c r="D8" s="6"/>
      <c r="E8" s="8">
        <f>23*24*30*7*6.25/100000</f>
        <v>7.2450000000000001</v>
      </c>
      <c r="F8" s="6" t="s">
        <v>9</v>
      </c>
    </row>
    <row r="9" spans="1:6" ht="30" x14ac:dyDescent="0.25">
      <c r="A9" s="6">
        <v>5</v>
      </c>
      <c r="B9" s="17" t="s">
        <v>49</v>
      </c>
      <c r="C9" s="17" t="s">
        <v>50</v>
      </c>
      <c r="D9" s="6"/>
      <c r="E9" s="22">
        <f>1.1*24*30.12*6.25/100000</f>
        <v>4.9698000000000013E-2</v>
      </c>
      <c r="F9" s="6" t="s">
        <v>29</v>
      </c>
    </row>
    <row r="10" spans="1:6" ht="30" x14ac:dyDescent="0.25">
      <c r="A10" s="6">
        <v>6</v>
      </c>
      <c r="B10" s="20" t="s">
        <v>51</v>
      </c>
      <c r="C10" s="17" t="s">
        <v>52</v>
      </c>
      <c r="D10" s="6"/>
      <c r="E10" s="22">
        <f>15*24*30*12*6.25/100000</f>
        <v>8.1</v>
      </c>
      <c r="F10" s="7" t="s">
        <v>29</v>
      </c>
    </row>
    <row r="11" spans="1:6" ht="60" x14ac:dyDescent="0.25">
      <c r="A11" s="6">
        <v>7</v>
      </c>
      <c r="B11" s="7" t="s">
        <v>76</v>
      </c>
      <c r="C11" s="7" t="s">
        <v>75</v>
      </c>
      <c r="D11" s="6"/>
      <c r="E11" s="8">
        <f>65*2890.76*12*1.18/100000</f>
        <v>26.606555040000003</v>
      </c>
      <c r="F11" s="7" t="s">
        <v>12</v>
      </c>
    </row>
    <row r="12" spans="1:6" ht="45" x14ac:dyDescent="0.25">
      <c r="A12" s="6">
        <v>8</v>
      </c>
      <c r="B12" s="7" t="s">
        <v>13</v>
      </c>
      <c r="C12" s="7" t="s">
        <v>14</v>
      </c>
      <c r="D12" s="6"/>
      <c r="E12" s="8">
        <f>12*498*12*6.25/100000</f>
        <v>4.4820000000000002</v>
      </c>
      <c r="F12" s="7" t="s">
        <v>15</v>
      </c>
    </row>
    <row r="13" spans="1:6" ht="60" x14ac:dyDescent="0.25">
      <c r="A13" s="6">
        <v>9</v>
      </c>
      <c r="B13" s="7" t="s">
        <v>73</v>
      </c>
      <c r="C13" s="17" t="s">
        <v>34</v>
      </c>
      <c r="D13" s="6"/>
      <c r="E13" s="8">
        <f>13.5*16*30*12*6.25/100000</f>
        <v>4.8600000000000003</v>
      </c>
      <c r="F13" s="6" t="s">
        <v>29</v>
      </c>
    </row>
    <row r="14" spans="1:6" x14ac:dyDescent="0.25">
      <c r="A14" s="6">
        <v>10</v>
      </c>
      <c r="B14" s="7" t="s">
        <v>25</v>
      </c>
      <c r="C14" s="7" t="s">
        <v>26</v>
      </c>
      <c r="D14" s="6"/>
      <c r="E14" s="8">
        <f>52936*4*6.25/100000</f>
        <v>13.234</v>
      </c>
      <c r="F14" s="6" t="s">
        <v>27</v>
      </c>
    </row>
    <row r="15" spans="1:6" ht="45" x14ac:dyDescent="0.25">
      <c r="A15" s="6">
        <v>11</v>
      </c>
      <c r="B15" s="7" t="s">
        <v>25</v>
      </c>
      <c r="C15" s="17" t="s">
        <v>28</v>
      </c>
      <c r="D15" s="6"/>
      <c r="E15" s="8">
        <f>20*24*30*4*6.25/100000</f>
        <v>3.6</v>
      </c>
      <c r="F15" s="6" t="s">
        <v>29</v>
      </c>
    </row>
    <row r="16" spans="1:6" ht="30" x14ac:dyDescent="0.25">
      <c r="A16" s="6">
        <v>12</v>
      </c>
      <c r="B16" s="7" t="s">
        <v>25</v>
      </c>
      <c r="C16" s="17" t="s">
        <v>31</v>
      </c>
      <c r="D16" s="6"/>
      <c r="E16" s="8">
        <f>7.5*24*30*12*6.25/100000</f>
        <v>4.05</v>
      </c>
      <c r="F16" s="6" t="s">
        <v>29</v>
      </c>
    </row>
    <row r="17" spans="1:6" ht="105" x14ac:dyDescent="0.25">
      <c r="A17" s="6">
        <v>13</v>
      </c>
      <c r="B17" s="7" t="s">
        <v>36</v>
      </c>
      <c r="C17" s="17" t="s">
        <v>32</v>
      </c>
      <c r="D17" s="6"/>
      <c r="E17" s="8">
        <f>1050*30*2.5*6.25/100000</f>
        <v>4.921875</v>
      </c>
      <c r="F17" s="7" t="s">
        <v>33</v>
      </c>
    </row>
    <row r="18" spans="1:6" ht="60" x14ac:dyDescent="0.25">
      <c r="A18" s="6">
        <v>14</v>
      </c>
      <c r="B18" s="7" t="s">
        <v>36</v>
      </c>
      <c r="C18" s="17" t="s">
        <v>35</v>
      </c>
      <c r="D18" s="6"/>
      <c r="E18" s="8">
        <f>20*24*30*12*6.25/100000</f>
        <v>10.8</v>
      </c>
      <c r="F18" s="6"/>
    </row>
    <row r="19" spans="1:6" ht="45" x14ac:dyDescent="0.25">
      <c r="A19" s="6">
        <v>15</v>
      </c>
      <c r="B19" s="7" t="s">
        <v>46</v>
      </c>
      <c r="C19" s="17" t="s">
        <v>71</v>
      </c>
      <c r="D19" s="6"/>
      <c r="E19" s="8">
        <f>19784*58.85/100000</f>
        <v>11.642884000000002</v>
      </c>
      <c r="F19" s="6" t="s">
        <v>72</v>
      </c>
    </row>
    <row r="20" spans="1:6" ht="60" x14ac:dyDescent="0.25">
      <c r="A20" s="6">
        <v>16</v>
      </c>
      <c r="B20" s="17" t="s">
        <v>38</v>
      </c>
      <c r="C20" s="21" t="s">
        <v>37</v>
      </c>
      <c r="D20" s="6"/>
      <c r="E20" s="22">
        <f>28811*12/100000</f>
        <v>3.4573200000000002</v>
      </c>
      <c r="F20" s="6" t="s">
        <v>41</v>
      </c>
    </row>
    <row r="21" spans="1:6" ht="60" x14ac:dyDescent="0.25">
      <c r="A21" s="6">
        <v>17</v>
      </c>
      <c r="B21" s="17" t="s">
        <v>39</v>
      </c>
      <c r="C21" s="17" t="s">
        <v>40</v>
      </c>
      <c r="D21" s="6"/>
      <c r="E21" s="23">
        <f>20*10*30*12*6.25/100000</f>
        <v>4.5</v>
      </c>
      <c r="F21" s="6" t="s">
        <v>29</v>
      </c>
    </row>
    <row r="22" spans="1:6" ht="30" x14ac:dyDescent="0.25">
      <c r="A22" s="6">
        <v>18</v>
      </c>
      <c r="B22" s="7" t="s">
        <v>45</v>
      </c>
      <c r="C22" s="17" t="s">
        <v>44</v>
      </c>
      <c r="D22" s="6"/>
      <c r="E22" s="23">
        <f>5*24*30*12*6.25/100000</f>
        <v>2.7</v>
      </c>
      <c r="F22" s="6" t="s">
        <v>29</v>
      </c>
    </row>
    <row r="23" spans="1:6" x14ac:dyDescent="0.25">
      <c r="A23" s="51" t="s">
        <v>77</v>
      </c>
      <c r="B23" s="51"/>
      <c r="C23" s="51"/>
      <c r="D23" s="51"/>
      <c r="E23" s="51"/>
      <c r="F23" s="51"/>
    </row>
    <row r="24" spans="1:6" ht="120" x14ac:dyDescent="0.25">
      <c r="A24" s="6">
        <v>19</v>
      </c>
      <c r="B24" s="10" t="s">
        <v>30</v>
      </c>
      <c r="C24" s="7" t="s">
        <v>16</v>
      </c>
      <c r="D24" s="6"/>
      <c r="E24" s="6">
        <v>55.11</v>
      </c>
      <c r="F24" s="7" t="s">
        <v>17</v>
      </c>
    </row>
    <row r="25" spans="1:6" ht="75" x14ac:dyDescent="0.25">
      <c r="A25" s="6">
        <v>20</v>
      </c>
      <c r="B25" s="10" t="s">
        <v>78</v>
      </c>
      <c r="C25" s="7" t="s">
        <v>79</v>
      </c>
      <c r="D25" s="6"/>
      <c r="E25" s="6">
        <f>1454134*5.75/100000</f>
        <v>83.612705000000005</v>
      </c>
      <c r="F25" s="7" t="s">
        <v>80</v>
      </c>
    </row>
    <row r="26" spans="1:6" x14ac:dyDescent="0.25">
      <c r="A26" s="51" t="s">
        <v>18</v>
      </c>
      <c r="B26" s="51"/>
      <c r="C26" s="51"/>
      <c r="D26" s="51"/>
      <c r="E26" s="51"/>
      <c r="F26" s="51"/>
    </row>
    <row r="27" spans="1:6" ht="60" x14ac:dyDescent="0.25">
      <c r="A27" s="11">
        <v>21</v>
      </c>
      <c r="B27" s="11" t="s">
        <v>19</v>
      </c>
      <c r="C27" s="12" t="s">
        <v>20</v>
      </c>
      <c r="D27" s="11" t="s">
        <v>21</v>
      </c>
      <c r="E27" s="11">
        <v>13</v>
      </c>
      <c r="F27" s="11" t="s">
        <v>22</v>
      </c>
    </row>
    <row r="28" spans="1:6" ht="90" x14ac:dyDescent="0.25">
      <c r="A28" s="11">
        <v>22</v>
      </c>
      <c r="B28" s="17" t="s">
        <v>47</v>
      </c>
      <c r="C28" s="16" t="s">
        <v>48</v>
      </c>
      <c r="D28" s="11"/>
      <c r="E28" s="19">
        <f>45*6*30*12*6.25/100000</f>
        <v>6.0750000000000002</v>
      </c>
      <c r="F28" s="6" t="s">
        <v>29</v>
      </c>
    </row>
    <row r="29" spans="1:6" x14ac:dyDescent="0.25">
      <c r="A29" s="51"/>
      <c r="B29" s="51"/>
      <c r="C29" s="51"/>
      <c r="D29" s="51"/>
      <c r="E29" s="51"/>
      <c r="F29" s="51"/>
    </row>
    <row r="30" spans="1:6" x14ac:dyDescent="0.25">
      <c r="A30" s="60" t="s">
        <v>108</v>
      </c>
      <c r="B30" s="60"/>
      <c r="C30" s="60"/>
      <c r="D30" s="61"/>
      <c r="E30" s="62">
        <f>E4+E5+E6+E8+E9+E10+E11+E12+E13+E14+E15+E16+E17+E18+E19+E20+E21+E24+E22+E25+E27+E28</f>
        <v>276.85983703999995</v>
      </c>
      <c r="F30" s="63"/>
    </row>
    <row r="31" spans="1:6" x14ac:dyDescent="0.25">
      <c r="A31" s="24"/>
      <c r="B31" s="24"/>
      <c r="C31" s="25"/>
      <c r="D31" s="24"/>
      <c r="E31" s="26"/>
      <c r="F31" s="25"/>
    </row>
    <row r="32" spans="1:6" x14ac:dyDescent="0.25">
      <c r="A32" s="24"/>
      <c r="B32" s="24"/>
      <c r="C32" s="25"/>
      <c r="D32" s="24"/>
      <c r="E32" s="26"/>
      <c r="F32" s="25"/>
    </row>
    <row r="33" spans="1:6" x14ac:dyDescent="0.25">
      <c r="A33" s="24"/>
      <c r="B33" s="24"/>
      <c r="C33" s="25"/>
      <c r="D33" s="24"/>
      <c r="E33" s="26"/>
      <c r="F33" s="25"/>
    </row>
    <row r="34" spans="1:6" x14ac:dyDescent="0.25">
      <c r="A34" s="24"/>
      <c r="B34" s="24"/>
      <c r="C34" s="25"/>
      <c r="D34" s="24"/>
      <c r="E34" s="26"/>
      <c r="F34" s="25"/>
    </row>
    <row r="35" spans="1:6" x14ac:dyDescent="0.25">
      <c r="A35" s="24"/>
      <c r="B35" s="24"/>
      <c r="C35" s="25"/>
      <c r="D35" s="24"/>
      <c r="E35" s="26"/>
      <c r="F35" s="25"/>
    </row>
    <row r="36" spans="1:6" x14ac:dyDescent="0.25">
      <c r="A36" s="24"/>
      <c r="B36" s="24"/>
      <c r="C36" s="25"/>
      <c r="D36" s="24"/>
      <c r="E36" s="26"/>
      <c r="F36" s="25"/>
    </row>
    <row r="37" spans="1:6" x14ac:dyDescent="0.25">
      <c r="A37" s="24"/>
      <c r="B37" s="24"/>
      <c r="C37" s="25"/>
      <c r="D37" s="24"/>
      <c r="E37" s="26"/>
      <c r="F37" s="25"/>
    </row>
    <row r="38" spans="1:6" x14ac:dyDescent="0.25">
      <c r="A38" s="24"/>
      <c r="B38" s="24"/>
      <c r="C38" s="25"/>
      <c r="D38" s="24"/>
      <c r="E38" s="26"/>
      <c r="F38" s="25"/>
    </row>
    <row r="39" spans="1:6" x14ac:dyDescent="0.25">
      <c r="A39" s="24"/>
      <c r="B39" s="24"/>
      <c r="C39" s="25"/>
      <c r="D39" s="24"/>
      <c r="E39" s="26"/>
      <c r="F39" s="25"/>
    </row>
    <row r="42" spans="1:6" x14ac:dyDescent="0.25">
      <c r="E42" s="15"/>
    </row>
  </sheetData>
  <mergeCells count="7">
    <mergeCell ref="A30:C30"/>
    <mergeCell ref="A1:F1"/>
    <mergeCell ref="A3:E3"/>
    <mergeCell ref="A7:F7"/>
    <mergeCell ref="A23:F23"/>
    <mergeCell ref="A26:F26"/>
    <mergeCell ref="A29:F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Savings with Proposed Project</vt:lpstr>
      <vt:lpstr>Power factor Savings</vt:lpstr>
      <vt:lpstr>HSD savings</vt:lpstr>
      <vt:lpstr>Net savings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   Angra</dc:creator>
  <cp:lastModifiedBy>Raman   Angra</cp:lastModifiedBy>
  <dcterms:created xsi:type="dcterms:W3CDTF">2017-03-25T07:39:31Z</dcterms:created>
  <dcterms:modified xsi:type="dcterms:W3CDTF">2017-04-12T08:16:23Z</dcterms:modified>
</cp:coreProperties>
</file>