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 tabRatio="956" firstSheet="11" activeTab="27"/>
  </bookViews>
  <sheets>
    <sheet name="Sheet1" sheetId="26" r:id="rId1"/>
    <sheet name="Summary" sheetId="8" r:id="rId2"/>
    <sheet name="VA Apr" sheetId="4" r:id="rId3"/>
    <sheet name="VA May" sheetId="7" r:id="rId4"/>
    <sheet name="VA Jun" sheetId="10" r:id="rId5"/>
    <sheet name="VA Jul" sheetId="13" r:id="rId6"/>
    <sheet name="VA Aug" sheetId="16" r:id="rId7"/>
    <sheet name="VA Sep" sheetId="18" r:id="rId8"/>
    <sheet name="VA Oct" sheetId="20" r:id="rId9"/>
    <sheet name="VA Nov" sheetId="23" r:id="rId10"/>
    <sheet name="VA Dec" sheetId="25" r:id="rId11"/>
    <sheet name="VA Jan" sheetId="28" r:id="rId12"/>
    <sheet name="VA Feb" sheetId="30" r:id="rId13"/>
    <sheet name="VA Mar" sheetId="32" r:id="rId14"/>
    <sheet name="GRN Apr" sheetId="1" r:id="rId15"/>
    <sheet name="GRN May" sheetId="6" r:id="rId16"/>
    <sheet name="GRN Jun" sheetId="9" r:id="rId17"/>
    <sheet name="GRN Jul" sheetId="11" r:id="rId18"/>
    <sheet name="GRN Aug" sheetId="14" r:id="rId19"/>
    <sheet name="GRN Sep" sheetId="17" r:id="rId20"/>
    <sheet name="GRN Oct" sheetId="19" r:id="rId21"/>
    <sheet name="GRN Nov" sheetId="22" r:id="rId22"/>
    <sheet name="GRN Dec" sheetId="24" r:id="rId23"/>
    <sheet name="GRN Jan" sheetId="27" r:id="rId24"/>
    <sheet name="GRN Feb" sheetId="29" r:id="rId25"/>
    <sheet name="GRN Mar" sheetId="31" r:id="rId26"/>
    <sheet name="Daily Rates Pivot" sheetId="5" r:id="rId27"/>
    <sheet name="Daily Rates" sheetId="3" r:id="rId28"/>
    <sheet name="Fresco" sheetId="21" r:id="rId29"/>
  </sheets>
  <definedNames>
    <definedName name="_xlnm._FilterDatabase" localSheetId="27" hidden="1">'Daily Rates'!$A$1:$N$114</definedName>
    <definedName name="_xlnm._FilterDatabase" localSheetId="14" hidden="1">'GRN Apr'!$A$1:$Q$126</definedName>
    <definedName name="_xlnm._FilterDatabase" localSheetId="18" hidden="1">'GRN Aug'!$A$1:$Q$44</definedName>
    <definedName name="_xlnm._FilterDatabase" localSheetId="22" hidden="1">'GRN Dec'!$A$1:$Q$90</definedName>
    <definedName name="_xlnm._FilterDatabase" localSheetId="24" hidden="1">'GRN Feb'!$A$1:$Q$65</definedName>
    <definedName name="_xlnm._FilterDatabase" localSheetId="23" hidden="1">'GRN Jan'!$A$1:$Q$61</definedName>
    <definedName name="_xlnm._FilterDatabase" localSheetId="17" hidden="1">'GRN Jul'!$A$1:$Q$100</definedName>
    <definedName name="_xlnm._FilterDatabase" localSheetId="16" hidden="1">'GRN Jun'!$A$1:$Q$154</definedName>
    <definedName name="_xlnm._FilterDatabase" localSheetId="15" hidden="1">'GRN May'!$A$1:$Q$110</definedName>
    <definedName name="_xlnm._FilterDatabase" localSheetId="21" hidden="1">'GRN Nov'!$A$1:$Q$120</definedName>
    <definedName name="_xlnm._FilterDatabase" localSheetId="20" hidden="1">'GRN Oct'!$A$1:$Q$77</definedName>
    <definedName name="_xlnm._FilterDatabase" localSheetId="19" hidden="1">'GRN Sep'!$A$1:$Q$52</definedName>
  </definedNames>
  <calcPr calcId="145621" iterate="1"/>
  <pivotCaches>
    <pivotCache cacheId="19" r:id="rId30"/>
    <pivotCache cacheId="20" r:id="rId31"/>
    <pivotCache cacheId="21" r:id="rId32"/>
    <pivotCache cacheId="22" r:id="rId33"/>
    <pivotCache cacheId="23" r:id="rId34"/>
    <pivotCache cacheId="24" r:id="rId35"/>
    <pivotCache cacheId="25" r:id="rId36"/>
    <pivotCache cacheId="26" r:id="rId37"/>
    <pivotCache cacheId="27" r:id="rId38"/>
    <pivotCache cacheId="28" r:id="rId39"/>
    <pivotCache cacheId="29" r:id="rId40"/>
    <pivotCache cacheId="30" r:id="rId41"/>
    <pivotCache cacheId="31" r:id="rId42"/>
    <pivotCache cacheId="32" r:id="rId43"/>
    <pivotCache cacheId="33" r:id="rId44"/>
  </pivotCaches>
</workbook>
</file>

<file path=xl/calcChain.xml><?xml version="1.0" encoding="utf-8"?>
<calcChain xmlns="http://schemas.openxmlformats.org/spreadsheetml/2006/main">
  <c r="AA38" i="8" l="1"/>
  <c r="AA37" i="8"/>
  <c r="AA32" i="8"/>
  <c r="AA29" i="8"/>
  <c r="AA27" i="8"/>
  <c r="AA14" i="8"/>
  <c r="Z14" i="8"/>
  <c r="AA13" i="8"/>
  <c r="Z13" i="8"/>
  <c r="AA8" i="8"/>
  <c r="Z8" i="8"/>
  <c r="AA5" i="8"/>
  <c r="Z5" i="8"/>
  <c r="AA3" i="8"/>
  <c r="Z3" i="8"/>
  <c r="K3" i="32"/>
  <c r="J3" i="32"/>
  <c r="K26" i="32"/>
  <c r="J29" i="32"/>
  <c r="J28" i="32"/>
  <c r="J27" i="32"/>
  <c r="I29" i="32"/>
  <c r="I28" i="32"/>
  <c r="I27" i="32"/>
  <c r="I25" i="32"/>
  <c r="J25" i="32" s="1"/>
  <c r="I24" i="32"/>
  <c r="J24" i="32" s="1"/>
  <c r="H29" i="32"/>
  <c r="H28" i="32"/>
  <c r="H27" i="32"/>
  <c r="H24" i="32"/>
  <c r="G29" i="32"/>
  <c r="F29" i="32"/>
  <c r="F28" i="32"/>
  <c r="G28" i="32" s="1"/>
  <c r="G27" i="32"/>
  <c r="F27" i="32"/>
  <c r="H25" i="32"/>
  <c r="F26" i="32"/>
  <c r="F25" i="32"/>
  <c r="G25" i="32" s="1"/>
  <c r="G24" i="32"/>
  <c r="F24" i="32"/>
  <c r="F23" i="32"/>
  <c r="K18" i="32"/>
  <c r="J20" i="32"/>
  <c r="J21" i="32"/>
  <c r="J22" i="32"/>
  <c r="I22" i="32"/>
  <c r="I21" i="32"/>
  <c r="I20" i="32"/>
  <c r="H22" i="32"/>
  <c r="H21" i="32"/>
  <c r="H20" i="32"/>
  <c r="H19" i="32"/>
  <c r="G22" i="32"/>
  <c r="G21" i="32"/>
  <c r="G20" i="32"/>
  <c r="G19" i="32"/>
  <c r="H19" i="30"/>
  <c r="G19" i="30"/>
  <c r="G18" i="30"/>
  <c r="G17" i="30"/>
  <c r="G16" i="30"/>
  <c r="G25" i="28"/>
  <c r="G24" i="28"/>
  <c r="G23" i="28"/>
  <c r="K12" i="32"/>
  <c r="K6" i="32"/>
  <c r="J17" i="32"/>
  <c r="J16" i="32"/>
  <c r="J15" i="32"/>
  <c r="I17" i="32"/>
  <c r="I16" i="32"/>
  <c r="I15" i="32"/>
  <c r="H17" i="32"/>
  <c r="H16" i="32"/>
  <c r="H15" i="32"/>
  <c r="H14" i="32"/>
  <c r="G17" i="32"/>
  <c r="G16" i="32"/>
  <c r="G15" i="32"/>
  <c r="G14" i="32"/>
  <c r="H13" i="32"/>
  <c r="J11" i="32"/>
  <c r="J10" i="32"/>
  <c r="J9" i="32"/>
  <c r="J8" i="32"/>
  <c r="J7" i="32"/>
  <c r="H11" i="32"/>
  <c r="G11" i="32"/>
  <c r="I10" i="32"/>
  <c r="G10" i="32"/>
  <c r="H10" i="32" s="1"/>
  <c r="H9" i="32"/>
  <c r="H8" i="32"/>
  <c r="H7" i="32"/>
  <c r="F22" i="32"/>
  <c r="F21" i="32"/>
  <c r="F20" i="32"/>
  <c r="F19" i="32"/>
  <c r="F18" i="32"/>
  <c r="F17" i="32"/>
  <c r="F16" i="32"/>
  <c r="F15" i="32"/>
  <c r="F14" i="32"/>
  <c r="F13" i="32"/>
  <c r="G13" i="32" s="1"/>
  <c r="F12" i="32"/>
  <c r="F11" i="32"/>
  <c r="F10" i="32"/>
  <c r="F9" i="32"/>
  <c r="G9" i="32" s="1"/>
  <c r="F8" i="32"/>
  <c r="G8" i="32" s="1"/>
  <c r="I8" i="32" s="1"/>
  <c r="F7" i="32"/>
  <c r="G7" i="32" s="1"/>
  <c r="I7" i="32" s="1"/>
  <c r="F6" i="32"/>
  <c r="N250" i="3"/>
  <c r="O250" i="3"/>
  <c r="P250" i="3" s="1"/>
  <c r="Q250" i="3"/>
  <c r="N251" i="3"/>
  <c r="O251" i="3"/>
  <c r="P251" i="3" s="1"/>
  <c r="Q251" i="3"/>
  <c r="N252" i="3"/>
  <c r="O252" i="3"/>
  <c r="P252" i="3" s="1"/>
  <c r="Q252" i="3"/>
  <c r="N253" i="3"/>
  <c r="O253" i="3"/>
  <c r="P253" i="3" s="1"/>
  <c r="Q253" i="3"/>
  <c r="N254" i="3"/>
  <c r="O254" i="3"/>
  <c r="P254" i="3" s="1"/>
  <c r="Q254" i="3"/>
  <c r="N255" i="3"/>
  <c r="O255" i="3"/>
  <c r="P255" i="3" s="1"/>
  <c r="Q255" i="3"/>
  <c r="N256" i="3"/>
  <c r="O256" i="3"/>
  <c r="P256" i="3" s="1"/>
  <c r="Q256" i="3"/>
  <c r="N257" i="3"/>
  <c r="O257" i="3"/>
  <c r="P257" i="3" s="1"/>
  <c r="Q257" i="3"/>
  <c r="N258" i="3"/>
  <c r="O258" i="3"/>
  <c r="P258" i="3" s="1"/>
  <c r="Q258" i="3"/>
  <c r="N259" i="3"/>
  <c r="O259" i="3"/>
  <c r="P259" i="3" s="1"/>
  <c r="Q259" i="3"/>
  <c r="N260" i="3"/>
  <c r="O260" i="3"/>
  <c r="P260" i="3" s="1"/>
  <c r="Q260" i="3"/>
  <c r="N261" i="3"/>
  <c r="O261" i="3"/>
  <c r="P261" i="3" s="1"/>
  <c r="Q261" i="3"/>
  <c r="N262" i="3"/>
  <c r="O262" i="3"/>
  <c r="P262" i="3" s="1"/>
  <c r="Q262" i="3"/>
  <c r="N263" i="3"/>
  <c r="O263" i="3"/>
  <c r="P263" i="3" s="1"/>
  <c r="Q263" i="3"/>
  <c r="N264" i="3"/>
  <c r="O264" i="3"/>
  <c r="P264" i="3" s="1"/>
  <c r="Q264" i="3"/>
  <c r="N265" i="3"/>
  <c r="O265" i="3"/>
  <c r="P265" i="3" s="1"/>
  <c r="Q265" i="3"/>
  <c r="N266" i="3"/>
  <c r="O266" i="3"/>
  <c r="P266" i="3" s="1"/>
  <c r="Q266" i="3"/>
  <c r="N267" i="3"/>
  <c r="O267" i="3"/>
  <c r="P267" i="3" s="1"/>
  <c r="Q267" i="3"/>
  <c r="N268" i="3"/>
  <c r="O268" i="3"/>
  <c r="P268" i="3" s="1"/>
  <c r="Q268" i="3"/>
  <c r="N269" i="3"/>
  <c r="O269" i="3"/>
  <c r="P269" i="3" s="1"/>
  <c r="Q269" i="3"/>
  <c r="N270" i="3"/>
  <c r="O270" i="3"/>
  <c r="P270" i="3" s="1"/>
  <c r="Q270" i="3"/>
  <c r="N271" i="3"/>
  <c r="O271" i="3"/>
  <c r="P271" i="3" s="1"/>
  <c r="Q271" i="3"/>
  <c r="N272" i="3"/>
  <c r="O272" i="3"/>
  <c r="P272" i="3" s="1"/>
  <c r="Q272" i="3"/>
  <c r="N273" i="3"/>
  <c r="O273" i="3"/>
  <c r="P273" i="3" s="1"/>
  <c r="Q273" i="3"/>
  <c r="N274" i="3"/>
  <c r="O274" i="3"/>
  <c r="P274" i="3" s="1"/>
  <c r="Q274" i="3"/>
  <c r="N275" i="3"/>
  <c r="O275" i="3"/>
  <c r="P275" i="3" s="1"/>
  <c r="Q275" i="3"/>
  <c r="N276" i="3"/>
  <c r="O276" i="3"/>
  <c r="P276" i="3" s="1"/>
  <c r="Q276" i="3"/>
  <c r="N277" i="3"/>
  <c r="O277" i="3"/>
  <c r="P277" i="3" s="1"/>
  <c r="Q277" i="3"/>
  <c r="N278" i="3"/>
  <c r="O278" i="3"/>
  <c r="P278" i="3" s="1"/>
  <c r="Q278" i="3"/>
  <c r="N279" i="3"/>
  <c r="O279" i="3"/>
  <c r="P279" i="3" s="1"/>
  <c r="Q279" i="3"/>
  <c r="N280" i="3"/>
  <c r="O280" i="3"/>
  <c r="P280" i="3" s="1"/>
  <c r="Q280" i="3"/>
  <c r="N281" i="3"/>
  <c r="O281" i="3"/>
  <c r="P281" i="3" s="1"/>
  <c r="Q281" i="3"/>
  <c r="N282" i="3"/>
  <c r="O282" i="3"/>
  <c r="P282" i="3" s="1"/>
  <c r="Q282" i="3"/>
  <c r="N283" i="3"/>
  <c r="O283" i="3"/>
  <c r="P283" i="3" s="1"/>
  <c r="Q283" i="3"/>
  <c r="N284" i="3"/>
  <c r="O284" i="3"/>
  <c r="P284" i="3" s="1"/>
  <c r="Q284" i="3"/>
  <c r="N285" i="3"/>
  <c r="O285" i="3"/>
  <c r="P285" i="3" s="1"/>
  <c r="Q285" i="3"/>
  <c r="N286" i="3"/>
  <c r="O286" i="3"/>
  <c r="P286" i="3" s="1"/>
  <c r="Q286" i="3"/>
  <c r="N287" i="3"/>
  <c r="O287" i="3"/>
  <c r="P287" i="3" s="1"/>
  <c r="Q287" i="3"/>
  <c r="Q249" i="3"/>
  <c r="O249" i="3"/>
  <c r="P249" i="3" s="1"/>
  <c r="N249" i="3"/>
  <c r="K250" i="3"/>
  <c r="L250" i="3"/>
  <c r="K251" i="3"/>
  <c r="L251" i="3"/>
  <c r="K252" i="3"/>
  <c r="L252" i="3"/>
  <c r="K253" i="3"/>
  <c r="L253" i="3"/>
  <c r="K254" i="3"/>
  <c r="L254" i="3"/>
  <c r="K255" i="3"/>
  <c r="L255" i="3"/>
  <c r="K256" i="3"/>
  <c r="L256" i="3"/>
  <c r="K257" i="3"/>
  <c r="L257" i="3"/>
  <c r="K258" i="3"/>
  <c r="L258" i="3"/>
  <c r="K259" i="3"/>
  <c r="L259" i="3"/>
  <c r="K260" i="3"/>
  <c r="L260" i="3"/>
  <c r="K261" i="3"/>
  <c r="L261" i="3"/>
  <c r="K262" i="3"/>
  <c r="L262" i="3"/>
  <c r="K263" i="3"/>
  <c r="L263" i="3"/>
  <c r="K264" i="3"/>
  <c r="L264" i="3"/>
  <c r="K265" i="3"/>
  <c r="L265" i="3"/>
  <c r="K266" i="3"/>
  <c r="L266" i="3"/>
  <c r="K267" i="3"/>
  <c r="L267" i="3"/>
  <c r="K268" i="3"/>
  <c r="L268" i="3"/>
  <c r="K269" i="3"/>
  <c r="L269" i="3"/>
  <c r="K270" i="3"/>
  <c r="L270" i="3"/>
  <c r="K271" i="3"/>
  <c r="L271" i="3"/>
  <c r="K272" i="3"/>
  <c r="L272" i="3"/>
  <c r="K273" i="3"/>
  <c r="L273" i="3"/>
  <c r="K274" i="3"/>
  <c r="L274" i="3"/>
  <c r="K275" i="3"/>
  <c r="L275" i="3"/>
  <c r="K276" i="3"/>
  <c r="L276" i="3"/>
  <c r="K277" i="3"/>
  <c r="L277" i="3"/>
  <c r="K278" i="3"/>
  <c r="L278" i="3"/>
  <c r="K279" i="3"/>
  <c r="L279" i="3"/>
  <c r="K280" i="3"/>
  <c r="L280" i="3"/>
  <c r="K281" i="3"/>
  <c r="L281" i="3"/>
  <c r="K282" i="3"/>
  <c r="L282" i="3"/>
  <c r="K283" i="3"/>
  <c r="L283" i="3"/>
  <c r="K284" i="3"/>
  <c r="L284" i="3"/>
  <c r="K285" i="3"/>
  <c r="L285" i="3"/>
  <c r="K286" i="3"/>
  <c r="L286" i="3"/>
  <c r="K287" i="3"/>
  <c r="L287" i="3"/>
  <c r="L249" i="3"/>
  <c r="K249" i="3"/>
  <c r="N243" i="3"/>
  <c r="O243" i="3"/>
  <c r="P243" i="3" s="1"/>
  <c r="Q243" i="3"/>
  <c r="N244" i="3"/>
  <c r="O244" i="3"/>
  <c r="P244" i="3" s="1"/>
  <c r="Q244" i="3"/>
  <c r="N245" i="3"/>
  <c r="O245" i="3"/>
  <c r="P245" i="3" s="1"/>
  <c r="Q245" i="3"/>
  <c r="K245" i="3"/>
  <c r="K244" i="3"/>
  <c r="L245" i="3"/>
  <c r="L244" i="3"/>
  <c r="L243" i="3"/>
  <c r="K243" i="3"/>
  <c r="C245" i="3"/>
  <c r="B245" i="3"/>
  <c r="C244" i="3"/>
  <c r="B244" i="3"/>
  <c r="C243" i="3"/>
  <c r="B243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C249" i="3"/>
  <c r="B249" i="3"/>
  <c r="K23" i="32" l="1"/>
  <c r="K20" i="32"/>
  <c r="I19" i="32"/>
  <c r="J19" i="32" s="1"/>
  <c r="I14" i="32"/>
  <c r="J14" i="32" s="1"/>
  <c r="I13" i="32"/>
  <c r="J13" i="32" s="1"/>
  <c r="I11" i="32"/>
  <c r="I9" i="32"/>
  <c r="D3" i="31" l="1"/>
  <c r="E3" i="31"/>
  <c r="D4" i="31"/>
  <c r="E4" i="31"/>
  <c r="D5" i="31"/>
  <c r="E5" i="31"/>
  <c r="D6" i="31"/>
  <c r="E6" i="31"/>
  <c r="D7" i="31"/>
  <c r="E7" i="31"/>
  <c r="D8" i="31"/>
  <c r="E8" i="31"/>
  <c r="D9" i="31"/>
  <c r="E9" i="31"/>
  <c r="D10" i="31"/>
  <c r="E10" i="31"/>
  <c r="D11" i="31"/>
  <c r="E11" i="31"/>
  <c r="D12" i="31"/>
  <c r="E12" i="31"/>
  <c r="D13" i="31"/>
  <c r="E13" i="31"/>
  <c r="D14" i="31"/>
  <c r="E14" i="31"/>
  <c r="D15" i="31"/>
  <c r="E15" i="31"/>
  <c r="D16" i="31"/>
  <c r="E16" i="31"/>
  <c r="D17" i="31"/>
  <c r="E17" i="31"/>
  <c r="D18" i="31"/>
  <c r="E18" i="31"/>
  <c r="D19" i="31"/>
  <c r="E19" i="31"/>
  <c r="D20" i="31"/>
  <c r="E20" i="31"/>
  <c r="D21" i="31"/>
  <c r="E21" i="31"/>
  <c r="D22" i="31"/>
  <c r="E22" i="31"/>
  <c r="D23" i="31"/>
  <c r="E23" i="31"/>
  <c r="D24" i="31"/>
  <c r="E24" i="31"/>
  <c r="D25" i="31"/>
  <c r="E25" i="31"/>
  <c r="D26" i="31"/>
  <c r="E26" i="31"/>
  <c r="D27" i="31"/>
  <c r="E27" i="31"/>
  <c r="D28" i="31"/>
  <c r="E28" i="31"/>
  <c r="D29" i="31"/>
  <c r="E29" i="31"/>
  <c r="D30" i="31"/>
  <c r="E30" i="31"/>
  <c r="D31" i="31"/>
  <c r="E31" i="31"/>
  <c r="D32" i="31"/>
  <c r="E32" i="31"/>
  <c r="D33" i="31"/>
  <c r="E33" i="31"/>
  <c r="D34" i="31"/>
  <c r="E34" i="31"/>
  <c r="D35" i="31"/>
  <c r="E35" i="31"/>
  <c r="D36" i="31"/>
  <c r="E36" i="31"/>
  <c r="D37" i="31"/>
  <c r="E37" i="31"/>
  <c r="D38" i="31"/>
  <c r="E38" i="31"/>
  <c r="D39" i="31"/>
  <c r="E39" i="31"/>
  <c r="D40" i="31"/>
  <c r="E40" i="31"/>
  <c r="D41" i="31"/>
  <c r="E41" i="31"/>
  <c r="D42" i="31"/>
  <c r="E42" i="31"/>
  <c r="D43" i="31"/>
  <c r="E43" i="31"/>
  <c r="D44" i="31"/>
  <c r="E44" i="31"/>
  <c r="D45" i="31"/>
  <c r="E45" i="31"/>
  <c r="D46" i="31"/>
  <c r="E46" i="31"/>
  <c r="D47" i="31"/>
  <c r="E47" i="31"/>
  <c r="D48" i="31"/>
  <c r="E48" i="31"/>
  <c r="D49" i="31"/>
  <c r="E49" i="31"/>
  <c r="D50" i="31"/>
  <c r="E50" i="31"/>
  <c r="D51" i="31"/>
  <c r="E51" i="31"/>
  <c r="D52" i="31"/>
  <c r="E52" i="31"/>
  <c r="D53" i="31"/>
  <c r="E53" i="31"/>
  <c r="D54" i="31"/>
  <c r="E54" i="31"/>
  <c r="D55" i="31"/>
  <c r="E55" i="31"/>
  <c r="D56" i="31"/>
  <c r="E56" i="31"/>
  <c r="D57" i="31"/>
  <c r="E57" i="31"/>
  <c r="D58" i="31"/>
  <c r="E58" i="31"/>
  <c r="D59" i="31"/>
  <c r="E59" i="31"/>
  <c r="D60" i="31"/>
  <c r="E60" i="31"/>
  <c r="D61" i="31"/>
  <c r="E61" i="31"/>
  <c r="D62" i="31"/>
  <c r="E62" i="31"/>
  <c r="D63" i="31"/>
  <c r="E63" i="31"/>
  <c r="D64" i="31"/>
  <c r="E64" i="31"/>
  <c r="D65" i="31"/>
  <c r="E65" i="31"/>
  <c r="D66" i="31"/>
  <c r="E66" i="31"/>
  <c r="D67" i="31"/>
  <c r="E67" i="31"/>
  <c r="D68" i="31"/>
  <c r="E68" i="31"/>
  <c r="D69" i="31"/>
  <c r="E69" i="31"/>
  <c r="D70" i="31"/>
  <c r="E70" i="31"/>
  <c r="D71" i="31"/>
  <c r="E71" i="31"/>
  <c r="D72" i="31"/>
  <c r="E72" i="31"/>
  <c r="D73" i="31"/>
  <c r="E73" i="31"/>
  <c r="D74" i="31"/>
  <c r="E74" i="31"/>
  <c r="D75" i="31"/>
  <c r="E75" i="31"/>
  <c r="D76" i="31"/>
  <c r="E76" i="31"/>
  <c r="D77" i="31"/>
  <c r="E77" i="31"/>
  <c r="D78" i="31"/>
  <c r="E78" i="31"/>
  <c r="D79" i="31"/>
  <c r="E79" i="31"/>
  <c r="D80" i="31"/>
  <c r="E80" i="31"/>
  <c r="D81" i="31"/>
  <c r="E81" i="31"/>
  <c r="D82" i="31"/>
  <c r="E82" i="31"/>
  <c r="D83" i="31"/>
  <c r="E83" i="31"/>
  <c r="D84" i="31"/>
  <c r="E84" i="31"/>
  <c r="D85" i="31"/>
  <c r="E85" i="31"/>
  <c r="D86" i="31"/>
  <c r="E86" i="31"/>
  <c r="D87" i="31"/>
  <c r="E87" i="31"/>
  <c r="D88" i="31"/>
  <c r="E88" i="31"/>
  <c r="D89" i="31"/>
  <c r="E89" i="31"/>
  <c r="D90" i="31"/>
  <c r="E90" i="31"/>
  <c r="D91" i="31"/>
  <c r="E91" i="31"/>
  <c r="D92" i="31"/>
  <c r="E92" i="31"/>
  <c r="D93" i="31"/>
  <c r="E93" i="31"/>
  <c r="D94" i="31"/>
  <c r="E94" i="31"/>
  <c r="D95" i="31"/>
  <c r="E95" i="31"/>
  <c r="D96" i="31"/>
  <c r="E96" i="31"/>
  <c r="D97" i="31"/>
  <c r="E97" i="31"/>
  <c r="D98" i="31"/>
  <c r="E98" i="31"/>
  <c r="D99" i="31"/>
  <c r="E99" i="31"/>
  <c r="D100" i="31"/>
  <c r="E100" i="31"/>
  <c r="D101" i="31"/>
  <c r="E101" i="31"/>
  <c r="D102" i="31"/>
  <c r="E102" i="31"/>
  <c r="D103" i="31"/>
  <c r="E103" i="31"/>
  <c r="D104" i="31"/>
  <c r="E104" i="31"/>
  <c r="D105" i="31"/>
  <c r="E105" i="31"/>
  <c r="D106" i="31"/>
  <c r="E106" i="31"/>
  <c r="E2" i="31"/>
  <c r="D2" i="31"/>
  <c r="H106" i="31"/>
  <c r="M106" i="31" s="1"/>
  <c r="H105" i="31"/>
  <c r="M105" i="31" s="1"/>
  <c r="P105" i="31" s="1"/>
  <c r="H104" i="31"/>
  <c r="M104" i="31" s="1"/>
  <c r="P104" i="31" s="1"/>
  <c r="H103" i="31"/>
  <c r="M103" i="31" s="1"/>
  <c r="P103" i="31" s="1"/>
  <c r="H102" i="31"/>
  <c r="M102" i="31" s="1"/>
  <c r="P102" i="31" s="1"/>
  <c r="H101" i="31"/>
  <c r="M101" i="31" s="1"/>
  <c r="P101" i="31" s="1"/>
  <c r="H100" i="31"/>
  <c r="M100" i="31" s="1"/>
  <c r="P100" i="31" s="1"/>
  <c r="H99" i="31"/>
  <c r="M99" i="31" s="1"/>
  <c r="P99" i="31" s="1"/>
  <c r="H98" i="31"/>
  <c r="M98" i="31" s="1"/>
  <c r="P98" i="31" s="1"/>
  <c r="H97" i="31"/>
  <c r="M97" i="31" s="1"/>
  <c r="P97" i="31" s="1"/>
  <c r="H96" i="31"/>
  <c r="M96" i="31" s="1"/>
  <c r="P96" i="31" s="1"/>
  <c r="H95" i="31"/>
  <c r="M95" i="31" s="1"/>
  <c r="P95" i="31" s="1"/>
  <c r="H94" i="31"/>
  <c r="M94" i="31" s="1"/>
  <c r="P94" i="31" s="1"/>
  <c r="H93" i="31"/>
  <c r="M93" i="31" s="1"/>
  <c r="P93" i="31" s="1"/>
  <c r="H92" i="31"/>
  <c r="M92" i="31" s="1"/>
  <c r="P92" i="31" s="1"/>
  <c r="H91" i="31"/>
  <c r="M91" i="31" s="1"/>
  <c r="P91" i="31" s="1"/>
  <c r="H90" i="31"/>
  <c r="M90" i="31" s="1"/>
  <c r="P90" i="31" s="1"/>
  <c r="H89" i="31"/>
  <c r="M89" i="31" s="1"/>
  <c r="H88" i="31"/>
  <c r="M88" i="31" s="1"/>
  <c r="P88" i="31" s="1"/>
  <c r="H87" i="31"/>
  <c r="M87" i="31" s="1"/>
  <c r="N87" i="31" s="1"/>
  <c r="H86" i="31"/>
  <c r="M86" i="31" s="1"/>
  <c r="P86" i="31" s="1"/>
  <c r="H85" i="31"/>
  <c r="M85" i="31" s="1"/>
  <c r="P85" i="31" s="1"/>
  <c r="H84" i="31"/>
  <c r="M84" i="31" s="1"/>
  <c r="P84" i="31" s="1"/>
  <c r="H83" i="31"/>
  <c r="M83" i="31" s="1"/>
  <c r="P83" i="31" s="1"/>
  <c r="H82" i="31"/>
  <c r="M82" i="31" s="1"/>
  <c r="N82" i="31" s="1"/>
  <c r="H81" i="31"/>
  <c r="M81" i="31" s="1"/>
  <c r="N81" i="31" s="1"/>
  <c r="H80" i="31"/>
  <c r="M80" i="31" s="1"/>
  <c r="N80" i="31" s="1"/>
  <c r="H79" i="31"/>
  <c r="M79" i="31" s="1"/>
  <c r="H78" i="31"/>
  <c r="M78" i="31" s="1"/>
  <c r="H77" i="31"/>
  <c r="M77" i="31" s="1"/>
  <c r="H76" i="31"/>
  <c r="M76" i="31" s="1"/>
  <c r="P76" i="31" s="1"/>
  <c r="H75" i="31"/>
  <c r="M75" i="31" s="1"/>
  <c r="P75" i="31" s="1"/>
  <c r="H74" i="31"/>
  <c r="M74" i="31" s="1"/>
  <c r="N74" i="31" s="1"/>
  <c r="P74" i="31" s="1"/>
  <c r="H73" i="31"/>
  <c r="M73" i="31" s="1"/>
  <c r="P73" i="31" s="1"/>
  <c r="H72" i="31"/>
  <c r="M72" i="31" s="1"/>
  <c r="P72" i="31" s="1"/>
  <c r="H71" i="31"/>
  <c r="M71" i="31" s="1"/>
  <c r="H70" i="31"/>
  <c r="M70" i="31" s="1"/>
  <c r="P70" i="31" s="1"/>
  <c r="H69" i="31"/>
  <c r="M69" i="31" s="1"/>
  <c r="P69" i="31" s="1"/>
  <c r="H68" i="31"/>
  <c r="M68" i="31" s="1"/>
  <c r="N68" i="31" s="1"/>
  <c r="P68" i="31" s="1"/>
  <c r="H67" i="31"/>
  <c r="M67" i="31" s="1"/>
  <c r="N67" i="31" s="1"/>
  <c r="P67" i="31" s="1"/>
  <c r="H66" i="31"/>
  <c r="M66" i="31" s="1"/>
  <c r="N66" i="31" s="1"/>
  <c r="P66" i="31" s="1"/>
  <c r="H65" i="31"/>
  <c r="M65" i="31" s="1"/>
  <c r="N65" i="31" s="1"/>
  <c r="P65" i="31" s="1"/>
  <c r="H64" i="31"/>
  <c r="M64" i="31" s="1"/>
  <c r="P64" i="31" s="1"/>
  <c r="H63" i="31"/>
  <c r="M63" i="31" s="1"/>
  <c r="H62" i="31"/>
  <c r="M62" i="31" s="1"/>
  <c r="P62" i="31" s="1"/>
  <c r="H61" i="31"/>
  <c r="M61" i="31" s="1"/>
  <c r="P61" i="31" s="1"/>
  <c r="H60" i="31"/>
  <c r="M60" i="31" s="1"/>
  <c r="P60" i="31" s="1"/>
  <c r="H59" i="31"/>
  <c r="M59" i="31" s="1"/>
  <c r="P59" i="31" s="1"/>
  <c r="H58" i="31"/>
  <c r="M58" i="31" s="1"/>
  <c r="P58" i="31" s="1"/>
  <c r="H57" i="31"/>
  <c r="J57" i="31" s="1"/>
  <c r="H56" i="31"/>
  <c r="M56" i="31" s="1"/>
  <c r="H55" i="31"/>
  <c r="M55" i="31" s="1"/>
  <c r="H54" i="31"/>
  <c r="M54" i="31" s="1"/>
  <c r="H53" i="31"/>
  <c r="M53" i="31" s="1"/>
  <c r="H52" i="31"/>
  <c r="M52" i="31" s="1"/>
  <c r="H51" i="31"/>
  <c r="M51" i="31" s="1"/>
  <c r="P51" i="31" s="1"/>
  <c r="H50" i="31"/>
  <c r="M50" i="31" s="1"/>
  <c r="P50" i="31" s="1"/>
  <c r="H49" i="31"/>
  <c r="M49" i="31" s="1"/>
  <c r="P49" i="31" s="1"/>
  <c r="H48" i="31"/>
  <c r="M48" i="31" s="1"/>
  <c r="P48" i="31" s="1"/>
  <c r="H47" i="31"/>
  <c r="M47" i="31" s="1"/>
  <c r="P47" i="31" s="1"/>
  <c r="H46" i="31"/>
  <c r="M46" i="31" s="1"/>
  <c r="P46" i="31" s="1"/>
  <c r="H45" i="31"/>
  <c r="M45" i="31" s="1"/>
  <c r="P45" i="31" s="1"/>
  <c r="H44" i="31"/>
  <c r="M44" i="31" s="1"/>
  <c r="P44" i="31" s="1"/>
  <c r="H43" i="31"/>
  <c r="M43" i="31" s="1"/>
  <c r="P43" i="31" s="1"/>
  <c r="H42" i="31"/>
  <c r="M42" i="31" s="1"/>
  <c r="P42" i="31" s="1"/>
  <c r="H41" i="31"/>
  <c r="M41" i="31" s="1"/>
  <c r="P41" i="31" s="1"/>
  <c r="H40" i="31"/>
  <c r="M40" i="31" s="1"/>
  <c r="P40" i="31" s="1"/>
  <c r="H39" i="31"/>
  <c r="M39" i="31" s="1"/>
  <c r="P39" i="31" s="1"/>
  <c r="H38" i="31"/>
  <c r="M38" i="31" s="1"/>
  <c r="P38" i="31" s="1"/>
  <c r="H37" i="31"/>
  <c r="M37" i="31" s="1"/>
  <c r="P37" i="31" s="1"/>
  <c r="H36" i="31"/>
  <c r="M36" i="31" s="1"/>
  <c r="P36" i="31" s="1"/>
  <c r="H35" i="31"/>
  <c r="M35" i="31" s="1"/>
  <c r="H34" i="31"/>
  <c r="M34" i="31" s="1"/>
  <c r="H33" i="31"/>
  <c r="M33" i="31" s="1"/>
  <c r="H32" i="31"/>
  <c r="M32" i="31" s="1"/>
  <c r="H31" i="31"/>
  <c r="M31" i="31" s="1"/>
  <c r="P31" i="31" s="1"/>
  <c r="H30" i="31"/>
  <c r="M30" i="31" s="1"/>
  <c r="P30" i="31" s="1"/>
  <c r="H29" i="31"/>
  <c r="M29" i="31" s="1"/>
  <c r="N29" i="31" s="1"/>
  <c r="P29" i="31" s="1"/>
  <c r="H28" i="31"/>
  <c r="M28" i="31" s="1"/>
  <c r="P28" i="31" s="1"/>
  <c r="H27" i="31"/>
  <c r="M27" i="31" s="1"/>
  <c r="P27" i="31" s="1"/>
  <c r="H26" i="31"/>
  <c r="M26" i="31" s="1"/>
  <c r="P26" i="31" s="1"/>
  <c r="H25" i="31"/>
  <c r="M25" i="31" s="1"/>
  <c r="P25" i="31" s="1"/>
  <c r="H24" i="31"/>
  <c r="M24" i="31" s="1"/>
  <c r="P24" i="31" s="1"/>
  <c r="H23" i="31"/>
  <c r="J23" i="31" s="1"/>
  <c r="H22" i="31"/>
  <c r="J22" i="31" s="1"/>
  <c r="H21" i="31"/>
  <c r="M21" i="31" s="1"/>
  <c r="N21" i="31" s="1"/>
  <c r="H20" i="31"/>
  <c r="M20" i="31" s="1"/>
  <c r="N20" i="31" s="1"/>
  <c r="H19" i="31"/>
  <c r="J19" i="31" s="1"/>
  <c r="H18" i="31"/>
  <c r="H17" i="31"/>
  <c r="J17" i="31" s="1"/>
  <c r="H16" i="31"/>
  <c r="M16" i="31" s="1"/>
  <c r="H15" i="31"/>
  <c r="M15" i="31" s="1"/>
  <c r="H14" i="31"/>
  <c r="M14" i="31" s="1"/>
  <c r="P14" i="31" s="1"/>
  <c r="H13" i="31"/>
  <c r="M13" i="31" s="1"/>
  <c r="P13" i="31" s="1"/>
  <c r="H12" i="31"/>
  <c r="M12" i="31" s="1"/>
  <c r="P12" i="31" s="1"/>
  <c r="H11" i="31"/>
  <c r="M11" i="31" s="1"/>
  <c r="P11" i="31" s="1"/>
  <c r="H10" i="31"/>
  <c r="M10" i="31" s="1"/>
  <c r="H9" i="31"/>
  <c r="M9" i="31" s="1"/>
  <c r="H8" i="31"/>
  <c r="M8" i="31" s="1"/>
  <c r="P8" i="31" s="1"/>
  <c r="H7" i="31"/>
  <c r="M7" i="31" s="1"/>
  <c r="P7" i="31" s="1"/>
  <c r="H6" i="31"/>
  <c r="M6" i="31" s="1"/>
  <c r="P6" i="31" s="1"/>
  <c r="H5" i="31"/>
  <c r="M5" i="31" s="1"/>
  <c r="P5" i="31" s="1"/>
  <c r="H4" i="31"/>
  <c r="M4" i="31" s="1"/>
  <c r="P4" i="31" s="1"/>
  <c r="H3" i="31"/>
  <c r="M3" i="31" s="1"/>
  <c r="P3" i="31" s="1"/>
  <c r="H2" i="31"/>
  <c r="M2" i="31" s="1"/>
  <c r="P2" i="31" s="1"/>
  <c r="N32" i="31" l="1"/>
  <c r="P32" i="31" s="1"/>
  <c r="N35" i="31"/>
  <c r="P35" i="31" s="1"/>
  <c r="N71" i="31"/>
  <c r="P71" i="31" s="1"/>
  <c r="N33" i="31"/>
  <c r="P33" i="31" s="1"/>
  <c r="N52" i="31"/>
  <c r="P52" i="31" s="1"/>
  <c r="N55" i="31"/>
  <c r="P55" i="31" s="1"/>
  <c r="N15" i="31"/>
  <c r="P15" i="31" s="1"/>
  <c r="N53" i="31"/>
  <c r="P53" i="31" s="1"/>
  <c r="N56" i="31"/>
  <c r="P56" i="31" s="1"/>
  <c r="N9" i="31"/>
  <c r="P9" i="31" s="1"/>
  <c r="N16" i="31"/>
  <c r="P16" i="31" s="1"/>
  <c r="N10" i="31"/>
  <c r="P10" i="31" s="1"/>
  <c r="N78" i="31"/>
  <c r="P78" i="31" s="1"/>
  <c r="N89" i="31"/>
  <c r="P89" i="31" s="1"/>
  <c r="J18" i="31"/>
  <c r="M18" i="31" s="1"/>
  <c r="N34" i="31"/>
  <c r="P34" i="31" s="1"/>
  <c r="M17" i="31"/>
  <c r="M23" i="31"/>
  <c r="M57" i="31"/>
  <c r="P87" i="31"/>
  <c r="N77" i="31"/>
  <c r="P77" i="31" s="1"/>
  <c r="P81" i="31"/>
  <c r="M19" i="31"/>
  <c r="M22" i="31"/>
  <c r="N54" i="31"/>
  <c r="P54" i="31" s="1"/>
  <c r="N63" i="31"/>
  <c r="P63" i="31" s="1"/>
  <c r="N79" i="31"/>
  <c r="P79" i="31" s="1"/>
  <c r="P80" i="31"/>
  <c r="P82" i="31"/>
  <c r="N106" i="31"/>
  <c r="P106" i="31" s="1"/>
  <c r="N23" i="31" l="1"/>
  <c r="P23" i="31" s="1"/>
  <c r="N22" i="31"/>
  <c r="P22" i="31" s="1"/>
  <c r="N17" i="31"/>
  <c r="P17" i="31" s="1"/>
  <c r="N18" i="31"/>
  <c r="P18" i="31" s="1"/>
  <c r="N19" i="31"/>
  <c r="P19" i="31" s="1"/>
  <c r="N57" i="31"/>
  <c r="P57" i="31" s="1"/>
  <c r="Y38" i="8" l="1"/>
  <c r="Y32" i="8"/>
  <c r="Y29" i="8"/>
  <c r="Y27" i="8"/>
  <c r="X14" i="8"/>
  <c r="H7" i="13"/>
  <c r="H5" i="4"/>
  <c r="X8" i="8"/>
  <c r="X5" i="8"/>
  <c r="X3" i="8"/>
  <c r="G21" i="30"/>
  <c r="H21" i="30"/>
  <c r="H17" i="30"/>
  <c r="I17" i="30" s="1"/>
  <c r="J17" i="30" s="1"/>
  <c r="H18" i="30"/>
  <c r="I18" i="30" s="1"/>
  <c r="J18" i="30" s="1"/>
  <c r="I19" i="30"/>
  <c r="J19" i="30" s="1"/>
  <c r="H16" i="30"/>
  <c r="G7" i="30"/>
  <c r="G12" i="30"/>
  <c r="G13" i="30"/>
  <c r="G14" i="30"/>
  <c r="G11" i="30"/>
  <c r="H12" i="30"/>
  <c r="H13" i="30"/>
  <c r="H14" i="30"/>
  <c r="I14" i="30" s="1"/>
  <c r="J14" i="30" s="1"/>
  <c r="H11" i="30"/>
  <c r="Q242" i="3"/>
  <c r="O242" i="3"/>
  <c r="P242" i="3" s="1"/>
  <c r="N242" i="3"/>
  <c r="L242" i="3"/>
  <c r="K242" i="3"/>
  <c r="C242" i="3"/>
  <c r="B242" i="3"/>
  <c r="Q241" i="3"/>
  <c r="O241" i="3"/>
  <c r="P241" i="3" s="1"/>
  <c r="N241" i="3"/>
  <c r="L241" i="3"/>
  <c r="K241" i="3"/>
  <c r="C241" i="3"/>
  <c r="B241" i="3"/>
  <c r="Q240" i="3"/>
  <c r="O240" i="3"/>
  <c r="P240" i="3" s="1"/>
  <c r="N240" i="3"/>
  <c r="L240" i="3"/>
  <c r="K240" i="3"/>
  <c r="C240" i="3"/>
  <c r="B240" i="3"/>
  <c r="Q239" i="3"/>
  <c r="O239" i="3"/>
  <c r="P239" i="3" s="1"/>
  <c r="N239" i="3"/>
  <c r="L239" i="3"/>
  <c r="K239" i="3"/>
  <c r="C239" i="3"/>
  <c r="B239" i="3"/>
  <c r="Q238" i="3"/>
  <c r="O238" i="3"/>
  <c r="P238" i="3" s="1"/>
  <c r="N238" i="3"/>
  <c r="L238" i="3"/>
  <c r="K238" i="3"/>
  <c r="C238" i="3"/>
  <c r="B238" i="3"/>
  <c r="Q237" i="3"/>
  <c r="O237" i="3"/>
  <c r="P237" i="3" s="1"/>
  <c r="N237" i="3"/>
  <c r="L237" i="3"/>
  <c r="K237" i="3"/>
  <c r="C237" i="3"/>
  <c r="B237" i="3"/>
  <c r="Q236" i="3"/>
  <c r="O236" i="3"/>
  <c r="P236" i="3" s="1"/>
  <c r="N236" i="3"/>
  <c r="L236" i="3"/>
  <c r="K236" i="3"/>
  <c r="C236" i="3"/>
  <c r="B236" i="3"/>
  <c r="Q235" i="3"/>
  <c r="O235" i="3"/>
  <c r="P235" i="3" s="1"/>
  <c r="N235" i="3"/>
  <c r="L235" i="3"/>
  <c r="K235" i="3"/>
  <c r="C235" i="3"/>
  <c r="B235" i="3"/>
  <c r="Q234" i="3"/>
  <c r="O234" i="3"/>
  <c r="P234" i="3" s="1"/>
  <c r="N234" i="3"/>
  <c r="L234" i="3"/>
  <c r="K234" i="3"/>
  <c r="C234" i="3"/>
  <c r="B234" i="3"/>
  <c r="Q233" i="3"/>
  <c r="O233" i="3"/>
  <c r="P233" i="3" s="1"/>
  <c r="N233" i="3"/>
  <c r="L233" i="3"/>
  <c r="K233" i="3"/>
  <c r="C233" i="3"/>
  <c r="B233" i="3"/>
  <c r="Q232" i="3"/>
  <c r="O232" i="3"/>
  <c r="P232" i="3" s="1"/>
  <c r="N232" i="3"/>
  <c r="L232" i="3"/>
  <c r="K232" i="3"/>
  <c r="C232" i="3"/>
  <c r="B232" i="3"/>
  <c r="Q231" i="3"/>
  <c r="O231" i="3"/>
  <c r="P231" i="3" s="1"/>
  <c r="N231" i="3"/>
  <c r="L231" i="3"/>
  <c r="K231" i="3"/>
  <c r="C231" i="3"/>
  <c r="B231" i="3"/>
  <c r="Q230" i="3"/>
  <c r="O230" i="3"/>
  <c r="P230" i="3" s="1"/>
  <c r="N230" i="3"/>
  <c r="L230" i="3"/>
  <c r="K230" i="3"/>
  <c r="C230" i="3"/>
  <c r="B230" i="3"/>
  <c r="Q229" i="3"/>
  <c r="O229" i="3"/>
  <c r="P229" i="3" s="1"/>
  <c r="N229" i="3"/>
  <c r="L229" i="3"/>
  <c r="K229" i="3"/>
  <c r="C229" i="3"/>
  <c r="B229" i="3"/>
  <c r="Q228" i="3"/>
  <c r="O228" i="3"/>
  <c r="P228" i="3" s="1"/>
  <c r="N228" i="3"/>
  <c r="L228" i="3"/>
  <c r="K228" i="3"/>
  <c r="C228" i="3"/>
  <c r="B228" i="3"/>
  <c r="Q227" i="3"/>
  <c r="O227" i="3"/>
  <c r="P227" i="3" s="1"/>
  <c r="N227" i="3"/>
  <c r="L227" i="3"/>
  <c r="K227" i="3"/>
  <c r="C227" i="3"/>
  <c r="B227" i="3"/>
  <c r="Q226" i="3"/>
  <c r="O226" i="3"/>
  <c r="P226" i="3" s="1"/>
  <c r="N226" i="3"/>
  <c r="L226" i="3"/>
  <c r="K226" i="3"/>
  <c r="C226" i="3"/>
  <c r="B226" i="3"/>
  <c r="Q225" i="3"/>
  <c r="O225" i="3"/>
  <c r="P225" i="3" s="1"/>
  <c r="N225" i="3"/>
  <c r="L225" i="3"/>
  <c r="K225" i="3"/>
  <c r="C225" i="3"/>
  <c r="B225" i="3"/>
  <c r="Q224" i="3"/>
  <c r="O224" i="3"/>
  <c r="P224" i="3" s="1"/>
  <c r="N224" i="3"/>
  <c r="L224" i="3"/>
  <c r="K224" i="3"/>
  <c r="C224" i="3"/>
  <c r="B224" i="3"/>
  <c r="Q223" i="3"/>
  <c r="O223" i="3"/>
  <c r="P223" i="3" s="1"/>
  <c r="N223" i="3"/>
  <c r="L223" i="3"/>
  <c r="K223" i="3"/>
  <c r="C223" i="3"/>
  <c r="B223" i="3"/>
  <c r="Q222" i="3"/>
  <c r="O222" i="3"/>
  <c r="P222" i="3" s="1"/>
  <c r="N222" i="3"/>
  <c r="L222" i="3"/>
  <c r="K222" i="3"/>
  <c r="C222" i="3"/>
  <c r="B222" i="3"/>
  <c r="Q221" i="3"/>
  <c r="O221" i="3"/>
  <c r="P221" i="3" s="1"/>
  <c r="N221" i="3"/>
  <c r="L221" i="3"/>
  <c r="K221" i="3"/>
  <c r="C221" i="3"/>
  <c r="B221" i="3"/>
  <c r="Q220" i="3"/>
  <c r="O220" i="3"/>
  <c r="P220" i="3" s="1"/>
  <c r="N220" i="3"/>
  <c r="L220" i="3"/>
  <c r="K220" i="3"/>
  <c r="C220" i="3"/>
  <c r="B220" i="3"/>
  <c r="Q219" i="3"/>
  <c r="O219" i="3"/>
  <c r="P219" i="3" s="1"/>
  <c r="N219" i="3"/>
  <c r="L219" i="3"/>
  <c r="K219" i="3"/>
  <c r="C219" i="3"/>
  <c r="B219" i="3"/>
  <c r="Q218" i="3"/>
  <c r="O218" i="3"/>
  <c r="P218" i="3" s="1"/>
  <c r="N218" i="3"/>
  <c r="L218" i="3"/>
  <c r="K218" i="3"/>
  <c r="C218" i="3"/>
  <c r="B218" i="3"/>
  <c r="Q217" i="3"/>
  <c r="O217" i="3"/>
  <c r="P217" i="3" s="1"/>
  <c r="N217" i="3"/>
  <c r="L217" i="3"/>
  <c r="K217" i="3"/>
  <c r="C217" i="3"/>
  <c r="B217" i="3"/>
  <c r="Q216" i="3"/>
  <c r="O216" i="3"/>
  <c r="P216" i="3" s="1"/>
  <c r="N216" i="3"/>
  <c r="L216" i="3"/>
  <c r="K216" i="3"/>
  <c r="C216" i="3"/>
  <c r="B216" i="3"/>
  <c r="Q215" i="3"/>
  <c r="O215" i="3"/>
  <c r="P215" i="3" s="1"/>
  <c r="N215" i="3"/>
  <c r="L215" i="3"/>
  <c r="K215" i="3"/>
  <c r="C215" i="3"/>
  <c r="B215" i="3"/>
  <c r="Q214" i="3"/>
  <c r="O214" i="3"/>
  <c r="P214" i="3" s="1"/>
  <c r="N214" i="3"/>
  <c r="L214" i="3"/>
  <c r="K214" i="3"/>
  <c r="C214" i="3"/>
  <c r="B214" i="3"/>
  <c r="Q213" i="3"/>
  <c r="O213" i="3"/>
  <c r="P213" i="3" s="1"/>
  <c r="N213" i="3"/>
  <c r="L213" i="3"/>
  <c r="K213" i="3"/>
  <c r="C213" i="3"/>
  <c r="B213" i="3"/>
  <c r="Q212" i="3"/>
  <c r="O212" i="3"/>
  <c r="P212" i="3" s="1"/>
  <c r="N212" i="3"/>
  <c r="L212" i="3"/>
  <c r="K212" i="3"/>
  <c r="C212" i="3"/>
  <c r="B212" i="3"/>
  <c r="Q211" i="3"/>
  <c r="O211" i="3"/>
  <c r="P211" i="3" s="1"/>
  <c r="N211" i="3"/>
  <c r="L211" i="3"/>
  <c r="K211" i="3"/>
  <c r="C211" i="3"/>
  <c r="B211" i="3"/>
  <c r="Q210" i="3"/>
  <c r="O210" i="3"/>
  <c r="P210" i="3" s="1"/>
  <c r="N210" i="3"/>
  <c r="L210" i="3"/>
  <c r="K210" i="3"/>
  <c r="C210" i="3"/>
  <c r="B210" i="3"/>
  <c r="Q209" i="3"/>
  <c r="O209" i="3"/>
  <c r="P209" i="3" s="1"/>
  <c r="N209" i="3"/>
  <c r="L209" i="3"/>
  <c r="K209" i="3"/>
  <c r="C209" i="3"/>
  <c r="B209" i="3"/>
  <c r="Q208" i="3"/>
  <c r="O208" i="3"/>
  <c r="P208" i="3" s="1"/>
  <c r="N208" i="3"/>
  <c r="L208" i="3"/>
  <c r="K208" i="3"/>
  <c r="C208" i="3"/>
  <c r="B208" i="3"/>
  <c r="Q207" i="3"/>
  <c r="O207" i="3"/>
  <c r="P207" i="3" s="1"/>
  <c r="N207" i="3"/>
  <c r="L207" i="3"/>
  <c r="K207" i="3"/>
  <c r="C207" i="3"/>
  <c r="B207" i="3"/>
  <c r="Q206" i="3"/>
  <c r="O206" i="3"/>
  <c r="P206" i="3" s="1"/>
  <c r="N206" i="3"/>
  <c r="L206" i="3"/>
  <c r="K206" i="3"/>
  <c r="C206" i="3"/>
  <c r="B206" i="3"/>
  <c r="Q205" i="3"/>
  <c r="O205" i="3"/>
  <c r="P205" i="3" s="1"/>
  <c r="N205" i="3"/>
  <c r="L205" i="3"/>
  <c r="K205" i="3"/>
  <c r="C205" i="3"/>
  <c r="B205" i="3"/>
  <c r="Q204" i="3"/>
  <c r="O204" i="3"/>
  <c r="P204" i="3" s="1"/>
  <c r="N204" i="3"/>
  <c r="L204" i="3"/>
  <c r="K204" i="3"/>
  <c r="C204" i="3"/>
  <c r="B204" i="3"/>
  <c r="Q203" i="3"/>
  <c r="O203" i="3"/>
  <c r="P203" i="3" s="1"/>
  <c r="N203" i="3"/>
  <c r="L203" i="3"/>
  <c r="K203" i="3"/>
  <c r="C203" i="3"/>
  <c r="B203" i="3"/>
  <c r="Q202" i="3"/>
  <c r="O202" i="3"/>
  <c r="P202" i="3" s="1"/>
  <c r="N202" i="3"/>
  <c r="L202" i="3"/>
  <c r="K202" i="3"/>
  <c r="C202" i="3"/>
  <c r="B202" i="3"/>
  <c r="Q201" i="3"/>
  <c r="O201" i="3"/>
  <c r="P201" i="3" s="1"/>
  <c r="N201" i="3"/>
  <c r="L201" i="3"/>
  <c r="K201" i="3"/>
  <c r="C201" i="3"/>
  <c r="B201" i="3"/>
  <c r="Q200" i="3"/>
  <c r="O200" i="3"/>
  <c r="P200" i="3" s="1"/>
  <c r="N200" i="3"/>
  <c r="L200" i="3"/>
  <c r="K200" i="3"/>
  <c r="C200" i="3"/>
  <c r="B200" i="3"/>
  <c r="Q199" i="3"/>
  <c r="O199" i="3"/>
  <c r="P199" i="3" s="1"/>
  <c r="N199" i="3"/>
  <c r="L199" i="3"/>
  <c r="K199" i="3"/>
  <c r="C199" i="3"/>
  <c r="B199" i="3"/>
  <c r="Q198" i="3"/>
  <c r="O198" i="3"/>
  <c r="P198" i="3" s="1"/>
  <c r="N198" i="3"/>
  <c r="L198" i="3"/>
  <c r="K198" i="3"/>
  <c r="C198" i="3"/>
  <c r="B198" i="3"/>
  <c r="Q197" i="3"/>
  <c r="O197" i="3"/>
  <c r="P197" i="3" s="1"/>
  <c r="N197" i="3"/>
  <c r="L197" i="3"/>
  <c r="K197" i="3"/>
  <c r="C197" i="3"/>
  <c r="B197" i="3"/>
  <c r="Q196" i="3"/>
  <c r="O196" i="3"/>
  <c r="P196" i="3" s="1"/>
  <c r="N196" i="3"/>
  <c r="L196" i="3"/>
  <c r="K196" i="3"/>
  <c r="C196" i="3"/>
  <c r="B196" i="3"/>
  <c r="Q195" i="3"/>
  <c r="O195" i="3"/>
  <c r="P195" i="3" s="1"/>
  <c r="N195" i="3"/>
  <c r="L195" i="3"/>
  <c r="K195" i="3"/>
  <c r="C195" i="3"/>
  <c r="B195" i="3"/>
  <c r="Q194" i="3"/>
  <c r="O194" i="3"/>
  <c r="P194" i="3" s="1"/>
  <c r="N194" i="3"/>
  <c r="L194" i="3"/>
  <c r="K194" i="3"/>
  <c r="C194" i="3"/>
  <c r="B194" i="3"/>
  <c r="Q193" i="3"/>
  <c r="O193" i="3"/>
  <c r="P193" i="3" s="1"/>
  <c r="N193" i="3"/>
  <c r="L193" i="3"/>
  <c r="K193" i="3"/>
  <c r="C193" i="3"/>
  <c r="B193" i="3"/>
  <c r="Q192" i="3"/>
  <c r="O192" i="3"/>
  <c r="P192" i="3" s="1"/>
  <c r="N192" i="3"/>
  <c r="L192" i="3"/>
  <c r="K192" i="3"/>
  <c r="C192" i="3"/>
  <c r="B192" i="3"/>
  <c r="Q191" i="3"/>
  <c r="O191" i="3"/>
  <c r="P191" i="3" s="1"/>
  <c r="N191" i="3"/>
  <c r="L191" i="3"/>
  <c r="K191" i="3"/>
  <c r="C191" i="3"/>
  <c r="B191" i="3"/>
  <c r="Q190" i="3"/>
  <c r="O190" i="3"/>
  <c r="P190" i="3" s="1"/>
  <c r="N190" i="3"/>
  <c r="L190" i="3"/>
  <c r="K190" i="3"/>
  <c r="C190" i="3"/>
  <c r="B190" i="3"/>
  <c r="Q189" i="3"/>
  <c r="O189" i="3"/>
  <c r="P189" i="3" s="1"/>
  <c r="N189" i="3"/>
  <c r="L189" i="3"/>
  <c r="K189" i="3"/>
  <c r="C189" i="3"/>
  <c r="B189" i="3"/>
  <c r="Q188" i="3"/>
  <c r="O188" i="3"/>
  <c r="P188" i="3" s="1"/>
  <c r="N188" i="3"/>
  <c r="L188" i="3"/>
  <c r="K188" i="3"/>
  <c r="C188" i="3"/>
  <c r="B188" i="3"/>
  <c r="Q187" i="3"/>
  <c r="O187" i="3"/>
  <c r="P187" i="3" s="1"/>
  <c r="N187" i="3"/>
  <c r="L187" i="3"/>
  <c r="K187" i="3"/>
  <c r="C187" i="3"/>
  <c r="B187" i="3"/>
  <c r="Q186" i="3"/>
  <c r="O186" i="3"/>
  <c r="P186" i="3" s="1"/>
  <c r="N186" i="3"/>
  <c r="L186" i="3"/>
  <c r="K186" i="3"/>
  <c r="C186" i="3"/>
  <c r="B186" i="3"/>
  <c r="Q185" i="3"/>
  <c r="O185" i="3"/>
  <c r="P185" i="3" s="1"/>
  <c r="N185" i="3"/>
  <c r="L185" i="3"/>
  <c r="K185" i="3"/>
  <c r="C185" i="3"/>
  <c r="B185" i="3"/>
  <c r="Q184" i="3"/>
  <c r="O184" i="3"/>
  <c r="P184" i="3" s="1"/>
  <c r="N184" i="3"/>
  <c r="L184" i="3"/>
  <c r="K184" i="3"/>
  <c r="C184" i="3"/>
  <c r="B184" i="3"/>
  <c r="Q183" i="3"/>
  <c r="O183" i="3"/>
  <c r="P183" i="3" s="1"/>
  <c r="N183" i="3"/>
  <c r="L183" i="3"/>
  <c r="K183" i="3"/>
  <c r="C183" i="3"/>
  <c r="B183" i="3"/>
  <c r="Q182" i="3"/>
  <c r="O182" i="3"/>
  <c r="P182" i="3" s="1"/>
  <c r="N182" i="3"/>
  <c r="L182" i="3"/>
  <c r="K182" i="3"/>
  <c r="C182" i="3"/>
  <c r="B182" i="3"/>
  <c r="Q181" i="3"/>
  <c r="O181" i="3"/>
  <c r="P181" i="3" s="1"/>
  <c r="N181" i="3"/>
  <c r="L181" i="3"/>
  <c r="K181" i="3"/>
  <c r="C181" i="3"/>
  <c r="B181" i="3"/>
  <c r="Q180" i="3"/>
  <c r="O180" i="3"/>
  <c r="P180" i="3" s="1"/>
  <c r="N180" i="3"/>
  <c r="L180" i="3"/>
  <c r="K180" i="3"/>
  <c r="C180" i="3"/>
  <c r="B180" i="3"/>
  <c r="Q179" i="3"/>
  <c r="O179" i="3"/>
  <c r="P179" i="3" s="1"/>
  <c r="N179" i="3"/>
  <c r="L179" i="3"/>
  <c r="K179" i="3"/>
  <c r="C179" i="3"/>
  <c r="B179" i="3"/>
  <c r="Q178" i="3"/>
  <c r="O178" i="3"/>
  <c r="P178" i="3" s="1"/>
  <c r="N178" i="3"/>
  <c r="L178" i="3"/>
  <c r="K178" i="3"/>
  <c r="C178" i="3"/>
  <c r="B178" i="3"/>
  <c r="Q177" i="3"/>
  <c r="O177" i="3"/>
  <c r="P177" i="3" s="1"/>
  <c r="N177" i="3"/>
  <c r="L177" i="3"/>
  <c r="K177" i="3"/>
  <c r="C177" i="3"/>
  <c r="B177" i="3"/>
  <c r="Q176" i="3"/>
  <c r="O176" i="3"/>
  <c r="P176" i="3" s="1"/>
  <c r="N176" i="3"/>
  <c r="L176" i="3"/>
  <c r="K176" i="3"/>
  <c r="C176" i="3"/>
  <c r="B176" i="3"/>
  <c r="Q175" i="3"/>
  <c r="O175" i="3"/>
  <c r="P175" i="3" s="1"/>
  <c r="N175" i="3"/>
  <c r="L175" i="3"/>
  <c r="K175" i="3"/>
  <c r="C175" i="3"/>
  <c r="B175" i="3"/>
  <c r="Q174" i="3"/>
  <c r="O174" i="3"/>
  <c r="P174" i="3" s="1"/>
  <c r="N174" i="3"/>
  <c r="L174" i="3"/>
  <c r="K174" i="3"/>
  <c r="C174" i="3"/>
  <c r="B174" i="3"/>
  <c r="Q173" i="3"/>
  <c r="O173" i="3"/>
  <c r="P173" i="3" s="1"/>
  <c r="N173" i="3"/>
  <c r="L173" i="3"/>
  <c r="K173" i="3"/>
  <c r="C173" i="3"/>
  <c r="B173" i="3"/>
  <c r="Q172" i="3"/>
  <c r="O172" i="3"/>
  <c r="P172" i="3" s="1"/>
  <c r="N172" i="3"/>
  <c r="L172" i="3"/>
  <c r="K172" i="3"/>
  <c r="C172" i="3"/>
  <c r="B172" i="3"/>
  <c r="Q171" i="3"/>
  <c r="O171" i="3"/>
  <c r="P171" i="3" s="1"/>
  <c r="N171" i="3"/>
  <c r="L171" i="3"/>
  <c r="K171" i="3"/>
  <c r="C171" i="3"/>
  <c r="B171" i="3"/>
  <c r="Q170" i="3"/>
  <c r="O170" i="3"/>
  <c r="P170" i="3" s="1"/>
  <c r="N170" i="3"/>
  <c r="L170" i="3"/>
  <c r="K170" i="3"/>
  <c r="C170" i="3"/>
  <c r="B170" i="3"/>
  <c r="Q169" i="3"/>
  <c r="O169" i="3"/>
  <c r="P169" i="3" s="1"/>
  <c r="N169" i="3"/>
  <c r="L169" i="3"/>
  <c r="K169" i="3"/>
  <c r="C169" i="3"/>
  <c r="B169" i="3"/>
  <c r="Q168" i="3"/>
  <c r="O168" i="3"/>
  <c r="P168" i="3" s="1"/>
  <c r="N168" i="3"/>
  <c r="L168" i="3"/>
  <c r="K168" i="3"/>
  <c r="C168" i="3"/>
  <c r="B168" i="3"/>
  <c r="Q167" i="3"/>
  <c r="O167" i="3"/>
  <c r="P167" i="3" s="1"/>
  <c r="N167" i="3"/>
  <c r="L167" i="3"/>
  <c r="K167" i="3"/>
  <c r="C167" i="3"/>
  <c r="B167" i="3"/>
  <c r="Q166" i="3"/>
  <c r="O166" i="3"/>
  <c r="P166" i="3" s="1"/>
  <c r="N166" i="3"/>
  <c r="L166" i="3"/>
  <c r="K166" i="3"/>
  <c r="C166" i="3"/>
  <c r="B166" i="3"/>
  <c r="Q165" i="3"/>
  <c r="O165" i="3"/>
  <c r="P165" i="3" s="1"/>
  <c r="N165" i="3"/>
  <c r="L165" i="3"/>
  <c r="K165" i="3"/>
  <c r="C165" i="3"/>
  <c r="B165" i="3"/>
  <c r="Q164" i="3"/>
  <c r="O164" i="3"/>
  <c r="P164" i="3" s="1"/>
  <c r="N164" i="3"/>
  <c r="L164" i="3"/>
  <c r="K164" i="3"/>
  <c r="C164" i="3"/>
  <c r="B164" i="3"/>
  <c r="Q163" i="3"/>
  <c r="O163" i="3"/>
  <c r="P163" i="3" s="1"/>
  <c r="N163" i="3"/>
  <c r="L163" i="3"/>
  <c r="K163" i="3"/>
  <c r="C163" i="3"/>
  <c r="B163" i="3"/>
  <c r="Q162" i="3"/>
  <c r="O162" i="3"/>
  <c r="P162" i="3" s="1"/>
  <c r="N162" i="3"/>
  <c r="L162" i="3"/>
  <c r="K162" i="3"/>
  <c r="C162" i="3"/>
  <c r="B162" i="3"/>
  <c r="Q161" i="3"/>
  <c r="O161" i="3"/>
  <c r="P161" i="3" s="1"/>
  <c r="N161" i="3"/>
  <c r="L161" i="3"/>
  <c r="K161" i="3"/>
  <c r="C161" i="3"/>
  <c r="B161" i="3"/>
  <c r="Q160" i="3"/>
  <c r="O160" i="3"/>
  <c r="P160" i="3" s="1"/>
  <c r="N160" i="3"/>
  <c r="L160" i="3"/>
  <c r="K160" i="3"/>
  <c r="C160" i="3"/>
  <c r="B160" i="3"/>
  <c r="Q159" i="3"/>
  <c r="O159" i="3"/>
  <c r="P159" i="3" s="1"/>
  <c r="N159" i="3"/>
  <c r="L159" i="3"/>
  <c r="K159" i="3"/>
  <c r="C159" i="3"/>
  <c r="B159" i="3"/>
  <c r="Q158" i="3"/>
  <c r="O158" i="3"/>
  <c r="P158" i="3" s="1"/>
  <c r="N158" i="3"/>
  <c r="L158" i="3"/>
  <c r="K158" i="3"/>
  <c r="C158" i="3"/>
  <c r="B158" i="3"/>
  <c r="Q157" i="3"/>
  <c r="O157" i="3"/>
  <c r="P157" i="3" s="1"/>
  <c r="N157" i="3"/>
  <c r="L157" i="3"/>
  <c r="K157" i="3"/>
  <c r="C157" i="3"/>
  <c r="B157" i="3"/>
  <c r="Q156" i="3"/>
  <c r="O156" i="3"/>
  <c r="P156" i="3" s="1"/>
  <c r="N156" i="3"/>
  <c r="L156" i="3"/>
  <c r="K156" i="3"/>
  <c r="C156" i="3"/>
  <c r="B156" i="3"/>
  <c r="Q155" i="3"/>
  <c r="O155" i="3"/>
  <c r="P155" i="3" s="1"/>
  <c r="N155" i="3"/>
  <c r="L155" i="3"/>
  <c r="K155" i="3"/>
  <c r="C155" i="3"/>
  <c r="B155" i="3"/>
  <c r="Q154" i="3"/>
  <c r="O154" i="3"/>
  <c r="P154" i="3" s="1"/>
  <c r="N154" i="3"/>
  <c r="L154" i="3"/>
  <c r="K154" i="3"/>
  <c r="C154" i="3"/>
  <c r="B154" i="3"/>
  <c r="Q153" i="3"/>
  <c r="O153" i="3"/>
  <c r="P153" i="3" s="1"/>
  <c r="N153" i="3"/>
  <c r="L153" i="3"/>
  <c r="K153" i="3"/>
  <c r="C153" i="3"/>
  <c r="B153" i="3"/>
  <c r="Q152" i="3"/>
  <c r="O152" i="3"/>
  <c r="P152" i="3" s="1"/>
  <c r="N152" i="3"/>
  <c r="L152" i="3"/>
  <c r="K152" i="3"/>
  <c r="C152" i="3"/>
  <c r="B152" i="3"/>
  <c r="Q151" i="3"/>
  <c r="O151" i="3"/>
  <c r="P151" i="3" s="1"/>
  <c r="N151" i="3"/>
  <c r="L151" i="3"/>
  <c r="K151" i="3"/>
  <c r="C151" i="3"/>
  <c r="B151" i="3"/>
  <c r="Q150" i="3"/>
  <c r="O150" i="3"/>
  <c r="P150" i="3" s="1"/>
  <c r="N150" i="3"/>
  <c r="L150" i="3"/>
  <c r="K150" i="3"/>
  <c r="C150" i="3"/>
  <c r="B150" i="3"/>
  <c r="Q149" i="3"/>
  <c r="O149" i="3"/>
  <c r="P149" i="3" s="1"/>
  <c r="N149" i="3"/>
  <c r="L149" i="3"/>
  <c r="K149" i="3"/>
  <c r="C149" i="3"/>
  <c r="B149" i="3"/>
  <c r="Q148" i="3"/>
  <c r="O148" i="3"/>
  <c r="P148" i="3" s="1"/>
  <c r="N148" i="3"/>
  <c r="L148" i="3"/>
  <c r="K148" i="3"/>
  <c r="C148" i="3"/>
  <c r="B148" i="3"/>
  <c r="Q147" i="3"/>
  <c r="O147" i="3"/>
  <c r="P147" i="3" s="1"/>
  <c r="N147" i="3"/>
  <c r="L147" i="3"/>
  <c r="K147" i="3"/>
  <c r="C147" i="3"/>
  <c r="B147" i="3"/>
  <c r="Q146" i="3"/>
  <c r="O146" i="3"/>
  <c r="P146" i="3" s="1"/>
  <c r="N146" i="3"/>
  <c r="L146" i="3"/>
  <c r="K146" i="3"/>
  <c r="C146" i="3"/>
  <c r="B146" i="3"/>
  <c r="Q145" i="3"/>
  <c r="O145" i="3"/>
  <c r="P145" i="3" s="1"/>
  <c r="N145" i="3"/>
  <c r="L145" i="3"/>
  <c r="K145" i="3"/>
  <c r="C145" i="3"/>
  <c r="B145" i="3"/>
  <c r="Q144" i="3"/>
  <c r="O144" i="3"/>
  <c r="P144" i="3" s="1"/>
  <c r="N144" i="3"/>
  <c r="L144" i="3"/>
  <c r="K144" i="3"/>
  <c r="C144" i="3"/>
  <c r="B144" i="3"/>
  <c r="Q143" i="3"/>
  <c r="O143" i="3"/>
  <c r="P143" i="3" s="1"/>
  <c r="N143" i="3"/>
  <c r="L143" i="3"/>
  <c r="K143" i="3"/>
  <c r="C143" i="3"/>
  <c r="B143" i="3"/>
  <c r="Q142" i="3"/>
  <c r="O142" i="3"/>
  <c r="P142" i="3" s="1"/>
  <c r="N142" i="3"/>
  <c r="L142" i="3"/>
  <c r="K142" i="3"/>
  <c r="C142" i="3"/>
  <c r="B142" i="3"/>
  <c r="Q141" i="3"/>
  <c r="O141" i="3"/>
  <c r="P141" i="3" s="1"/>
  <c r="N141" i="3"/>
  <c r="L141" i="3"/>
  <c r="K141" i="3"/>
  <c r="C141" i="3"/>
  <c r="B141" i="3"/>
  <c r="Q140" i="3"/>
  <c r="O140" i="3"/>
  <c r="P140" i="3" s="1"/>
  <c r="N140" i="3"/>
  <c r="L140" i="3"/>
  <c r="K140" i="3"/>
  <c r="C140" i="3"/>
  <c r="B140" i="3"/>
  <c r="Q139" i="3"/>
  <c r="O139" i="3"/>
  <c r="P139" i="3" s="1"/>
  <c r="N139" i="3"/>
  <c r="L139" i="3"/>
  <c r="K139" i="3"/>
  <c r="C139" i="3"/>
  <c r="B139" i="3"/>
  <c r="Q138" i="3"/>
  <c r="O138" i="3"/>
  <c r="P138" i="3" s="1"/>
  <c r="N138" i="3"/>
  <c r="L138" i="3"/>
  <c r="K138" i="3"/>
  <c r="C138" i="3"/>
  <c r="B138" i="3"/>
  <c r="Q137" i="3"/>
  <c r="O137" i="3"/>
  <c r="P137" i="3" s="1"/>
  <c r="N137" i="3"/>
  <c r="L137" i="3"/>
  <c r="K137" i="3"/>
  <c r="C137" i="3"/>
  <c r="B137" i="3"/>
  <c r="Q136" i="3"/>
  <c r="O136" i="3"/>
  <c r="P136" i="3" s="1"/>
  <c r="N136" i="3"/>
  <c r="L136" i="3"/>
  <c r="K136" i="3"/>
  <c r="C136" i="3"/>
  <c r="B136" i="3"/>
  <c r="Q135" i="3"/>
  <c r="O135" i="3"/>
  <c r="P135" i="3" s="1"/>
  <c r="N135" i="3"/>
  <c r="L135" i="3"/>
  <c r="K135" i="3"/>
  <c r="C135" i="3"/>
  <c r="B135" i="3"/>
  <c r="Q134" i="3"/>
  <c r="O134" i="3"/>
  <c r="P134" i="3" s="1"/>
  <c r="N134" i="3"/>
  <c r="L134" i="3"/>
  <c r="K134" i="3"/>
  <c r="C134" i="3"/>
  <c r="B134" i="3"/>
  <c r="Q133" i="3"/>
  <c r="O133" i="3"/>
  <c r="P133" i="3" s="1"/>
  <c r="N133" i="3"/>
  <c r="L133" i="3"/>
  <c r="K133" i="3"/>
  <c r="C133" i="3"/>
  <c r="B133" i="3"/>
  <c r="Q132" i="3"/>
  <c r="O132" i="3"/>
  <c r="P132" i="3" s="1"/>
  <c r="N132" i="3"/>
  <c r="L132" i="3"/>
  <c r="K132" i="3"/>
  <c r="C132" i="3"/>
  <c r="B132" i="3"/>
  <c r="Q131" i="3"/>
  <c r="O131" i="3"/>
  <c r="P131" i="3" s="1"/>
  <c r="N131" i="3"/>
  <c r="L131" i="3"/>
  <c r="K131" i="3"/>
  <c r="C131" i="3"/>
  <c r="B131" i="3"/>
  <c r="Q130" i="3"/>
  <c r="O130" i="3"/>
  <c r="P130" i="3" s="1"/>
  <c r="N130" i="3"/>
  <c r="L130" i="3"/>
  <c r="K130" i="3"/>
  <c r="C130" i="3"/>
  <c r="B130" i="3"/>
  <c r="Q129" i="3"/>
  <c r="O129" i="3"/>
  <c r="P129" i="3" s="1"/>
  <c r="N129" i="3"/>
  <c r="L129" i="3"/>
  <c r="K129" i="3"/>
  <c r="C129" i="3"/>
  <c r="B129" i="3"/>
  <c r="Q128" i="3"/>
  <c r="O128" i="3"/>
  <c r="P128" i="3" s="1"/>
  <c r="N128" i="3"/>
  <c r="L128" i="3"/>
  <c r="K128" i="3"/>
  <c r="C128" i="3"/>
  <c r="B128" i="3"/>
  <c r="Q127" i="3"/>
  <c r="O127" i="3"/>
  <c r="P127" i="3" s="1"/>
  <c r="N127" i="3"/>
  <c r="L127" i="3"/>
  <c r="K127" i="3"/>
  <c r="C127" i="3"/>
  <c r="B127" i="3"/>
  <c r="Q126" i="3"/>
  <c r="O126" i="3"/>
  <c r="P126" i="3" s="1"/>
  <c r="N126" i="3"/>
  <c r="L126" i="3"/>
  <c r="K126" i="3"/>
  <c r="C126" i="3"/>
  <c r="B126" i="3"/>
  <c r="Q125" i="3"/>
  <c r="O125" i="3"/>
  <c r="P125" i="3" s="1"/>
  <c r="N125" i="3"/>
  <c r="L125" i="3"/>
  <c r="K125" i="3"/>
  <c r="C125" i="3"/>
  <c r="B125" i="3"/>
  <c r="Q124" i="3"/>
  <c r="O124" i="3"/>
  <c r="P124" i="3" s="1"/>
  <c r="N124" i="3"/>
  <c r="L124" i="3"/>
  <c r="K124" i="3"/>
  <c r="C124" i="3"/>
  <c r="B124" i="3"/>
  <c r="Q123" i="3"/>
  <c r="O123" i="3"/>
  <c r="P123" i="3" s="1"/>
  <c r="N123" i="3"/>
  <c r="L123" i="3"/>
  <c r="K123" i="3"/>
  <c r="C123" i="3"/>
  <c r="B123" i="3"/>
  <c r="Q122" i="3"/>
  <c r="O122" i="3"/>
  <c r="P122" i="3" s="1"/>
  <c r="N122" i="3"/>
  <c r="L122" i="3"/>
  <c r="K122" i="3"/>
  <c r="C122" i="3"/>
  <c r="B122" i="3"/>
  <c r="Q121" i="3"/>
  <c r="O121" i="3"/>
  <c r="P121" i="3" s="1"/>
  <c r="N121" i="3"/>
  <c r="L121" i="3"/>
  <c r="K121" i="3"/>
  <c r="C121" i="3"/>
  <c r="B121" i="3"/>
  <c r="Q120" i="3"/>
  <c r="O120" i="3"/>
  <c r="P120" i="3" s="1"/>
  <c r="N120" i="3"/>
  <c r="L120" i="3"/>
  <c r="K120" i="3"/>
  <c r="C120" i="3"/>
  <c r="B120" i="3"/>
  <c r="Q119" i="3"/>
  <c r="O119" i="3"/>
  <c r="P119" i="3" s="1"/>
  <c r="N119" i="3"/>
  <c r="L119" i="3"/>
  <c r="K119" i="3"/>
  <c r="C119" i="3"/>
  <c r="B119" i="3"/>
  <c r="Q118" i="3"/>
  <c r="O118" i="3"/>
  <c r="P118" i="3" s="1"/>
  <c r="N118" i="3"/>
  <c r="L118" i="3"/>
  <c r="K118" i="3"/>
  <c r="C118" i="3"/>
  <c r="B118" i="3"/>
  <c r="Q117" i="3"/>
  <c r="O117" i="3"/>
  <c r="P117" i="3" s="1"/>
  <c r="N117" i="3"/>
  <c r="L117" i="3"/>
  <c r="K117" i="3"/>
  <c r="C117" i="3"/>
  <c r="B117" i="3"/>
  <c r="Q116" i="3"/>
  <c r="O116" i="3"/>
  <c r="P116" i="3" s="1"/>
  <c r="N116" i="3"/>
  <c r="L116" i="3"/>
  <c r="K116" i="3"/>
  <c r="C116" i="3"/>
  <c r="B116" i="3"/>
  <c r="Q115" i="3"/>
  <c r="O115" i="3"/>
  <c r="P115" i="3" s="1"/>
  <c r="N115" i="3"/>
  <c r="L115" i="3"/>
  <c r="K115" i="3"/>
  <c r="C115" i="3"/>
  <c r="B115" i="3"/>
  <c r="Q114" i="3"/>
  <c r="O114" i="3"/>
  <c r="P114" i="3" s="1"/>
  <c r="N114" i="3"/>
  <c r="L114" i="3"/>
  <c r="K114" i="3"/>
  <c r="C114" i="3"/>
  <c r="B114" i="3"/>
  <c r="Q113" i="3"/>
  <c r="O113" i="3"/>
  <c r="P113" i="3" s="1"/>
  <c r="N113" i="3"/>
  <c r="L113" i="3"/>
  <c r="K113" i="3"/>
  <c r="C113" i="3"/>
  <c r="B113" i="3"/>
  <c r="Q112" i="3"/>
  <c r="O112" i="3"/>
  <c r="P112" i="3" s="1"/>
  <c r="N112" i="3"/>
  <c r="L112" i="3"/>
  <c r="K112" i="3"/>
  <c r="C112" i="3"/>
  <c r="B112" i="3"/>
  <c r="Q111" i="3"/>
  <c r="O111" i="3"/>
  <c r="P111" i="3" s="1"/>
  <c r="N111" i="3"/>
  <c r="L111" i="3"/>
  <c r="K111" i="3"/>
  <c r="C111" i="3"/>
  <c r="B111" i="3"/>
  <c r="Q110" i="3"/>
  <c r="O110" i="3"/>
  <c r="P110" i="3" s="1"/>
  <c r="N110" i="3"/>
  <c r="L110" i="3"/>
  <c r="K110" i="3"/>
  <c r="C110" i="3"/>
  <c r="B110" i="3"/>
  <c r="Q109" i="3"/>
  <c r="O109" i="3"/>
  <c r="P109" i="3" s="1"/>
  <c r="N109" i="3"/>
  <c r="L109" i="3"/>
  <c r="K109" i="3"/>
  <c r="C109" i="3"/>
  <c r="B109" i="3"/>
  <c r="Q108" i="3"/>
  <c r="O108" i="3"/>
  <c r="P108" i="3" s="1"/>
  <c r="N108" i="3"/>
  <c r="L108" i="3"/>
  <c r="K108" i="3"/>
  <c r="C108" i="3"/>
  <c r="B108" i="3"/>
  <c r="Q107" i="3"/>
  <c r="O107" i="3"/>
  <c r="P107" i="3" s="1"/>
  <c r="N107" i="3"/>
  <c r="L107" i="3"/>
  <c r="K107" i="3"/>
  <c r="C107" i="3"/>
  <c r="B107" i="3"/>
  <c r="Q106" i="3"/>
  <c r="O106" i="3"/>
  <c r="P106" i="3" s="1"/>
  <c r="N106" i="3"/>
  <c r="L106" i="3"/>
  <c r="K106" i="3"/>
  <c r="C106" i="3"/>
  <c r="B106" i="3"/>
  <c r="Q105" i="3"/>
  <c r="O105" i="3"/>
  <c r="P105" i="3" s="1"/>
  <c r="N105" i="3"/>
  <c r="L105" i="3"/>
  <c r="K105" i="3"/>
  <c r="C105" i="3"/>
  <c r="B105" i="3"/>
  <c r="Q104" i="3"/>
  <c r="O104" i="3"/>
  <c r="P104" i="3" s="1"/>
  <c r="N104" i="3"/>
  <c r="L104" i="3"/>
  <c r="K104" i="3"/>
  <c r="C104" i="3"/>
  <c r="B104" i="3"/>
  <c r="Q103" i="3"/>
  <c r="O103" i="3"/>
  <c r="P103" i="3" s="1"/>
  <c r="N103" i="3"/>
  <c r="L103" i="3"/>
  <c r="K103" i="3"/>
  <c r="C103" i="3"/>
  <c r="B103" i="3"/>
  <c r="Q102" i="3"/>
  <c r="N102" i="3"/>
  <c r="L102" i="3"/>
  <c r="K102" i="3"/>
  <c r="C102" i="3"/>
  <c r="B102" i="3"/>
  <c r="Q101" i="3"/>
  <c r="N101" i="3"/>
  <c r="L101" i="3"/>
  <c r="K101" i="3"/>
  <c r="C101" i="3"/>
  <c r="B101" i="3"/>
  <c r="Q100" i="3"/>
  <c r="O100" i="3"/>
  <c r="P100" i="3" s="1"/>
  <c r="N100" i="3"/>
  <c r="L100" i="3"/>
  <c r="K100" i="3"/>
  <c r="C100" i="3"/>
  <c r="B100" i="3"/>
  <c r="Q99" i="3"/>
  <c r="O99" i="3"/>
  <c r="P99" i="3" s="1"/>
  <c r="N99" i="3"/>
  <c r="L99" i="3"/>
  <c r="K99" i="3"/>
  <c r="C99" i="3"/>
  <c r="B99" i="3"/>
  <c r="Q98" i="3"/>
  <c r="O98" i="3"/>
  <c r="P98" i="3" s="1"/>
  <c r="N98" i="3"/>
  <c r="L98" i="3"/>
  <c r="K98" i="3"/>
  <c r="C98" i="3"/>
  <c r="B98" i="3"/>
  <c r="Q97" i="3"/>
  <c r="O97" i="3"/>
  <c r="P97" i="3" s="1"/>
  <c r="N97" i="3"/>
  <c r="L97" i="3"/>
  <c r="K97" i="3"/>
  <c r="C97" i="3"/>
  <c r="B97" i="3"/>
  <c r="Q96" i="3"/>
  <c r="O96" i="3"/>
  <c r="P96" i="3" s="1"/>
  <c r="N96" i="3"/>
  <c r="L96" i="3"/>
  <c r="K96" i="3"/>
  <c r="C96" i="3"/>
  <c r="B96" i="3"/>
  <c r="Q95" i="3"/>
  <c r="O95" i="3"/>
  <c r="P95" i="3" s="1"/>
  <c r="N95" i="3"/>
  <c r="L95" i="3"/>
  <c r="K95" i="3"/>
  <c r="C95" i="3"/>
  <c r="B95" i="3"/>
  <c r="Q94" i="3"/>
  <c r="O94" i="3"/>
  <c r="P94" i="3" s="1"/>
  <c r="N94" i="3"/>
  <c r="L94" i="3"/>
  <c r="K94" i="3"/>
  <c r="C94" i="3"/>
  <c r="B94" i="3"/>
  <c r="Q93" i="3"/>
  <c r="O93" i="3"/>
  <c r="P93" i="3" s="1"/>
  <c r="N93" i="3"/>
  <c r="L93" i="3"/>
  <c r="K93" i="3"/>
  <c r="C93" i="3"/>
  <c r="B93" i="3"/>
  <c r="Q92" i="3"/>
  <c r="O92" i="3"/>
  <c r="P92" i="3" s="1"/>
  <c r="N92" i="3"/>
  <c r="L92" i="3"/>
  <c r="K92" i="3"/>
  <c r="C92" i="3"/>
  <c r="B92" i="3"/>
  <c r="Q91" i="3"/>
  <c r="O91" i="3"/>
  <c r="P91" i="3" s="1"/>
  <c r="N91" i="3"/>
  <c r="L91" i="3"/>
  <c r="K91" i="3"/>
  <c r="C91" i="3"/>
  <c r="B91" i="3"/>
  <c r="Q90" i="3"/>
  <c r="O90" i="3"/>
  <c r="P90" i="3" s="1"/>
  <c r="N90" i="3"/>
  <c r="L90" i="3"/>
  <c r="K90" i="3"/>
  <c r="C90" i="3"/>
  <c r="B90" i="3"/>
  <c r="Q89" i="3"/>
  <c r="O89" i="3"/>
  <c r="P89" i="3" s="1"/>
  <c r="N89" i="3"/>
  <c r="L89" i="3"/>
  <c r="K89" i="3"/>
  <c r="C89" i="3"/>
  <c r="B89" i="3"/>
  <c r="Q88" i="3"/>
  <c r="O88" i="3"/>
  <c r="P88" i="3" s="1"/>
  <c r="N88" i="3"/>
  <c r="L88" i="3"/>
  <c r="K88" i="3"/>
  <c r="C88" i="3"/>
  <c r="B88" i="3"/>
  <c r="Q87" i="3"/>
  <c r="O87" i="3"/>
  <c r="P87" i="3" s="1"/>
  <c r="N87" i="3"/>
  <c r="L87" i="3"/>
  <c r="K87" i="3"/>
  <c r="C87" i="3"/>
  <c r="B87" i="3"/>
  <c r="Q86" i="3"/>
  <c r="O86" i="3"/>
  <c r="P86" i="3" s="1"/>
  <c r="N86" i="3"/>
  <c r="L86" i="3"/>
  <c r="K86" i="3"/>
  <c r="C86" i="3"/>
  <c r="B86" i="3"/>
  <c r="Q85" i="3"/>
  <c r="O85" i="3"/>
  <c r="P85" i="3" s="1"/>
  <c r="N85" i="3"/>
  <c r="L85" i="3"/>
  <c r="K85" i="3"/>
  <c r="C85" i="3"/>
  <c r="B85" i="3"/>
  <c r="Q84" i="3"/>
  <c r="O84" i="3"/>
  <c r="P84" i="3" s="1"/>
  <c r="N84" i="3"/>
  <c r="L84" i="3"/>
  <c r="K84" i="3"/>
  <c r="C84" i="3"/>
  <c r="B84" i="3"/>
  <c r="Q83" i="3"/>
  <c r="O83" i="3"/>
  <c r="P83" i="3" s="1"/>
  <c r="N83" i="3"/>
  <c r="L83" i="3"/>
  <c r="K83" i="3"/>
  <c r="C83" i="3"/>
  <c r="B83" i="3"/>
  <c r="Q82" i="3"/>
  <c r="O82" i="3"/>
  <c r="P82" i="3" s="1"/>
  <c r="N82" i="3"/>
  <c r="L82" i="3"/>
  <c r="K82" i="3"/>
  <c r="C82" i="3"/>
  <c r="B82" i="3"/>
  <c r="Q81" i="3"/>
  <c r="O81" i="3"/>
  <c r="P81" i="3" s="1"/>
  <c r="N81" i="3"/>
  <c r="L81" i="3"/>
  <c r="K81" i="3"/>
  <c r="C81" i="3"/>
  <c r="B81" i="3"/>
  <c r="Q80" i="3"/>
  <c r="O80" i="3"/>
  <c r="P80" i="3" s="1"/>
  <c r="N80" i="3"/>
  <c r="L80" i="3"/>
  <c r="K80" i="3"/>
  <c r="C80" i="3"/>
  <c r="B80" i="3"/>
  <c r="Q79" i="3"/>
  <c r="O79" i="3"/>
  <c r="P79" i="3" s="1"/>
  <c r="N79" i="3"/>
  <c r="L79" i="3"/>
  <c r="K79" i="3"/>
  <c r="C79" i="3"/>
  <c r="B79" i="3"/>
  <c r="Q78" i="3"/>
  <c r="O78" i="3"/>
  <c r="P78" i="3" s="1"/>
  <c r="N78" i="3"/>
  <c r="L78" i="3"/>
  <c r="K78" i="3"/>
  <c r="C78" i="3"/>
  <c r="B78" i="3"/>
  <c r="Q77" i="3"/>
  <c r="O77" i="3"/>
  <c r="P77" i="3" s="1"/>
  <c r="N77" i="3"/>
  <c r="L77" i="3"/>
  <c r="K77" i="3"/>
  <c r="C77" i="3"/>
  <c r="B77" i="3"/>
  <c r="Q76" i="3"/>
  <c r="O76" i="3"/>
  <c r="P76" i="3" s="1"/>
  <c r="N76" i="3"/>
  <c r="L76" i="3"/>
  <c r="K76" i="3"/>
  <c r="C76" i="3"/>
  <c r="B76" i="3"/>
  <c r="Q75" i="3"/>
  <c r="O75" i="3"/>
  <c r="P75" i="3" s="1"/>
  <c r="N75" i="3"/>
  <c r="L75" i="3"/>
  <c r="K75" i="3"/>
  <c r="C75" i="3"/>
  <c r="B75" i="3"/>
  <c r="Q74" i="3"/>
  <c r="O74" i="3"/>
  <c r="P74" i="3" s="1"/>
  <c r="N74" i="3"/>
  <c r="L74" i="3"/>
  <c r="K74" i="3"/>
  <c r="C74" i="3"/>
  <c r="B74" i="3"/>
  <c r="Q73" i="3"/>
  <c r="O73" i="3"/>
  <c r="P73" i="3" s="1"/>
  <c r="N73" i="3"/>
  <c r="L73" i="3"/>
  <c r="K73" i="3"/>
  <c r="C73" i="3"/>
  <c r="B73" i="3"/>
  <c r="Q72" i="3"/>
  <c r="O72" i="3"/>
  <c r="P72" i="3" s="1"/>
  <c r="N72" i="3"/>
  <c r="L72" i="3"/>
  <c r="K72" i="3"/>
  <c r="C72" i="3"/>
  <c r="B72" i="3"/>
  <c r="Q71" i="3"/>
  <c r="O71" i="3"/>
  <c r="P71" i="3" s="1"/>
  <c r="N71" i="3"/>
  <c r="L71" i="3"/>
  <c r="K71" i="3"/>
  <c r="C71" i="3"/>
  <c r="B71" i="3"/>
  <c r="Q70" i="3"/>
  <c r="O70" i="3"/>
  <c r="P70" i="3" s="1"/>
  <c r="N70" i="3"/>
  <c r="L70" i="3"/>
  <c r="K70" i="3"/>
  <c r="C70" i="3"/>
  <c r="B70" i="3"/>
  <c r="Q69" i="3"/>
  <c r="O69" i="3"/>
  <c r="P69" i="3" s="1"/>
  <c r="N69" i="3"/>
  <c r="L69" i="3"/>
  <c r="K69" i="3"/>
  <c r="C69" i="3"/>
  <c r="B69" i="3"/>
  <c r="Q68" i="3"/>
  <c r="O68" i="3"/>
  <c r="P68" i="3" s="1"/>
  <c r="N68" i="3"/>
  <c r="L68" i="3"/>
  <c r="K68" i="3"/>
  <c r="C68" i="3"/>
  <c r="B68" i="3"/>
  <c r="Q67" i="3"/>
  <c r="O67" i="3"/>
  <c r="P67" i="3" s="1"/>
  <c r="N67" i="3"/>
  <c r="L67" i="3"/>
  <c r="K67" i="3"/>
  <c r="C67" i="3"/>
  <c r="B67" i="3"/>
  <c r="Q66" i="3"/>
  <c r="O66" i="3"/>
  <c r="P66" i="3" s="1"/>
  <c r="N66" i="3"/>
  <c r="L66" i="3"/>
  <c r="K66" i="3"/>
  <c r="C66" i="3"/>
  <c r="B66" i="3"/>
  <c r="Q65" i="3"/>
  <c r="O65" i="3"/>
  <c r="P65" i="3" s="1"/>
  <c r="N65" i="3"/>
  <c r="L65" i="3"/>
  <c r="K65" i="3"/>
  <c r="C65" i="3"/>
  <c r="B65" i="3"/>
  <c r="Q64" i="3"/>
  <c r="O64" i="3"/>
  <c r="P64" i="3" s="1"/>
  <c r="N64" i="3"/>
  <c r="L64" i="3"/>
  <c r="K64" i="3"/>
  <c r="C64" i="3"/>
  <c r="B64" i="3"/>
  <c r="Q63" i="3"/>
  <c r="O63" i="3"/>
  <c r="P63" i="3" s="1"/>
  <c r="N63" i="3"/>
  <c r="L63" i="3"/>
  <c r="K63" i="3"/>
  <c r="C63" i="3"/>
  <c r="B63" i="3"/>
  <c r="Q62" i="3"/>
  <c r="O62" i="3"/>
  <c r="P62" i="3" s="1"/>
  <c r="N62" i="3"/>
  <c r="L62" i="3"/>
  <c r="K62" i="3"/>
  <c r="C62" i="3"/>
  <c r="B62" i="3"/>
  <c r="Q61" i="3"/>
  <c r="O61" i="3"/>
  <c r="P61" i="3" s="1"/>
  <c r="N61" i="3"/>
  <c r="L61" i="3"/>
  <c r="K61" i="3"/>
  <c r="C61" i="3"/>
  <c r="B61" i="3"/>
  <c r="Q60" i="3"/>
  <c r="O60" i="3"/>
  <c r="P60" i="3" s="1"/>
  <c r="N60" i="3"/>
  <c r="L60" i="3"/>
  <c r="K60" i="3"/>
  <c r="C60" i="3"/>
  <c r="B60" i="3"/>
  <c r="Q59" i="3"/>
  <c r="O59" i="3"/>
  <c r="P59" i="3" s="1"/>
  <c r="N59" i="3"/>
  <c r="L59" i="3"/>
  <c r="K59" i="3"/>
  <c r="C59" i="3"/>
  <c r="B59" i="3"/>
  <c r="Q58" i="3"/>
  <c r="O58" i="3"/>
  <c r="P58" i="3" s="1"/>
  <c r="N58" i="3"/>
  <c r="L58" i="3"/>
  <c r="K58" i="3"/>
  <c r="C58" i="3"/>
  <c r="B58" i="3"/>
  <c r="Q57" i="3"/>
  <c r="O57" i="3"/>
  <c r="P57" i="3" s="1"/>
  <c r="N57" i="3"/>
  <c r="L57" i="3"/>
  <c r="K57" i="3"/>
  <c r="C57" i="3"/>
  <c r="B57" i="3"/>
  <c r="Q56" i="3"/>
  <c r="O56" i="3"/>
  <c r="P56" i="3" s="1"/>
  <c r="N56" i="3"/>
  <c r="L56" i="3"/>
  <c r="K56" i="3"/>
  <c r="C56" i="3"/>
  <c r="B56" i="3"/>
  <c r="Q55" i="3"/>
  <c r="O55" i="3"/>
  <c r="P55" i="3" s="1"/>
  <c r="N55" i="3"/>
  <c r="L55" i="3"/>
  <c r="K55" i="3"/>
  <c r="C55" i="3"/>
  <c r="B55" i="3"/>
  <c r="Q54" i="3"/>
  <c r="O54" i="3"/>
  <c r="P54" i="3" s="1"/>
  <c r="N54" i="3"/>
  <c r="L54" i="3"/>
  <c r="K54" i="3"/>
  <c r="C54" i="3"/>
  <c r="B54" i="3"/>
  <c r="Q53" i="3"/>
  <c r="O53" i="3"/>
  <c r="P53" i="3" s="1"/>
  <c r="N53" i="3"/>
  <c r="L53" i="3"/>
  <c r="K53" i="3"/>
  <c r="C53" i="3"/>
  <c r="B53" i="3"/>
  <c r="Q52" i="3"/>
  <c r="O52" i="3"/>
  <c r="P52" i="3" s="1"/>
  <c r="N52" i="3"/>
  <c r="L52" i="3"/>
  <c r="K52" i="3"/>
  <c r="C52" i="3"/>
  <c r="B52" i="3"/>
  <c r="Q51" i="3"/>
  <c r="O51" i="3"/>
  <c r="P51" i="3" s="1"/>
  <c r="N51" i="3"/>
  <c r="L51" i="3"/>
  <c r="K51" i="3"/>
  <c r="C51" i="3"/>
  <c r="B51" i="3"/>
  <c r="Q50" i="3"/>
  <c r="O50" i="3"/>
  <c r="P50" i="3" s="1"/>
  <c r="N50" i="3"/>
  <c r="L50" i="3"/>
  <c r="K50" i="3"/>
  <c r="C50" i="3"/>
  <c r="B50" i="3"/>
  <c r="Q49" i="3"/>
  <c r="O49" i="3"/>
  <c r="P49" i="3" s="1"/>
  <c r="N49" i="3"/>
  <c r="L49" i="3"/>
  <c r="K49" i="3"/>
  <c r="C49" i="3"/>
  <c r="B49" i="3"/>
  <c r="Q48" i="3"/>
  <c r="O48" i="3"/>
  <c r="P48" i="3" s="1"/>
  <c r="N48" i="3"/>
  <c r="L48" i="3"/>
  <c r="K48" i="3"/>
  <c r="C48" i="3"/>
  <c r="B48" i="3"/>
  <c r="Q47" i="3"/>
  <c r="O47" i="3"/>
  <c r="P47" i="3" s="1"/>
  <c r="N47" i="3"/>
  <c r="L47" i="3"/>
  <c r="K47" i="3"/>
  <c r="C47" i="3"/>
  <c r="B47" i="3"/>
  <c r="Q46" i="3"/>
  <c r="O46" i="3"/>
  <c r="P46" i="3" s="1"/>
  <c r="N46" i="3"/>
  <c r="L46" i="3"/>
  <c r="K46" i="3"/>
  <c r="C46" i="3"/>
  <c r="B46" i="3"/>
  <c r="Q45" i="3"/>
  <c r="O45" i="3"/>
  <c r="P45" i="3" s="1"/>
  <c r="N45" i="3"/>
  <c r="L45" i="3"/>
  <c r="K45" i="3"/>
  <c r="C45" i="3"/>
  <c r="B45" i="3"/>
  <c r="Q44" i="3"/>
  <c r="O44" i="3"/>
  <c r="P44" i="3" s="1"/>
  <c r="N44" i="3"/>
  <c r="L44" i="3"/>
  <c r="K44" i="3"/>
  <c r="C44" i="3"/>
  <c r="B44" i="3"/>
  <c r="Q43" i="3"/>
  <c r="O43" i="3"/>
  <c r="P43" i="3" s="1"/>
  <c r="N43" i="3"/>
  <c r="L43" i="3"/>
  <c r="K43" i="3"/>
  <c r="C43" i="3"/>
  <c r="B43" i="3"/>
  <c r="O42" i="3"/>
  <c r="P42" i="3" s="1"/>
  <c r="L42" i="3"/>
  <c r="K42" i="3"/>
  <c r="C42" i="3"/>
  <c r="B42" i="3"/>
  <c r="O41" i="3"/>
  <c r="P41" i="3" s="1"/>
  <c r="L41" i="3"/>
  <c r="K41" i="3"/>
  <c r="C41" i="3"/>
  <c r="B41" i="3"/>
  <c r="O40" i="3"/>
  <c r="P40" i="3" s="1"/>
  <c r="L40" i="3"/>
  <c r="K40" i="3"/>
  <c r="C40" i="3"/>
  <c r="B40" i="3"/>
  <c r="O39" i="3"/>
  <c r="P39" i="3" s="1"/>
  <c r="L39" i="3"/>
  <c r="K39" i="3"/>
  <c r="C39" i="3"/>
  <c r="B39" i="3"/>
  <c r="O38" i="3"/>
  <c r="P38" i="3" s="1"/>
  <c r="L38" i="3"/>
  <c r="K38" i="3"/>
  <c r="C38" i="3"/>
  <c r="B38" i="3"/>
  <c r="O37" i="3"/>
  <c r="P37" i="3" s="1"/>
  <c r="M37" i="3"/>
  <c r="Q37" i="3" s="1"/>
  <c r="L37" i="3"/>
  <c r="K37" i="3"/>
  <c r="C37" i="3"/>
  <c r="B37" i="3"/>
  <c r="O36" i="3"/>
  <c r="P36" i="3" s="1"/>
  <c r="N36" i="3"/>
  <c r="M36" i="3"/>
  <c r="Q36" i="3" s="1"/>
  <c r="L36" i="3"/>
  <c r="K36" i="3"/>
  <c r="C36" i="3"/>
  <c r="B36" i="3"/>
  <c r="Q35" i="3"/>
  <c r="O35" i="3"/>
  <c r="P35" i="3" s="1"/>
  <c r="N35" i="3"/>
  <c r="L35" i="3"/>
  <c r="K35" i="3"/>
  <c r="C35" i="3"/>
  <c r="B35" i="3"/>
  <c r="Q34" i="3"/>
  <c r="O34" i="3"/>
  <c r="P34" i="3" s="1"/>
  <c r="N34" i="3"/>
  <c r="L34" i="3"/>
  <c r="K34" i="3"/>
  <c r="C34" i="3"/>
  <c r="B34" i="3"/>
  <c r="Q33" i="3"/>
  <c r="O33" i="3"/>
  <c r="P33" i="3" s="1"/>
  <c r="N33" i="3"/>
  <c r="L33" i="3"/>
  <c r="K33" i="3"/>
  <c r="C33" i="3"/>
  <c r="B33" i="3"/>
  <c r="Q32" i="3"/>
  <c r="O32" i="3"/>
  <c r="P32" i="3" s="1"/>
  <c r="N32" i="3"/>
  <c r="L32" i="3"/>
  <c r="K32" i="3"/>
  <c r="C32" i="3"/>
  <c r="B32" i="3"/>
  <c r="Q31" i="3"/>
  <c r="O31" i="3"/>
  <c r="P31" i="3" s="1"/>
  <c r="N31" i="3"/>
  <c r="L31" i="3"/>
  <c r="K31" i="3"/>
  <c r="C31" i="3"/>
  <c r="B31" i="3"/>
  <c r="Q30" i="3"/>
  <c r="O30" i="3"/>
  <c r="P30" i="3" s="1"/>
  <c r="N30" i="3"/>
  <c r="L30" i="3"/>
  <c r="K30" i="3"/>
  <c r="C30" i="3"/>
  <c r="B30" i="3"/>
  <c r="Q29" i="3"/>
  <c r="O29" i="3"/>
  <c r="P29" i="3" s="1"/>
  <c r="N29" i="3"/>
  <c r="L29" i="3"/>
  <c r="K29" i="3"/>
  <c r="C29" i="3"/>
  <c r="B29" i="3"/>
  <c r="Q28" i="3"/>
  <c r="O28" i="3"/>
  <c r="P28" i="3" s="1"/>
  <c r="N28" i="3"/>
  <c r="L28" i="3"/>
  <c r="K28" i="3"/>
  <c r="C28" i="3"/>
  <c r="B28" i="3"/>
  <c r="Q27" i="3"/>
  <c r="O27" i="3"/>
  <c r="P27" i="3" s="1"/>
  <c r="N27" i="3"/>
  <c r="L27" i="3"/>
  <c r="K27" i="3"/>
  <c r="C27" i="3"/>
  <c r="B27" i="3"/>
  <c r="Q26" i="3"/>
  <c r="O26" i="3"/>
  <c r="P26" i="3" s="1"/>
  <c r="N26" i="3"/>
  <c r="L26" i="3"/>
  <c r="K26" i="3"/>
  <c r="C26" i="3"/>
  <c r="B26" i="3"/>
  <c r="Q25" i="3"/>
  <c r="O25" i="3"/>
  <c r="P25" i="3" s="1"/>
  <c r="N25" i="3"/>
  <c r="L25" i="3"/>
  <c r="K25" i="3"/>
  <c r="C25" i="3"/>
  <c r="B25" i="3"/>
  <c r="Q24" i="3"/>
  <c r="O24" i="3"/>
  <c r="P24" i="3" s="1"/>
  <c r="N24" i="3"/>
  <c r="L24" i="3"/>
  <c r="K24" i="3"/>
  <c r="C24" i="3"/>
  <c r="B24" i="3"/>
  <c r="Q23" i="3"/>
  <c r="O23" i="3"/>
  <c r="P23" i="3" s="1"/>
  <c r="N23" i="3"/>
  <c r="L23" i="3"/>
  <c r="K23" i="3"/>
  <c r="C23" i="3"/>
  <c r="B23" i="3"/>
  <c r="Q22" i="3"/>
  <c r="O22" i="3"/>
  <c r="P22" i="3" s="1"/>
  <c r="N22" i="3"/>
  <c r="L22" i="3"/>
  <c r="K22" i="3"/>
  <c r="C22" i="3"/>
  <c r="B22" i="3"/>
  <c r="Q21" i="3"/>
  <c r="O21" i="3"/>
  <c r="P21" i="3" s="1"/>
  <c r="N21" i="3"/>
  <c r="L21" i="3"/>
  <c r="K21" i="3"/>
  <c r="C21" i="3"/>
  <c r="B21" i="3"/>
  <c r="Q20" i="3"/>
  <c r="O20" i="3"/>
  <c r="P20" i="3" s="1"/>
  <c r="N20" i="3"/>
  <c r="L20" i="3"/>
  <c r="K20" i="3"/>
  <c r="C20" i="3"/>
  <c r="B20" i="3"/>
  <c r="Q19" i="3"/>
  <c r="O19" i="3"/>
  <c r="P19" i="3" s="1"/>
  <c r="N19" i="3"/>
  <c r="L19" i="3"/>
  <c r="K19" i="3"/>
  <c r="C19" i="3"/>
  <c r="B19" i="3"/>
  <c r="Q18" i="3"/>
  <c r="O18" i="3"/>
  <c r="P18" i="3" s="1"/>
  <c r="N18" i="3"/>
  <c r="L18" i="3"/>
  <c r="K18" i="3"/>
  <c r="C18" i="3"/>
  <c r="B18" i="3"/>
  <c r="Q17" i="3"/>
  <c r="O17" i="3"/>
  <c r="P17" i="3" s="1"/>
  <c r="N17" i="3"/>
  <c r="L17" i="3"/>
  <c r="K17" i="3"/>
  <c r="C17" i="3"/>
  <c r="B17" i="3"/>
  <c r="Q16" i="3"/>
  <c r="O16" i="3"/>
  <c r="P16" i="3" s="1"/>
  <c r="N16" i="3"/>
  <c r="L16" i="3"/>
  <c r="K16" i="3"/>
  <c r="C16" i="3"/>
  <c r="B16" i="3"/>
  <c r="Q15" i="3"/>
  <c r="O15" i="3"/>
  <c r="P15" i="3" s="1"/>
  <c r="N15" i="3"/>
  <c r="L15" i="3"/>
  <c r="K15" i="3"/>
  <c r="C15" i="3"/>
  <c r="B15" i="3"/>
  <c r="Q14" i="3"/>
  <c r="O14" i="3"/>
  <c r="P14" i="3" s="1"/>
  <c r="N14" i="3"/>
  <c r="L14" i="3"/>
  <c r="K14" i="3"/>
  <c r="C14" i="3"/>
  <c r="B14" i="3"/>
  <c r="Q13" i="3"/>
  <c r="O13" i="3"/>
  <c r="P13" i="3" s="1"/>
  <c r="N13" i="3"/>
  <c r="L13" i="3"/>
  <c r="K13" i="3"/>
  <c r="C13" i="3"/>
  <c r="B13" i="3"/>
  <c r="Q12" i="3"/>
  <c r="O12" i="3"/>
  <c r="P12" i="3" s="1"/>
  <c r="N12" i="3"/>
  <c r="L12" i="3"/>
  <c r="K12" i="3"/>
  <c r="C12" i="3"/>
  <c r="B12" i="3"/>
  <c r="Q11" i="3"/>
  <c r="O11" i="3"/>
  <c r="P11" i="3" s="1"/>
  <c r="N11" i="3"/>
  <c r="L11" i="3"/>
  <c r="K11" i="3"/>
  <c r="C11" i="3"/>
  <c r="B11" i="3"/>
  <c r="Q10" i="3"/>
  <c r="O10" i="3"/>
  <c r="P10" i="3" s="1"/>
  <c r="N10" i="3"/>
  <c r="L10" i="3"/>
  <c r="K10" i="3"/>
  <c r="C10" i="3"/>
  <c r="B10" i="3"/>
  <c r="Q9" i="3"/>
  <c r="O9" i="3"/>
  <c r="P9" i="3" s="1"/>
  <c r="N9" i="3"/>
  <c r="L9" i="3"/>
  <c r="K9" i="3"/>
  <c r="C9" i="3"/>
  <c r="B9" i="3"/>
  <c r="Q8" i="3"/>
  <c r="O8" i="3"/>
  <c r="P8" i="3" s="1"/>
  <c r="N8" i="3"/>
  <c r="L8" i="3"/>
  <c r="K8" i="3"/>
  <c r="C8" i="3"/>
  <c r="B8" i="3"/>
  <c r="Q7" i="3"/>
  <c r="O7" i="3"/>
  <c r="P7" i="3" s="1"/>
  <c r="N7" i="3"/>
  <c r="L7" i="3"/>
  <c r="K7" i="3"/>
  <c r="C7" i="3"/>
  <c r="B7" i="3"/>
  <c r="Q6" i="3"/>
  <c r="O6" i="3"/>
  <c r="P6" i="3" s="1"/>
  <c r="N6" i="3"/>
  <c r="L6" i="3"/>
  <c r="K6" i="3"/>
  <c r="C6" i="3"/>
  <c r="B6" i="3"/>
  <c r="Q5" i="3"/>
  <c r="O5" i="3"/>
  <c r="P5" i="3" s="1"/>
  <c r="N5" i="3"/>
  <c r="L5" i="3"/>
  <c r="K5" i="3"/>
  <c r="C5" i="3"/>
  <c r="B5" i="3"/>
  <c r="Q4" i="3"/>
  <c r="O4" i="3"/>
  <c r="P4" i="3" s="1"/>
  <c r="N4" i="3"/>
  <c r="L4" i="3"/>
  <c r="K4" i="3"/>
  <c r="C4" i="3"/>
  <c r="B4" i="3"/>
  <c r="Q3" i="3"/>
  <c r="O3" i="3"/>
  <c r="P3" i="3" s="1"/>
  <c r="N3" i="3"/>
  <c r="L3" i="3"/>
  <c r="K3" i="3"/>
  <c r="C3" i="3"/>
  <c r="B3" i="3"/>
  <c r="Q2" i="3"/>
  <c r="O2" i="3"/>
  <c r="P2" i="3" s="1"/>
  <c r="N2" i="3"/>
  <c r="L2" i="3"/>
  <c r="K2" i="3"/>
  <c r="C2" i="3"/>
  <c r="B2" i="3"/>
  <c r="G9" i="30"/>
  <c r="H9" i="30" s="1"/>
  <c r="I9" i="30" s="1"/>
  <c r="J9" i="30" s="1"/>
  <c r="G8" i="30"/>
  <c r="H8" i="30"/>
  <c r="I8" i="30" s="1"/>
  <c r="J8" i="30" s="1"/>
  <c r="H7" i="30"/>
  <c r="I7" i="30" s="1"/>
  <c r="J7" i="30" s="1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O61" i="29"/>
  <c r="O59" i="29"/>
  <c r="O58" i="29"/>
  <c r="O57" i="29"/>
  <c r="O55" i="29"/>
  <c r="O51" i="29"/>
  <c r="O50" i="29"/>
  <c r="O49" i="29"/>
  <c r="K6" i="30" l="1"/>
  <c r="Y3" i="8" s="1"/>
  <c r="I21" i="30"/>
  <c r="J21" i="30" s="1"/>
  <c r="K20" i="30" s="1"/>
  <c r="Y14" i="8" s="1"/>
  <c r="I16" i="30"/>
  <c r="J16" i="30" s="1"/>
  <c r="K15" i="30" s="1"/>
  <c r="Y8" i="8" s="1"/>
  <c r="I12" i="30"/>
  <c r="J12" i="30" s="1"/>
  <c r="I13" i="30"/>
  <c r="J13" i="30" s="1"/>
  <c r="I11" i="30"/>
  <c r="J11" i="30" s="1"/>
  <c r="K22" i="30"/>
  <c r="N37" i="3"/>
  <c r="M38" i="3"/>
  <c r="O101" i="3"/>
  <c r="K10" i="30" l="1"/>
  <c r="Y5" i="8" s="1"/>
  <c r="J3" i="30"/>
  <c r="K3" i="30" s="1"/>
  <c r="P101" i="3"/>
  <c r="O102" i="3"/>
  <c r="P102" i="3" s="1"/>
  <c r="M39" i="3"/>
  <c r="N38" i="3"/>
  <c r="Q38" i="3"/>
  <c r="M40" i="3" l="1"/>
  <c r="N39" i="3"/>
  <c r="Q39" i="3"/>
  <c r="Q40" i="3" l="1"/>
  <c r="M41" i="3"/>
  <c r="N40" i="3"/>
  <c r="Q41" i="3" l="1"/>
  <c r="M42" i="3"/>
  <c r="N41" i="3"/>
  <c r="N42" i="3" l="1"/>
  <c r="Q42" i="3"/>
  <c r="D3" i="29" l="1"/>
  <c r="E3" i="29"/>
  <c r="D4" i="29"/>
  <c r="E4" i="29"/>
  <c r="D5" i="29"/>
  <c r="E5" i="29"/>
  <c r="D6" i="29"/>
  <c r="E6" i="29"/>
  <c r="D7" i="29"/>
  <c r="E7" i="29"/>
  <c r="D8" i="29"/>
  <c r="E8" i="29"/>
  <c r="D9" i="29"/>
  <c r="E9" i="29"/>
  <c r="D10" i="29"/>
  <c r="E10" i="29"/>
  <c r="D11" i="29"/>
  <c r="E11" i="29"/>
  <c r="D12" i="29"/>
  <c r="E12" i="29"/>
  <c r="D13" i="29"/>
  <c r="E13" i="29"/>
  <c r="D14" i="29"/>
  <c r="E14" i="29"/>
  <c r="D15" i="29"/>
  <c r="E15" i="29"/>
  <c r="D16" i="29"/>
  <c r="E16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E2" i="29"/>
  <c r="D2" i="29"/>
  <c r="H65" i="29"/>
  <c r="M65" i="29" s="1"/>
  <c r="P65" i="29" s="1"/>
  <c r="H64" i="29"/>
  <c r="M64" i="29" s="1"/>
  <c r="P64" i="29" s="1"/>
  <c r="H63" i="29"/>
  <c r="M63" i="29" s="1"/>
  <c r="P63" i="29" s="1"/>
  <c r="H62" i="29"/>
  <c r="M62" i="29" s="1"/>
  <c r="P62" i="29" s="1"/>
  <c r="H61" i="29"/>
  <c r="J61" i="29" s="1"/>
  <c r="M61" i="29" s="1"/>
  <c r="H60" i="29"/>
  <c r="M60" i="29" s="1"/>
  <c r="H59" i="29"/>
  <c r="J59" i="29" s="1"/>
  <c r="H58" i="29"/>
  <c r="H57" i="29"/>
  <c r="H56" i="29"/>
  <c r="M56" i="29" s="1"/>
  <c r="P56" i="29" s="1"/>
  <c r="H55" i="29"/>
  <c r="H54" i="29"/>
  <c r="M54" i="29" s="1"/>
  <c r="P54" i="29" s="1"/>
  <c r="H53" i="29"/>
  <c r="M53" i="29" s="1"/>
  <c r="H52" i="29"/>
  <c r="M52" i="29" s="1"/>
  <c r="H51" i="29"/>
  <c r="H50" i="29"/>
  <c r="J50" i="29" s="1"/>
  <c r="M50" i="29" s="1"/>
  <c r="H49" i="29"/>
  <c r="J49" i="29" s="1"/>
  <c r="M49" i="29" s="1"/>
  <c r="H48" i="29"/>
  <c r="M48" i="29" s="1"/>
  <c r="P48" i="29" s="1"/>
  <c r="H47" i="29"/>
  <c r="M47" i="29" s="1"/>
  <c r="P47" i="29" s="1"/>
  <c r="H46" i="29"/>
  <c r="M46" i="29" s="1"/>
  <c r="H45" i="29"/>
  <c r="M45" i="29" s="1"/>
  <c r="H44" i="29"/>
  <c r="M44" i="29" s="1"/>
  <c r="P44" i="29" s="1"/>
  <c r="H43" i="29"/>
  <c r="M43" i="29" s="1"/>
  <c r="P43" i="29" s="1"/>
  <c r="H42" i="29"/>
  <c r="M42" i="29" s="1"/>
  <c r="P42" i="29" s="1"/>
  <c r="H41" i="29"/>
  <c r="M41" i="29" s="1"/>
  <c r="P41" i="29" s="1"/>
  <c r="H40" i="29"/>
  <c r="M40" i="29" s="1"/>
  <c r="P40" i="29" s="1"/>
  <c r="H39" i="29"/>
  <c r="M39" i="29" s="1"/>
  <c r="P39" i="29" s="1"/>
  <c r="H38" i="29"/>
  <c r="M38" i="29" s="1"/>
  <c r="P38" i="29" s="1"/>
  <c r="H37" i="29"/>
  <c r="M37" i="29" s="1"/>
  <c r="P37" i="29" s="1"/>
  <c r="H36" i="29"/>
  <c r="M36" i="29" s="1"/>
  <c r="P36" i="29" s="1"/>
  <c r="H35" i="29"/>
  <c r="M35" i="29" s="1"/>
  <c r="N35" i="29" s="1"/>
  <c r="H34" i="29"/>
  <c r="M34" i="29" s="1"/>
  <c r="P34" i="29" s="1"/>
  <c r="H33" i="29"/>
  <c r="M33" i="29" s="1"/>
  <c r="P33" i="29" s="1"/>
  <c r="H32" i="29"/>
  <c r="M32" i="29" s="1"/>
  <c r="H31" i="29"/>
  <c r="M31" i="29" s="1"/>
  <c r="P31" i="29" s="1"/>
  <c r="H30" i="29"/>
  <c r="M30" i="29" s="1"/>
  <c r="P30" i="29" s="1"/>
  <c r="H29" i="29"/>
  <c r="M29" i="29" s="1"/>
  <c r="P29" i="29" s="1"/>
  <c r="H28" i="29"/>
  <c r="M28" i="29" s="1"/>
  <c r="P28" i="29" s="1"/>
  <c r="H27" i="29"/>
  <c r="M27" i="29" s="1"/>
  <c r="N27" i="29" s="1"/>
  <c r="H26" i="29"/>
  <c r="M26" i="29" s="1"/>
  <c r="H25" i="29"/>
  <c r="M25" i="29" s="1"/>
  <c r="N25" i="29" s="1"/>
  <c r="H24" i="29"/>
  <c r="M24" i="29" s="1"/>
  <c r="N24" i="29" s="1"/>
  <c r="M23" i="29"/>
  <c r="P23" i="29" s="1"/>
  <c r="H23" i="29"/>
  <c r="H22" i="29"/>
  <c r="M22" i="29" s="1"/>
  <c r="P22" i="29" s="1"/>
  <c r="H21" i="29"/>
  <c r="M21" i="29" s="1"/>
  <c r="P21" i="29" s="1"/>
  <c r="H20" i="29"/>
  <c r="M20" i="29" s="1"/>
  <c r="N20" i="29" s="1"/>
  <c r="H19" i="29"/>
  <c r="M19" i="29" s="1"/>
  <c r="N19" i="29" s="1"/>
  <c r="H18" i="29"/>
  <c r="M18" i="29" s="1"/>
  <c r="P18" i="29" s="1"/>
  <c r="H17" i="29"/>
  <c r="M17" i="29" s="1"/>
  <c r="P17" i="29" s="1"/>
  <c r="H16" i="29"/>
  <c r="M16" i="29" s="1"/>
  <c r="P16" i="29" s="1"/>
  <c r="H15" i="29"/>
  <c r="M15" i="29" s="1"/>
  <c r="P15" i="29" s="1"/>
  <c r="H14" i="29"/>
  <c r="M14" i="29" s="1"/>
  <c r="P14" i="29" s="1"/>
  <c r="H13" i="29"/>
  <c r="M13" i="29" s="1"/>
  <c r="N13" i="29" s="1"/>
  <c r="P13" i="29" s="1"/>
  <c r="H12" i="29"/>
  <c r="M12" i="29" s="1"/>
  <c r="N12" i="29" s="1"/>
  <c r="P12" i="29" s="1"/>
  <c r="H11" i="29"/>
  <c r="M11" i="29" s="1"/>
  <c r="N11" i="29" s="1"/>
  <c r="P11" i="29" s="1"/>
  <c r="H10" i="29"/>
  <c r="M10" i="29" s="1"/>
  <c r="P10" i="29" s="1"/>
  <c r="H9" i="29"/>
  <c r="M9" i="29" s="1"/>
  <c r="H8" i="29"/>
  <c r="M8" i="29" s="1"/>
  <c r="P8" i="29" s="1"/>
  <c r="H7" i="29"/>
  <c r="M7" i="29" s="1"/>
  <c r="P7" i="29" s="1"/>
  <c r="H6" i="29"/>
  <c r="M6" i="29" s="1"/>
  <c r="P6" i="29" s="1"/>
  <c r="H5" i="29"/>
  <c r="M5" i="29" s="1"/>
  <c r="H4" i="29"/>
  <c r="M4" i="29" s="1"/>
  <c r="P4" i="29" s="1"/>
  <c r="H3" i="29"/>
  <c r="M3" i="29" s="1"/>
  <c r="P3" i="29" s="1"/>
  <c r="H2" i="29"/>
  <c r="M2" i="29" s="1"/>
  <c r="P2" i="29" s="1"/>
  <c r="P35" i="29" l="1"/>
  <c r="M59" i="29"/>
  <c r="N59" i="29" s="1"/>
  <c r="P59" i="29" s="1"/>
  <c r="P19" i="29"/>
  <c r="N5" i="29"/>
  <c r="P5" i="29" s="1"/>
  <c r="N45" i="29"/>
  <c r="P45" i="29" s="1"/>
  <c r="N53" i="29"/>
  <c r="P53" i="29" s="1"/>
  <c r="N61" i="29"/>
  <c r="P61" i="29" s="1"/>
  <c r="N9" i="29"/>
  <c r="P9" i="29" s="1"/>
  <c r="N32" i="29"/>
  <c r="P32" i="29" s="1"/>
  <c r="N46" i="29"/>
  <c r="P46" i="29" s="1"/>
  <c r="N50" i="29"/>
  <c r="P50" i="29" s="1"/>
  <c r="P20" i="29"/>
  <c r="J51" i="29"/>
  <c r="M51" i="29" s="1"/>
  <c r="N26" i="29"/>
  <c r="P26" i="29" s="1"/>
  <c r="N49" i="29"/>
  <c r="P49" i="29" s="1"/>
  <c r="N52" i="29"/>
  <c r="P52" i="29" s="1"/>
  <c r="J55" i="29"/>
  <c r="M55" i="29" s="1"/>
  <c r="J57" i="29"/>
  <c r="M57" i="29" s="1"/>
  <c r="N60" i="29"/>
  <c r="P60" i="29" s="1"/>
  <c r="J58" i="29"/>
  <c r="M58" i="29" s="1"/>
  <c r="N58" i="29" l="1"/>
  <c r="P58" i="29" s="1"/>
  <c r="N55" i="29"/>
  <c r="P55" i="29" s="1"/>
  <c r="N51" i="29"/>
  <c r="P51" i="29" s="1"/>
  <c r="N57" i="29"/>
  <c r="P57" i="29" s="1"/>
  <c r="M29" i="8" l="1"/>
  <c r="M27" i="8"/>
  <c r="D16" i="26" l="1"/>
  <c r="D15" i="26"/>
  <c r="D14" i="26"/>
  <c r="D13" i="26"/>
  <c r="D8" i="26"/>
  <c r="D7" i="26"/>
  <c r="D6" i="26"/>
  <c r="D5" i="26"/>
  <c r="D4" i="26"/>
  <c r="W40" i="8"/>
  <c r="W38" i="8"/>
  <c r="W37" i="8"/>
  <c r="W32" i="8"/>
  <c r="W29" i="8"/>
  <c r="W27" i="8"/>
  <c r="U38" i="8"/>
  <c r="U37" i="8"/>
  <c r="U32" i="8"/>
  <c r="U29" i="8"/>
  <c r="U27" i="8"/>
  <c r="S40" i="8"/>
  <c r="S38" i="8"/>
  <c r="S37" i="8"/>
  <c r="S32" i="8"/>
  <c r="S30" i="8"/>
  <c r="R6" i="8"/>
  <c r="S29" i="8"/>
  <c r="R5" i="8"/>
  <c r="S27" i="8"/>
  <c r="V16" i="8"/>
  <c r="V14" i="8"/>
  <c r="V13" i="8"/>
  <c r="V8" i="8"/>
  <c r="V5" i="8"/>
  <c r="V3" i="8"/>
  <c r="H29" i="28"/>
  <c r="I29" i="28" s="1"/>
  <c r="J29" i="28" s="1"/>
  <c r="G29" i="28"/>
  <c r="H28" i="28"/>
  <c r="D17" i="26" l="1"/>
  <c r="H21" i="28"/>
  <c r="I21" i="28" s="1"/>
  <c r="J21" i="28" s="1"/>
  <c r="H15" i="28"/>
  <c r="I15" i="28" s="1"/>
  <c r="J15" i="28" s="1"/>
  <c r="H16" i="28"/>
  <c r="H13" i="28"/>
  <c r="H12" i="28"/>
  <c r="H11" i="28"/>
  <c r="I11" i="28" s="1"/>
  <c r="J11" i="28" s="1"/>
  <c r="G12" i="28"/>
  <c r="G13" i="28"/>
  <c r="G11" i="28"/>
  <c r="H13" i="23"/>
  <c r="G28" i="28"/>
  <c r="G27" i="28"/>
  <c r="G21" i="28"/>
  <c r="G20" i="28"/>
  <c r="G19" i="28"/>
  <c r="G18" i="28"/>
  <c r="G16" i="28"/>
  <c r="G15" i="28"/>
  <c r="G6" i="28"/>
  <c r="G5" i="28"/>
  <c r="H6" i="28"/>
  <c r="H5" i="28"/>
  <c r="K29" i="28"/>
  <c r="F29" i="28"/>
  <c r="F28" i="28"/>
  <c r="F27" i="28"/>
  <c r="F26" i="28"/>
  <c r="F25" i="28"/>
  <c r="F24" i="28"/>
  <c r="F23" i="28"/>
  <c r="H23" i="28" s="1"/>
  <c r="I23" i="28" s="1"/>
  <c r="J23" i="28" s="1"/>
  <c r="F22" i="28"/>
  <c r="F21" i="28"/>
  <c r="F20" i="28"/>
  <c r="H20" i="28" s="1"/>
  <c r="I20" i="28" s="1"/>
  <c r="J20" i="28" s="1"/>
  <c r="F19" i="28"/>
  <c r="H19" i="28" s="1"/>
  <c r="I19" i="28" s="1"/>
  <c r="J19" i="28" s="1"/>
  <c r="F18" i="28"/>
  <c r="H18" i="28" s="1"/>
  <c r="I18" i="28" s="1"/>
  <c r="J18" i="28" s="1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O37" i="27"/>
  <c r="O36" i="27"/>
  <c r="O35" i="27"/>
  <c r="O29" i="27"/>
  <c r="O28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2" i="27"/>
  <c r="H61" i="27"/>
  <c r="M61" i="27" s="1"/>
  <c r="H60" i="27"/>
  <c r="M60" i="27" s="1"/>
  <c r="H59" i="27"/>
  <c r="M59" i="27" s="1"/>
  <c r="H58" i="27"/>
  <c r="M58" i="27" s="1"/>
  <c r="H57" i="27"/>
  <c r="M57" i="27" s="1"/>
  <c r="H56" i="27"/>
  <c r="M56" i="27" s="1"/>
  <c r="P56" i="27" s="1"/>
  <c r="H55" i="27"/>
  <c r="M55" i="27" s="1"/>
  <c r="P55" i="27" s="1"/>
  <c r="H54" i="27"/>
  <c r="M54" i="27" s="1"/>
  <c r="P54" i="27" s="1"/>
  <c r="H53" i="27"/>
  <c r="M53" i="27" s="1"/>
  <c r="H52" i="27"/>
  <c r="M52" i="27" s="1"/>
  <c r="P52" i="27" s="1"/>
  <c r="H51" i="27"/>
  <c r="M51" i="27" s="1"/>
  <c r="H50" i="27"/>
  <c r="H49" i="27"/>
  <c r="M49" i="27" s="1"/>
  <c r="P49" i="27" s="1"/>
  <c r="H48" i="27"/>
  <c r="J48" i="27" s="1"/>
  <c r="L48" i="27" s="1"/>
  <c r="H47" i="27"/>
  <c r="M47" i="27" s="1"/>
  <c r="P47" i="27" s="1"/>
  <c r="H46" i="27"/>
  <c r="M46" i="27" s="1"/>
  <c r="H45" i="27"/>
  <c r="H44" i="27"/>
  <c r="H43" i="27"/>
  <c r="M43" i="27" s="1"/>
  <c r="P43" i="27" s="1"/>
  <c r="H42" i="27"/>
  <c r="M42" i="27" s="1"/>
  <c r="P42" i="27" s="1"/>
  <c r="H41" i="27"/>
  <c r="M41" i="27" s="1"/>
  <c r="P41" i="27" s="1"/>
  <c r="H40" i="27"/>
  <c r="M40" i="27" s="1"/>
  <c r="P40" i="27" s="1"/>
  <c r="H39" i="27"/>
  <c r="M39" i="27" s="1"/>
  <c r="H38" i="27"/>
  <c r="M38" i="27" s="1"/>
  <c r="H37" i="27"/>
  <c r="H36" i="27"/>
  <c r="J36" i="27" s="1"/>
  <c r="H35" i="27"/>
  <c r="J35" i="27" s="1"/>
  <c r="M35" i="27" s="1"/>
  <c r="H34" i="27"/>
  <c r="M34" i="27" s="1"/>
  <c r="H33" i="27"/>
  <c r="M33" i="27" s="1"/>
  <c r="P33" i="27" s="1"/>
  <c r="H32" i="27"/>
  <c r="M32" i="27" s="1"/>
  <c r="P32" i="27" s="1"/>
  <c r="H31" i="27"/>
  <c r="M31" i="27" s="1"/>
  <c r="P31" i="27" s="1"/>
  <c r="H30" i="27"/>
  <c r="M30" i="27" s="1"/>
  <c r="N30" i="27" s="1"/>
  <c r="H29" i="27"/>
  <c r="H28" i="27"/>
  <c r="J28" i="27" s="1"/>
  <c r="H27" i="27"/>
  <c r="H26" i="27"/>
  <c r="H25" i="27"/>
  <c r="J25" i="27" s="1"/>
  <c r="L25" i="27" s="1"/>
  <c r="H24" i="27"/>
  <c r="M24" i="27" s="1"/>
  <c r="P24" i="27" s="1"/>
  <c r="H23" i="27"/>
  <c r="M23" i="27" s="1"/>
  <c r="P23" i="27" s="1"/>
  <c r="H22" i="27"/>
  <c r="M22" i="27" s="1"/>
  <c r="P22" i="27" s="1"/>
  <c r="H21" i="27"/>
  <c r="M21" i="27" s="1"/>
  <c r="P21" i="27" s="1"/>
  <c r="H20" i="27"/>
  <c r="M20" i="27" s="1"/>
  <c r="P20" i="27" s="1"/>
  <c r="H19" i="27"/>
  <c r="M19" i="27" s="1"/>
  <c r="P19" i="27" s="1"/>
  <c r="H18" i="27"/>
  <c r="M18" i="27" s="1"/>
  <c r="P18" i="27" s="1"/>
  <c r="H17" i="27"/>
  <c r="M17" i="27" s="1"/>
  <c r="P17" i="27" s="1"/>
  <c r="H16" i="27"/>
  <c r="M16" i="27" s="1"/>
  <c r="P16" i="27" s="1"/>
  <c r="H15" i="27"/>
  <c r="M15" i="27" s="1"/>
  <c r="P15" i="27" s="1"/>
  <c r="H14" i="27"/>
  <c r="M14" i="27" s="1"/>
  <c r="P14" i="27" s="1"/>
  <c r="H13" i="27"/>
  <c r="M13" i="27" s="1"/>
  <c r="P13" i="27" s="1"/>
  <c r="H12" i="27"/>
  <c r="M12" i="27" s="1"/>
  <c r="P12" i="27" s="1"/>
  <c r="H11" i="27"/>
  <c r="M11" i="27" s="1"/>
  <c r="P11" i="27" s="1"/>
  <c r="H10" i="27"/>
  <c r="M10" i="27" s="1"/>
  <c r="P10" i="27" s="1"/>
  <c r="H9" i="27"/>
  <c r="M9" i="27" s="1"/>
  <c r="N9" i="27" s="1"/>
  <c r="P9" i="27" s="1"/>
  <c r="H8" i="27"/>
  <c r="M8" i="27" s="1"/>
  <c r="N8" i="27" s="1"/>
  <c r="P8" i="27" s="1"/>
  <c r="H7" i="27"/>
  <c r="M7" i="27" s="1"/>
  <c r="H6" i="27"/>
  <c r="J6" i="27" s="1"/>
  <c r="H5" i="27"/>
  <c r="H4" i="27"/>
  <c r="J4" i="27" s="1"/>
  <c r="K4" i="27" s="1"/>
  <c r="H3" i="27"/>
  <c r="M3" i="27" s="1"/>
  <c r="H2" i="27"/>
  <c r="M2" i="27" s="1"/>
  <c r="K17" i="28" l="1"/>
  <c r="W5" i="8" s="1"/>
  <c r="I28" i="28"/>
  <c r="J28" i="28" s="1"/>
  <c r="I12" i="28"/>
  <c r="J12" i="28" s="1"/>
  <c r="I13" i="28"/>
  <c r="J13" i="28" s="1"/>
  <c r="H27" i="28"/>
  <c r="I27" i="28" s="1"/>
  <c r="J27" i="28" s="1"/>
  <c r="H25" i="28"/>
  <c r="I25" i="28" s="1"/>
  <c r="J25" i="28" s="1"/>
  <c r="H24" i="28"/>
  <c r="I24" i="28" s="1"/>
  <c r="J24" i="28" s="1"/>
  <c r="I16" i="28"/>
  <c r="J16" i="28" s="1"/>
  <c r="K14" i="28" s="1"/>
  <c r="W3" i="8" s="1"/>
  <c r="I6" i="28"/>
  <c r="J6" i="28" s="1"/>
  <c r="I5" i="28"/>
  <c r="J5" i="28" s="1"/>
  <c r="K6" i="27"/>
  <c r="L6" i="27"/>
  <c r="K48" i="27"/>
  <c r="O48" i="27" s="1"/>
  <c r="N2" i="27"/>
  <c r="P2" i="27" s="1"/>
  <c r="N59" i="27"/>
  <c r="P59" i="27" s="1"/>
  <c r="N46" i="27"/>
  <c r="P46" i="27" s="1"/>
  <c r="N51" i="27"/>
  <c r="P51" i="27" s="1"/>
  <c r="N57" i="27"/>
  <c r="P57" i="27" s="1"/>
  <c r="N3" i="27"/>
  <c r="P3" i="27" s="1"/>
  <c r="N35" i="27"/>
  <c r="P35" i="27" s="1"/>
  <c r="N61" i="27"/>
  <c r="P61" i="27" s="1"/>
  <c r="N58" i="27"/>
  <c r="P58" i="27" s="1"/>
  <c r="J5" i="27"/>
  <c r="K25" i="27"/>
  <c r="M25" i="27" s="1"/>
  <c r="N39" i="27"/>
  <c r="P39" i="27" s="1"/>
  <c r="J50" i="27"/>
  <c r="J29" i="27"/>
  <c r="M29" i="27" s="1"/>
  <c r="J37" i="27"/>
  <c r="M37" i="27" s="1"/>
  <c r="N38" i="27"/>
  <c r="P38" i="27" s="1"/>
  <c r="N53" i="27"/>
  <c r="P53" i="27" s="1"/>
  <c r="M28" i="27"/>
  <c r="P30" i="27"/>
  <c r="N34" i="27"/>
  <c r="P34" i="27" s="1"/>
  <c r="M36" i="27"/>
  <c r="J45" i="27"/>
  <c r="J27" i="27"/>
  <c r="N60" i="27"/>
  <c r="P60" i="27" s="1"/>
  <c r="L4" i="27"/>
  <c r="M4" i="27" s="1"/>
  <c r="N7" i="27"/>
  <c r="P7" i="27" s="1"/>
  <c r="J26" i="27"/>
  <c r="J44" i="27"/>
  <c r="K4" i="28" l="1"/>
  <c r="W13" i="8" s="1"/>
  <c r="K22" i="28"/>
  <c r="W8" i="8" s="1"/>
  <c r="K10" i="28"/>
  <c r="W16" i="8" s="1"/>
  <c r="K26" i="28"/>
  <c r="W14" i="8" s="1"/>
  <c r="J3" i="28"/>
  <c r="K3" i="28" s="1"/>
  <c r="O6" i="27"/>
  <c r="O4" i="27"/>
  <c r="M6" i="27"/>
  <c r="O25" i="27"/>
  <c r="P25" i="27" s="1"/>
  <c r="M48" i="27"/>
  <c r="P48" i="27" s="1"/>
  <c r="P4" i="27"/>
  <c r="N37" i="27"/>
  <c r="P37" i="27" s="1"/>
  <c r="K27" i="27"/>
  <c r="L27" i="27"/>
  <c r="K45" i="27"/>
  <c r="L45" i="27"/>
  <c r="N29" i="27"/>
  <c r="P29" i="27" s="1"/>
  <c r="K50" i="27"/>
  <c r="L50" i="27"/>
  <c r="L5" i="27"/>
  <c r="K5" i="27"/>
  <c r="L44" i="27"/>
  <c r="K44" i="27"/>
  <c r="N28" i="27"/>
  <c r="P28" i="27" s="1"/>
  <c r="K26" i="27"/>
  <c r="L26" i="27"/>
  <c r="N36" i="27"/>
  <c r="P36" i="27" s="1"/>
  <c r="O5" i="27" l="1"/>
  <c r="O27" i="27"/>
  <c r="O44" i="27"/>
  <c r="O45" i="27"/>
  <c r="P6" i="27"/>
  <c r="M26" i="27"/>
  <c r="O50" i="27"/>
  <c r="O26" i="27"/>
  <c r="P26" i="27" s="1"/>
  <c r="M27" i="27"/>
  <c r="P27" i="27" s="1"/>
  <c r="M44" i="27"/>
  <c r="M45" i="27"/>
  <c r="M50" i="27"/>
  <c r="M5" i="27"/>
  <c r="P45" i="27" l="1"/>
  <c r="P5" i="27"/>
  <c r="P44" i="27"/>
  <c r="P50" i="27"/>
  <c r="E15" i="26" l="1"/>
  <c r="C15" i="26"/>
  <c r="D9" i="26" l="1"/>
  <c r="R16" i="8"/>
  <c r="T14" i="8"/>
  <c r="T13" i="8"/>
  <c r="T8" i="8"/>
  <c r="T5" i="8"/>
  <c r="T3" i="8"/>
  <c r="R14" i="8"/>
  <c r="R13" i="8"/>
  <c r="R8" i="8"/>
  <c r="R3" i="8"/>
  <c r="D19" i="26" l="1"/>
  <c r="F28" i="25" l="1"/>
  <c r="G28" i="25"/>
  <c r="H28" i="25"/>
  <c r="I28" i="25"/>
  <c r="J28" i="25" s="1"/>
  <c r="G27" i="25"/>
  <c r="H27" i="25" s="1"/>
  <c r="I27" i="25" s="1"/>
  <c r="J27" i="25" s="1"/>
  <c r="F27" i="25"/>
  <c r="F23" i="25"/>
  <c r="G23" i="25" s="1"/>
  <c r="H23" i="25" s="1"/>
  <c r="I23" i="25" s="1"/>
  <c r="J23" i="25" s="1"/>
  <c r="F24" i="25"/>
  <c r="G24" i="25"/>
  <c r="H24" i="25"/>
  <c r="I24" i="25" s="1"/>
  <c r="J24" i="25" s="1"/>
  <c r="F25" i="25"/>
  <c r="G25" i="25"/>
  <c r="H25" i="25" s="1"/>
  <c r="I25" i="25" s="1"/>
  <c r="J25" i="25" s="1"/>
  <c r="G22" i="25"/>
  <c r="H22" i="25" s="1"/>
  <c r="I22" i="25" s="1"/>
  <c r="J22" i="25" s="1"/>
  <c r="F22" i="25"/>
  <c r="F17" i="25"/>
  <c r="G17" i="25"/>
  <c r="H17" i="25"/>
  <c r="I17" i="25" s="1"/>
  <c r="J17" i="25" s="1"/>
  <c r="F18" i="25"/>
  <c r="G18" i="25"/>
  <c r="H18" i="25"/>
  <c r="I18" i="25" s="1"/>
  <c r="J18" i="25" s="1"/>
  <c r="F19" i="25"/>
  <c r="G19" i="25"/>
  <c r="H19" i="25" s="1"/>
  <c r="I19" i="25" s="1"/>
  <c r="J19" i="25" s="1"/>
  <c r="F20" i="25"/>
  <c r="G20" i="25" s="1"/>
  <c r="H20" i="25" s="1"/>
  <c r="I20" i="25" s="1"/>
  <c r="J20" i="25" s="1"/>
  <c r="G16" i="25"/>
  <c r="H16" i="25" s="1"/>
  <c r="I16" i="25" s="1"/>
  <c r="J16" i="25" s="1"/>
  <c r="F16" i="25"/>
  <c r="F13" i="25"/>
  <c r="G13" i="25"/>
  <c r="H13" i="25"/>
  <c r="I13" i="25" s="1"/>
  <c r="J13" i="25" s="1"/>
  <c r="F14" i="25"/>
  <c r="G14" i="25"/>
  <c r="H14" i="25"/>
  <c r="I14" i="25" s="1"/>
  <c r="J14" i="25" s="1"/>
  <c r="G12" i="25"/>
  <c r="H12" i="25" s="1"/>
  <c r="I12" i="25" s="1"/>
  <c r="J12" i="25" s="1"/>
  <c r="K11" i="25" s="1"/>
  <c r="U3" i="8" s="1"/>
  <c r="F12" i="25"/>
  <c r="K29" i="25"/>
  <c r="F29" i="25"/>
  <c r="F26" i="25"/>
  <c r="F21" i="25"/>
  <c r="F15" i="25"/>
  <c r="F11" i="25"/>
  <c r="F10" i="25"/>
  <c r="F9" i="25"/>
  <c r="F8" i="25"/>
  <c r="F7" i="25"/>
  <c r="G7" i="25" s="1"/>
  <c r="H7" i="25" s="1"/>
  <c r="I7" i="25" s="1"/>
  <c r="J7" i="25" s="1"/>
  <c r="F6" i="25"/>
  <c r="G6" i="25" s="1"/>
  <c r="H6" i="25" s="1"/>
  <c r="I6" i="25" s="1"/>
  <c r="J6" i="25" s="1"/>
  <c r="G5" i="25"/>
  <c r="H5" i="25" s="1"/>
  <c r="I5" i="25" s="1"/>
  <c r="J5" i="25" s="1"/>
  <c r="F5" i="25"/>
  <c r="F4" i="25"/>
  <c r="M3" i="25"/>
  <c r="N50" i="24"/>
  <c r="N26" i="24"/>
  <c r="H3" i="24"/>
  <c r="M3" i="24" s="1"/>
  <c r="P3" i="24" s="1"/>
  <c r="H4" i="24"/>
  <c r="M4" i="24" s="1"/>
  <c r="P4" i="24" s="1"/>
  <c r="H5" i="24"/>
  <c r="M5" i="24" s="1"/>
  <c r="P5" i="24" s="1"/>
  <c r="H6" i="24"/>
  <c r="M6" i="24" s="1"/>
  <c r="P6" i="24" s="1"/>
  <c r="H7" i="24"/>
  <c r="M7" i="24" s="1"/>
  <c r="H8" i="24"/>
  <c r="H9" i="24"/>
  <c r="J9" i="24" s="1"/>
  <c r="H10" i="24"/>
  <c r="M10" i="24" s="1"/>
  <c r="P10" i="24" s="1"/>
  <c r="H11" i="24"/>
  <c r="M11" i="24" s="1"/>
  <c r="P11" i="24" s="1"/>
  <c r="H12" i="24"/>
  <c r="M12" i="24" s="1"/>
  <c r="P12" i="24" s="1"/>
  <c r="H13" i="24"/>
  <c r="M13" i="24" s="1"/>
  <c r="P13" i="24" s="1"/>
  <c r="H14" i="24"/>
  <c r="M14" i="24" s="1"/>
  <c r="P14" i="24" s="1"/>
  <c r="H15" i="24"/>
  <c r="M15" i="24" s="1"/>
  <c r="P15" i="24" s="1"/>
  <c r="H16" i="24"/>
  <c r="M16" i="24" s="1"/>
  <c r="N16" i="24" s="1"/>
  <c r="H17" i="24"/>
  <c r="M17" i="24" s="1"/>
  <c r="P17" i="24" s="1"/>
  <c r="H18" i="24"/>
  <c r="M18" i="24" s="1"/>
  <c r="P18" i="24" s="1"/>
  <c r="H19" i="24"/>
  <c r="M19" i="24" s="1"/>
  <c r="P19" i="24" s="1"/>
  <c r="H20" i="24"/>
  <c r="J20" i="24" s="1"/>
  <c r="H21" i="24"/>
  <c r="J21" i="24" s="1"/>
  <c r="H22" i="24"/>
  <c r="J22" i="24" s="1"/>
  <c r="L22" i="24" s="1"/>
  <c r="H23" i="24"/>
  <c r="J23" i="24" s="1"/>
  <c r="H24" i="24"/>
  <c r="M24" i="24" s="1"/>
  <c r="H25" i="24"/>
  <c r="M25" i="24" s="1"/>
  <c r="P25" i="24" s="1"/>
  <c r="H26" i="24"/>
  <c r="M26" i="24" s="1"/>
  <c r="H27" i="24"/>
  <c r="J27" i="24" s="1"/>
  <c r="H28" i="24"/>
  <c r="H29" i="24"/>
  <c r="M29" i="24" s="1"/>
  <c r="P29" i="24" s="1"/>
  <c r="H30" i="24"/>
  <c r="M30" i="24" s="1"/>
  <c r="P30" i="24" s="1"/>
  <c r="H31" i="24"/>
  <c r="M31" i="24" s="1"/>
  <c r="P31" i="24" s="1"/>
  <c r="H32" i="24"/>
  <c r="M32" i="24" s="1"/>
  <c r="P32" i="24" s="1"/>
  <c r="H33" i="24"/>
  <c r="M33" i="24" s="1"/>
  <c r="P33" i="24" s="1"/>
  <c r="H34" i="24"/>
  <c r="M34" i="24" s="1"/>
  <c r="N34" i="24" s="1"/>
  <c r="H35" i="24"/>
  <c r="M35" i="24" s="1"/>
  <c r="P35" i="24" s="1"/>
  <c r="H36" i="24"/>
  <c r="M36" i="24" s="1"/>
  <c r="P36" i="24" s="1"/>
  <c r="H37" i="24"/>
  <c r="M37" i="24" s="1"/>
  <c r="H38" i="24"/>
  <c r="M38" i="24" s="1"/>
  <c r="H39" i="24"/>
  <c r="M39" i="24" s="1"/>
  <c r="P39" i="24" s="1"/>
  <c r="H40" i="24"/>
  <c r="M40" i="24" s="1"/>
  <c r="P40" i="24" s="1"/>
  <c r="H41" i="24"/>
  <c r="M41" i="24" s="1"/>
  <c r="P41" i="24" s="1"/>
  <c r="H42" i="24"/>
  <c r="M42" i="24" s="1"/>
  <c r="P42" i="24" s="1"/>
  <c r="H43" i="24"/>
  <c r="M43" i="24" s="1"/>
  <c r="P43" i="24" s="1"/>
  <c r="H44" i="24"/>
  <c r="M44" i="24" s="1"/>
  <c r="N44" i="24" s="1"/>
  <c r="H45" i="24"/>
  <c r="M45" i="24" s="1"/>
  <c r="P45" i="24" s="1"/>
  <c r="H46" i="24"/>
  <c r="M46" i="24" s="1"/>
  <c r="P46" i="24" s="1"/>
  <c r="H47" i="24"/>
  <c r="M47" i="24" s="1"/>
  <c r="N47" i="24" s="1"/>
  <c r="H48" i="24"/>
  <c r="M48" i="24" s="1"/>
  <c r="N48" i="24" s="1"/>
  <c r="H49" i="24"/>
  <c r="M49" i="24" s="1"/>
  <c r="H50" i="24"/>
  <c r="M50" i="24" s="1"/>
  <c r="H51" i="24"/>
  <c r="M51" i="24" s="1"/>
  <c r="N51" i="24" s="1"/>
  <c r="H52" i="24"/>
  <c r="M52" i="24" s="1"/>
  <c r="H53" i="24"/>
  <c r="M53" i="24" s="1"/>
  <c r="P53" i="24" s="1"/>
  <c r="H54" i="24"/>
  <c r="M54" i="24" s="1"/>
  <c r="P54" i="24" s="1"/>
  <c r="H55" i="24"/>
  <c r="M55" i="24" s="1"/>
  <c r="P55" i="24" s="1"/>
  <c r="H56" i="24"/>
  <c r="M56" i="24" s="1"/>
  <c r="P56" i="24" s="1"/>
  <c r="H57" i="24"/>
  <c r="M57" i="24" s="1"/>
  <c r="H58" i="24"/>
  <c r="M58" i="24" s="1"/>
  <c r="N58" i="24" s="1"/>
  <c r="P58" i="24" s="1"/>
  <c r="H59" i="24"/>
  <c r="M59" i="24" s="1"/>
  <c r="N59" i="24" s="1"/>
  <c r="H60" i="24"/>
  <c r="M60" i="24" s="1"/>
  <c r="H61" i="24"/>
  <c r="M61" i="24" s="1"/>
  <c r="H62" i="24"/>
  <c r="M62" i="24" s="1"/>
  <c r="H63" i="24"/>
  <c r="M63" i="24" s="1"/>
  <c r="H64" i="24"/>
  <c r="M64" i="24" s="1"/>
  <c r="H65" i="24"/>
  <c r="M65" i="24" s="1"/>
  <c r="N65" i="24" s="1"/>
  <c r="H66" i="24"/>
  <c r="M66" i="24" s="1"/>
  <c r="P66" i="24" s="1"/>
  <c r="H67" i="24"/>
  <c r="M67" i="24" s="1"/>
  <c r="P67" i="24" s="1"/>
  <c r="H68" i="24"/>
  <c r="M68" i="24" s="1"/>
  <c r="P68" i="24" s="1"/>
  <c r="H69" i="24"/>
  <c r="M69" i="24" s="1"/>
  <c r="P69" i="24" s="1"/>
  <c r="H70" i="24"/>
  <c r="M70" i="24" s="1"/>
  <c r="P70" i="24" s="1"/>
  <c r="H71" i="24"/>
  <c r="M71" i="24" s="1"/>
  <c r="P71" i="24" s="1"/>
  <c r="H72" i="24"/>
  <c r="M72" i="24" s="1"/>
  <c r="P72" i="24" s="1"/>
  <c r="H73" i="24"/>
  <c r="M73" i="24" s="1"/>
  <c r="P73" i="24" s="1"/>
  <c r="H74" i="24"/>
  <c r="M74" i="24" s="1"/>
  <c r="N74" i="24" s="1"/>
  <c r="P74" i="24" s="1"/>
  <c r="H75" i="24"/>
  <c r="M75" i="24" s="1"/>
  <c r="P75" i="24" s="1"/>
  <c r="H76" i="24"/>
  <c r="M76" i="24" s="1"/>
  <c r="P76" i="24" s="1"/>
  <c r="H77" i="24"/>
  <c r="M77" i="24" s="1"/>
  <c r="P77" i="24" s="1"/>
  <c r="H78" i="24"/>
  <c r="M78" i="24" s="1"/>
  <c r="N78" i="24" s="1"/>
  <c r="H79" i="24"/>
  <c r="M79" i="24" s="1"/>
  <c r="N79" i="24" s="1"/>
  <c r="H80" i="24"/>
  <c r="M80" i="24" s="1"/>
  <c r="P80" i="24" s="1"/>
  <c r="H81" i="24"/>
  <c r="M81" i="24" s="1"/>
  <c r="P81" i="24" s="1"/>
  <c r="H82" i="24"/>
  <c r="M82" i="24" s="1"/>
  <c r="N82" i="24" s="1"/>
  <c r="H83" i="24"/>
  <c r="M83" i="24" s="1"/>
  <c r="H84" i="24"/>
  <c r="M84" i="24" s="1"/>
  <c r="P84" i="24" s="1"/>
  <c r="H85" i="24"/>
  <c r="M85" i="24" s="1"/>
  <c r="P85" i="24" s="1"/>
  <c r="H86" i="24"/>
  <c r="M86" i="24" s="1"/>
  <c r="P86" i="24" s="1"/>
  <c r="H87" i="24"/>
  <c r="M87" i="24" s="1"/>
  <c r="P87" i="24" s="1"/>
  <c r="H88" i="24"/>
  <c r="M88" i="24" s="1"/>
  <c r="P88" i="24" s="1"/>
  <c r="H89" i="24"/>
  <c r="M89" i="24" s="1"/>
  <c r="P89" i="24" s="1"/>
  <c r="H90" i="24"/>
  <c r="M90" i="24" s="1"/>
  <c r="P90" i="24" s="1"/>
  <c r="H2" i="24"/>
  <c r="M2" i="24" s="1"/>
  <c r="P2" i="24" s="1"/>
  <c r="D3" i="24"/>
  <c r="E3" i="24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D12" i="24"/>
  <c r="E12" i="24"/>
  <c r="D13" i="24"/>
  <c r="E13" i="24"/>
  <c r="D14" i="24"/>
  <c r="E14" i="24"/>
  <c r="D15" i="24"/>
  <c r="E15" i="24"/>
  <c r="D16" i="24"/>
  <c r="E16" i="24"/>
  <c r="D17" i="24"/>
  <c r="E17" i="24"/>
  <c r="D18" i="24"/>
  <c r="E18" i="24"/>
  <c r="D19" i="24"/>
  <c r="E19" i="24"/>
  <c r="D20" i="24"/>
  <c r="E20" i="24"/>
  <c r="D21" i="24"/>
  <c r="E21" i="24"/>
  <c r="D22" i="24"/>
  <c r="E22" i="24"/>
  <c r="D23" i="24"/>
  <c r="E23" i="24"/>
  <c r="D24" i="24"/>
  <c r="E24" i="24"/>
  <c r="D25" i="24"/>
  <c r="E25" i="24"/>
  <c r="D26" i="24"/>
  <c r="E26" i="24"/>
  <c r="D27" i="24"/>
  <c r="E27" i="24"/>
  <c r="D28" i="24"/>
  <c r="E28" i="24"/>
  <c r="D29" i="24"/>
  <c r="E29" i="24"/>
  <c r="D30" i="24"/>
  <c r="E30" i="24"/>
  <c r="D31" i="24"/>
  <c r="E31" i="24"/>
  <c r="D32" i="24"/>
  <c r="E32" i="24"/>
  <c r="D33" i="24"/>
  <c r="E33" i="24"/>
  <c r="D34" i="24"/>
  <c r="E34" i="24"/>
  <c r="D35" i="24"/>
  <c r="E35" i="24"/>
  <c r="D36" i="24"/>
  <c r="E36" i="24"/>
  <c r="D37" i="24"/>
  <c r="E37" i="24"/>
  <c r="D38" i="24"/>
  <c r="E38" i="24"/>
  <c r="D39" i="24"/>
  <c r="E39" i="24"/>
  <c r="D40" i="24"/>
  <c r="E40" i="24"/>
  <c r="D41" i="24"/>
  <c r="E41" i="24"/>
  <c r="D42" i="24"/>
  <c r="E42" i="24"/>
  <c r="D43" i="24"/>
  <c r="E43" i="24"/>
  <c r="D44" i="24"/>
  <c r="E44" i="24"/>
  <c r="D45" i="24"/>
  <c r="E45" i="24"/>
  <c r="D46" i="24"/>
  <c r="E46" i="24"/>
  <c r="D47" i="24"/>
  <c r="E47" i="24"/>
  <c r="D48" i="24"/>
  <c r="E48" i="24"/>
  <c r="D49" i="24"/>
  <c r="E49" i="24"/>
  <c r="D50" i="24"/>
  <c r="E50" i="24"/>
  <c r="D51" i="24"/>
  <c r="E51" i="24"/>
  <c r="D52" i="24"/>
  <c r="E52" i="24"/>
  <c r="D53" i="24"/>
  <c r="E53" i="24"/>
  <c r="D54" i="24"/>
  <c r="E54" i="24"/>
  <c r="D55" i="24"/>
  <c r="E55" i="24"/>
  <c r="D56" i="24"/>
  <c r="E56" i="24"/>
  <c r="D57" i="24"/>
  <c r="E57" i="24"/>
  <c r="D58" i="24"/>
  <c r="E58" i="24"/>
  <c r="D59" i="24"/>
  <c r="E59" i="24"/>
  <c r="D60" i="24"/>
  <c r="E60" i="24"/>
  <c r="D61" i="24"/>
  <c r="E61" i="24"/>
  <c r="D62" i="24"/>
  <c r="E62" i="24"/>
  <c r="D63" i="24"/>
  <c r="E63" i="24"/>
  <c r="D64" i="24"/>
  <c r="E64" i="24"/>
  <c r="D65" i="24"/>
  <c r="E65" i="24"/>
  <c r="D66" i="24"/>
  <c r="E66" i="24"/>
  <c r="D67" i="24"/>
  <c r="E67" i="24"/>
  <c r="D68" i="24"/>
  <c r="E68" i="24"/>
  <c r="D69" i="24"/>
  <c r="E69" i="24"/>
  <c r="D70" i="24"/>
  <c r="E70" i="24"/>
  <c r="D71" i="24"/>
  <c r="E71" i="24"/>
  <c r="D72" i="24"/>
  <c r="E72" i="24"/>
  <c r="D73" i="24"/>
  <c r="E73" i="24"/>
  <c r="D74" i="24"/>
  <c r="E74" i="24"/>
  <c r="D75" i="24"/>
  <c r="E75" i="24"/>
  <c r="D76" i="24"/>
  <c r="E76" i="24"/>
  <c r="D77" i="24"/>
  <c r="E77" i="24"/>
  <c r="D78" i="24"/>
  <c r="E78" i="24"/>
  <c r="D79" i="24"/>
  <c r="E79" i="24"/>
  <c r="D80" i="24"/>
  <c r="E80" i="24"/>
  <c r="D81" i="24"/>
  <c r="E81" i="24"/>
  <c r="D82" i="24"/>
  <c r="E82" i="24"/>
  <c r="D83" i="24"/>
  <c r="E83" i="24"/>
  <c r="D84" i="24"/>
  <c r="E84" i="24"/>
  <c r="D85" i="24"/>
  <c r="E85" i="24"/>
  <c r="D86" i="24"/>
  <c r="E86" i="24"/>
  <c r="D87" i="24"/>
  <c r="E87" i="24"/>
  <c r="D88" i="24"/>
  <c r="E88" i="24"/>
  <c r="D89" i="24"/>
  <c r="E89" i="24"/>
  <c r="D90" i="24"/>
  <c r="E90" i="24"/>
  <c r="E2" i="24"/>
  <c r="D2" i="24"/>
  <c r="K21" i="25" l="1"/>
  <c r="U8" i="8" s="1"/>
  <c r="K26" i="25"/>
  <c r="U14" i="8" s="1"/>
  <c r="K4" i="25"/>
  <c r="U13" i="8" s="1"/>
  <c r="J3" i="25"/>
  <c r="K3" i="25" s="1"/>
  <c r="K15" i="25"/>
  <c r="U5" i="8" s="1"/>
  <c r="N49" i="24"/>
  <c r="P49" i="24" s="1"/>
  <c r="P63" i="24"/>
  <c r="N63" i="24"/>
  <c r="P26" i="24"/>
  <c r="N64" i="24"/>
  <c r="P64" i="24" s="1"/>
  <c r="P50" i="24"/>
  <c r="N37" i="24"/>
  <c r="P37" i="24" s="1"/>
  <c r="P7" i="24"/>
  <c r="P62" i="24"/>
  <c r="N7" i="24"/>
  <c r="N61" i="24"/>
  <c r="P61" i="24" s="1"/>
  <c r="P44" i="24"/>
  <c r="N24" i="24"/>
  <c r="P24" i="24" s="1"/>
  <c r="N38" i="24"/>
  <c r="P38" i="24" s="1"/>
  <c r="N62" i="24"/>
  <c r="P34" i="24"/>
  <c r="P16" i="24"/>
  <c r="P47" i="24"/>
  <c r="L20" i="24"/>
  <c r="K20" i="24"/>
  <c r="L27" i="24"/>
  <c r="K27" i="24"/>
  <c r="L23" i="24"/>
  <c r="K23" i="24"/>
  <c r="L21" i="24"/>
  <c r="K21" i="24"/>
  <c r="J8" i="24"/>
  <c r="K22" i="24"/>
  <c r="M22" i="24" s="1"/>
  <c r="K9" i="24"/>
  <c r="L9" i="24"/>
  <c r="P82" i="24"/>
  <c r="J28" i="24"/>
  <c r="M23" i="24"/>
  <c r="N83" i="24"/>
  <c r="P83" i="24" s="1"/>
  <c r="N52" i="24"/>
  <c r="P52" i="24" s="1"/>
  <c r="N60" i="24"/>
  <c r="P60" i="24" s="1"/>
  <c r="P78" i="24"/>
  <c r="P59" i="24"/>
  <c r="P51" i="24"/>
  <c r="N57" i="24"/>
  <c r="P57" i="24" s="1"/>
  <c r="P79" i="24"/>
  <c r="P65" i="24"/>
  <c r="P48" i="24"/>
  <c r="M21" i="24" l="1"/>
  <c r="M27" i="24"/>
  <c r="M20" i="24"/>
  <c r="M9" i="24"/>
  <c r="O21" i="24"/>
  <c r="P21" i="24"/>
  <c r="O27" i="24"/>
  <c r="P27" i="24" s="1"/>
  <c r="O9" i="24"/>
  <c r="P9" i="24" s="1"/>
  <c r="O23" i="24"/>
  <c r="P23" i="24" s="1"/>
  <c r="O22" i="24"/>
  <c r="P22" i="24" s="1"/>
  <c r="L28" i="24"/>
  <c r="K28" i="24"/>
  <c r="M28" i="24" s="1"/>
  <c r="L8" i="24"/>
  <c r="K8" i="24"/>
  <c r="M8" i="24" s="1"/>
  <c r="O20" i="24"/>
  <c r="P20" i="24" s="1"/>
  <c r="O28" i="24" l="1"/>
  <c r="P28" i="24" s="1"/>
  <c r="O8" i="24"/>
  <c r="P8" i="24" s="1"/>
  <c r="M3" i="23" l="1"/>
  <c r="H37" i="23"/>
  <c r="H38" i="23"/>
  <c r="H39" i="23"/>
  <c r="H36" i="23"/>
  <c r="I36" i="23" s="1"/>
  <c r="J36" i="23" s="1"/>
  <c r="G37" i="23"/>
  <c r="G38" i="23"/>
  <c r="G39" i="23"/>
  <c r="G36" i="23"/>
  <c r="F39" i="23"/>
  <c r="F38" i="23"/>
  <c r="F37" i="23"/>
  <c r="F36" i="23"/>
  <c r="F35" i="23"/>
  <c r="H28" i="23"/>
  <c r="H31" i="23"/>
  <c r="I31" i="23" s="1"/>
  <c r="J31" i="23" s="1"/>
  <c r="H32" i="23"/>
  <c r="H33" i="23"/>
  <c r="I33" i="23" s="1"/>
  <c r="J33" i="23" s="1"/>
  <c r="H34" i="23"/>
  <c r="I34" i="23" s="1"/>
  <c r="J34" i="23" s="1"/>
  <c r="H30" i="23"/>
  <c r="I30" i="23" s="1"/>
  <c r="J30" i="23" s="1"/>
  <c r="I32" i="23"/>
  <c r="J32" i="23" s="1"/>
  <c r="F31" i="23"/>
  <c r="G31" i="23"/>
  <c r="F32" i="23"/>
  <c r="G32" i="23"/>
  <c r="F33" i="23"/>
  <c r="G33" i="23" s="1"/>
  <c r="F34" i="23"/>
  <c r="G34" i="23" s="1"/>
  <c r="G30" i="23"/>
  <c r="F30" i="23"/>
  <c r="F29" i="23"/>
  <c r="H23" i="23"/>
  <c r="I23" i="23" s="1"/>
  <c r="J23" i="23" s="1"/>
  <c r="H24" i="23"/>
  <c r="I24" i="23" s="1"/>
  <c r="J24" i="23" s="1"/>
  <c r="H25" i="23"/>
  <c r="I25" i="23" s="1"/>
  <c r="J25" i="23" s="1"/>
  <c r="H26" i="23"/>
  <c r="I26" i="23" s="1"/>
  <c r="J26" i="23" s="1"/>
  <c r="H22" i="23"/>
  <c r="G23" i="23"/>
  <c r="G24" i="23"/>
  <c r="G25" i="23"/>
  <c r="G26" i="23"/>
  <c r="K29" i="23" l="1"/>
  <c r="S8" i="8" s="1"/>
  <c r="I37" i="23"/>
  <c r="J37" i="23" s="1"/>
  <c r="I38" i="23"/>
  <c r="J38" i="23" s="1"/>
  <c r="I39" i="23"/>
  <c r="J39" i="23" s="1"/>
  <c r="K35" i="23" l="1"/>
  <c r="S14" i="8" s="1"/>
  <c r="H17" i="23"/>
  <c r="I17" i="23" s="1"/>
  <c r="J17" i="23" s="1"/>
  <c r="H18" i="23"/>
  <c r="I18" i="23" s="1"/>
  <c r="J18" i="23" s="1"/>
  <c r="H19" i="23"/>
  <c r="I19" i="23" s="1"/>
  <c r="J19" i="23" s="1"/>
  <c r="H20" i="23"/>
  <c r="I20" i="23" s="1"/>
  <c r="J20" i="23" s="1"/>
  <c r="G17" i="23"/>
  <c r="G18" i="23"/>
  <c r="G19" i="23"/>
  <c r="G20" i="23"/>
  <c r="G14" i="23"/>
  <c r="G13" i="23"/>
  <c r="H14" i="23"/>
  <c r="H8" i="23"/>
  <c r="I8" i="23" s="1"/>
  <c r="J8" i="23" s="1"/>
  <c r="G8" i="23"/>
  <c r="F28" i="23"/>
  <c r="G28" i="23" s="1"/>
  <c r="F27" i="23"/>
  <c r="F26" i="23"/>
  <c r="F25" i="23"/>
  <c r="F24" i="23"/>
  <c r="F23" i="23"/>
  <c r="F22" i="23"/>
  <c r="G22" i="23" s="1"/>
  <c r="I22" i="23" s="1"/>
  <c r="J22" i="23" s="1"/>
  <c r="K21" i="23" s="1"/>
  <c r="S5" i="8" s="1"/>
  <c r="F21" i="23"/>
  <c r="F20" i="23"/>
  <c r="F19" i="23"/>
  <c r="F18" i="23"/>
  <c r="F17" i="23"/>
  <c r="F16" i="23"/>
  <c r="G16" i="23" s="1"/>
  <c r="H16" i="23" s="1"/>
  <c r="I16" i="23" s="1"/>
  <c r="J16" i="23" s="1"/>
  <c r="F15" i="23"/>
  <c r="F14" i="23"/>
  <c r="F13" i="23"/>
  <c r="F12" i="23"/>
  <c r="F11" i="23"/>
  <c r="F10" i="23"/>
  <c r="F9" i="23"/>
  <c r="F8" i="23"/>
  <c r="F7" i="23"/>
  <c r="G7" i="23" s="1"/>
  <c r="H7" i="23" s="1"/>
  <c r="I7" i="23" s="1"/>
  <c r="J7" i="23" s="1"/>
  <c r="F6" i="23"/>
  <c r="G6" i="23" s="1"/>
  <c r="H6" i="23" s="1"/>
  <c r="I6" i="23" s="1"/>
  <c r="J6" i="23" s="1"/>
  <c r="F5" i="23"/>
  <c r="G5" i="23" s="1"/>
  <c r="F4" i="23"/>
  <c r="O97" i="22"/>
  <c r="O89" i="22"/>
  <c r="O88" i="22"/>
  <c r="O87" i="22"/>
  <c r="H3" i="22"/>
  <c r="H4" i="22"/>
  <c r="M4" i="22" s="1"/>
  <c r="P4" i="22" s="1"/>
  <c r="H5" i="22"/>
  <c r="M5" i="22" s="1"/>
  <c r="P5" i="22" s="1"/>
  <c r="H6" i="22"/>
  <c r="M6" i="22" s="1"/>
  <c r="H7" i="22"/>
  <c r="H8" i="22"/>
  <c r="M8" i="22" s="1"/>
  <c r="H9" i="22"/>
  <c r="M9" i="22" s="1"/>
  <c r="H10" i="22"/>
  <c r="M10" i="22" s="1"/>
  <c r="N10" i="22" s="1"/>
  <c r="H11" i="22"/>
  <c r="H12" i="22"/>
  <c r="M12" i="22" s="1"/>
  <c r="H13" i="22"/>
  <c r="M13" i="22" s="1"/>
  <c r="H14" i="22"/>
  <c r="M14" i="22" s="1"/>
  <c r="P14" i="22" s="1"/>
  <c r="H15" i="22"/>
  <c r="J15" i="22" s="1"/>
  <c r="H16" i="22"/>
  <c r="J16" i="22" s="1"/>
  <c r="K16" i="22" s="1"/>
  <c r="H17" i="22"/>
  <c r="J17" i="22" s="1"/>
  <c r="L17" i="22" s="1"/>
  <c r="H18" i="22"/>
  <c r="J18" i="22" s="1"/>
  <c r="H19" i="22"/>
  <c r="H20" i="22"/>
  <c r="M20" i="22" s="1"/>
  <c r="H21" i="22"/>
  <c r="M21" i="22" s="1"/>
  <c r="H22" i="22"/>
  <c r="M22" i="22" s="1"/>
  <c r="H23" i="22"/>
  <c r="H24" i="22"/>
  <c r="M24" i="22" s="1"/>
  <c r="P24" i="22" s="1"/>
  <c r="H25" i="22"/>
  <c r="M25" i="22" s="1"/>
  <c r="H26" i="22"/>
  <c r="M26" i="22" s="1"/>
  <c r="H27" i="22"/>
  <c r="H28" i="22"/>
  <c r="H29" i="22"/>
  <c r="J29" i="22" s="1"/>
  <c r="H30" i="22"/>
  <c r="J30" i="22" s="1"/>
  <c r="H31" i="22"/>
  <c r="H32" i="22"/>
  <c r="M32" i="22" s="1"/>
  <c r="P32" i="22" s="1"/>
  <c r="H33" i="22"/>
  <c r="M33" i="22" s="1"/>
  <c r="H34" i="22"/>
  <c r="M34" i="22" s="1"/>
  <c r="P34" i="22" s="1"/>
  <c r="H35" i="22"/>
  <c r="H36" i="22"/>
  <c r="M36" i="22" s="1"/>
  <c r="H37" i="22"/>
  <c r="M37" i="22" s="1"/>
  <c r="P37" i="22" s="1"/>
  <c r="H38" i="22"/>
  <c r="M38" i="22" s="1"/>
  <c r="P38" i="22" s="1"/>
  <c r="H39" i="22"/>
  <c r="H40" i="22"/>
  <c r="M40" i="22" s="1"/>
  <c r="P40" i="22" s="1"/>
  <c r="H41" i="22"/>
  <c r="M41" i="22" s="1"/>
  <c r="P41" i="22" s="1"/>
  <c r="H42" i="22"/>
  <c r="M42" i="22" s="1"/>
  <c r="H43" i="22"/>
  <c r="H44" i="22"/>
  <c r="M44" i="22" s="1"/>
  <c r="P44" i="22" s="1"/>
  <c r="H45" i="22"/>
  <c r="M45" i="22" s="1"/>
  <c r="H46" i="22"/>
  <c r="M46" i="22" s="1"/>
  <c r="N46" i="22" s="1"/>
  <c r="H47" i="22"/>
  <c r="H48" i="22"/>
  <c r="M48" i="22" s="1"/>
  <c r="H49" i="22"/>
  <c r="M49" i="22" s="1"/>
  <c r="P49" i="22" s="1"/>
  <c r="H50" i="22"/>
  <c r="M50" i="22" s="1"/>
  <c r="N50" i="22" s="1"/>
  <c r="H51" i="22"/>
  <c r="H52" i="22"/>
  <c r="M52" i="22" s="1"/>
  <c r="P52" i="22" s="1"/>
  <c r="H53" i="22"/>
  <c r="M53" i="22" s="1"/>
  <c r="P53" i="22" s="1"/>
  <c r="H54" i="22"/>
  <c r="M54" i="22" s="1"/>
  <c r="P54" i="22" s="1"/>
  <c r="H55" i="22"/>
  <c r="H56" i="22"/>
  <c r="M56" i="22" s="1"/>
  <c r="H57" i="22"/>
  <c r="M57" i="22" s="1"/>
  <c r="N57" i="22" s="1"/>
  <c r="H58" i="22"/>
  <c r="M58" i="22" s="1"/>
  <c r="P58" i="22" s="1"/>
  <c r="H59" i="22"/>
  <c r="H60" i="22"/>
  <c r="M60" i="22" s="1"/>
  <c r="P60" i="22" s="1"/>
  <c r="H61" i="22"/>
  <c r="M61" i="22" s="1"/>
  <c r="H62" i="22"/>
  <c r="M62" i="22" s="1"/>
  <c r="H63" i="22"/>
  <c r="H64" i="22"/>
  <c r="M64" i="22" s="1"/>
  <c r="P64" i="22" s="1"/>
  <c r="H65" i="22"/>
  <c r="M65" i="22" s="1"/>
  <c r="N65" i="22" s="1"/>
  <c r="H66" i="22"/>
  <c r="M66" i="22" s="1"/>
  <c r="H67" i="22"/>
  <c r="H68" i="22"/>
  <c r="J68" i="22" s="1"/>
  <c r="H69" i="22"/>
  <c r="H70" i="22"/>
  <c r="J70" i="22" s="1"/>
  <c r="H71" i="22"/>
  <c r="H72" i="22"/>
  <c r="M72" i="22" s="1"/>
  <c r="H73" i="22"/>
  <c r="M73" i="22" s="1"/>
  <c r="P73" i="22" s="1"/>
  <c r="H74" i="22"/>
  <c r="M74" i="22" s="1"/>
  <c r="P74" i="22" s="1"/>
  <c r="H75" i="22"/>
  <c r="H76" i="22"/>
  <c r="M76" i="22" s="1"/>
  <c r="H77" i="22"/>
  <c r="M77" i="22" s="1"/>
  <c r="H78" i="22"/>
  <c r="M78" i="22" s="1"/>
  <c r="H79" i="22"/>
  <c r="H80" i="22"/>
  <c r="M80" i="22" s="1"/>
  <c r="P80" i="22" s="1"/>
  <c r="H81" i="22"/>
  <c r="M81" i="22" s="1"/>
  <c r="P81" i="22" s="1"/>
  <c r="H82" i="22"/>
  <c r="M82" i="22" s="1"/>
  <c r="H83" i="22"/>
  <c r="H84" i="22"/>
  <c r="M84" i="22" s="1"/>
  <c r="H85" i="22"/>
  <c r="M85" i="22" s="1"/>
  <c r="H86" i="22"/>
  <c r="M86" i="22" s="1"/>
  <c r="P86" i="22" s="1"/>
  <c r="H87" i="22"/>
  <c r="H88" i="22"/>
  <c r="M88" i="22" s="1"/>
  <c r="H89" i="22"/>
  <c r="M89" i="22" s="1"/>
  <c r="H90" i="22"/>
  <c r="M90" i="22" s="1"/>
  <c r="P90" i="22" s="1"/>
  <c r="H91" i="22"/>
  <c r="H92" i="22"/>
  <c r="H93" i="22"/>
  <c r="J93" i="22" s="1"/>
  <c r="H94" i="22"/>
  <c r="J94" i="22" s="1"/>
  <c r="H95" i="22"/>
  <c r="H96" i="22"/>
  <c r="M96" i="22" s="1"/>
  <c r="H97" i="22"/>
  <c r="M97" i="22" s="1"/>
  <c r="H98" i="22"/>
  <c r="M98" i="22" s="1"/>
  <c r="P98" i="22" s="1"/>
  <c r="H99" i="22"/>
  <c r="H100" i="22"/>
  <c r="M100" i="22" s="1"/>
  <c r="P100" i="22" s="1"/>
  <c r="H101" i="22"/>
  <c r="M101" i="22" s="1"/>
  <c r="H102" i="22"/>
  <c r="M102" i="22" s="1"/>
  <c r="P102" i="22" s="1"/>
  <c r="H103" i="22"/>
  <c r="H104" i="22"/>
  <c r="M104" i="22" s="1"/>
  <c r="H105" i="22"/>
  <c r="M105" i="22" s="1"/>
  <c r="H106" i="22"/>
  <c r="M106" i="22" s="1"/>
  <c r="P106" i="22" s="1"/>
  <c r="H107" i="22"/>
  <c r="H108" i="22"/>
  <c r="M108" i="22" s="1"/>
  <c r="P108" i="22" s="1"/>
  <c r="H109" i="22"/>
  <c r="M109" i="22" s="1"/>
  <c r="P109" i="22" s="1"/>
  <c r="H110" i="22"/>
  <c r="M110" i="22" s="1"/>
  <c r="P110" i="22" s="1"/>
  <c r="H111" i="22"/>
  <c r="H112" i="22"/>
  <c r="M112" i="22" s="1"/>
  <c r="P112" i="22" s="1"/>
  <c r="H113" i="22"/>
  <c r="M113" i="22" s="1"/>
  <c r="P113" i="22" s="1"/>
  <c r="H114" i="22"/>
  <c r="M114" i="22" s="1"/>
  <c r="P114" i="22" s="1"/>
  <c r="H115" i="22"/>
  <c r="H116" i="22"/>
  <c r="J116" i="22" s="1"/>
  <c r="H117" i="22"/>
  <c r="J117" i="22" s="1"/>
  <c r="H118" i="22"/>
  <c r="J118" i="22" s="1"/>
  <c r="L118" i="22" s="1"/>
  <c r="H119" i="22"/>
  <c r="H120" i="22"/>
  <c r="M3" i="22"/>
  <c r="P3" i="22" s="1"/>
  <c r="M7" i="22"/>
  <c r="N7" i="22" s="1"/>
  <c r="P7" i="22" s="1"/>
  <c r="M11" i="22"/>
  <c r="N11" i="22" s="1"/>
  <c r="P11" i="22" s="1"/>
  <c r="M19" i="22"/>
  <c r="N19" i="22" s="1"/>
  <c r="P19" i="22" s="1"/>
  <c r="M23" i="22"/>
  <c r="M31" i="22"/>
  <c r="P31" i="22" s="1"/>
  <c r="M35" i="22"/>
  <c r="N35" i="22" s="1"/>
  <c r="P35" i="22" s="1"/>
  <c r="M39" i="22"/>
  <c r="P39" i="22" s="1"/>
  <c r="M43" i="22"/>
  <c r="P43" i="22" s="1"/>
  <c r="M47" i="22"/>
  <c r="N47" i="22" s="1"/>
  <c r="P47" i="22" s="1"/>
  <c r="M51" i="22"/>
  <c r="P51" i="22" s="1"/>
  <c r="M55" i="22"/>
  <c r="P55" i="22" s="1"/>
  <c r="M59" i="22"/>
  <c r="P59" i="22" s="1"/>
  <c r="M63" i="22"/>
  <c r="M75" i="22"/>
  <c r="M79" i="22"/>
  <c r="M83" i="22"/>
  <c r="N83" i="22" s="1"/>
  <c r="P83" i="22" s="1"/>
  <c r="M87" i="22"/>
  <c r="N87" i="22" s="1"/>
  <c r="M95" i="22"/>
  <c r="P95" i="22" s="1"/>
  <c r="M99" i="22"/>
  <c r="N99" i="22" s="1"/>
  <c r="P99" i="22" s="1"/>
  <c r="M103" i="22"/>
  <c r="P103" i="22" s="1"/>
  <c r="M107" i="22"/>
  <c r="M111" i="22"/>
  <c r="P111" i="22" s="1"/>
  <c r="M115" i="22"/>
  <c r="P115" i="22" s="1"/>
  <c r="D3" i="22"/>
  <c r="E3" i="22"/>
  <c r="D4" i="22"/>
  <c r="E4" i="22"/>
  <c r="D5" i="22"/>
  <c r="E5" i="22"/>
  <c r="D6" i="22"/>
  <c r="E6" i="22"/>
  <c r="D7" i="22"/>
  <c r="E7" i="22"/>
  <c r="D8" i="22"/>
  <c r="E8" i="22"/>
  <c r="D9" i="22"/>
  <c r="E9" i="22"/>
  <c r="D10" i="22"/>
  <c r="E10" i="22"/>
  <c r="D11" i="22"/>
  <c r="E11" i="22"/>
  <c r="D12" i="22"/>
  <c r="E12" i="22"/>
  <c r="D13" i="22"/>
  <c r="E13" i="22"/>
  <c r="D14" i="22"/>
  <c r="E14" i="22"/>
  <c r="D15" i="22"/>
  <c r="E15" i="22"/>
  <c r="D16" i="22"/>
  <c r="E16" i="22"/>
  <c r="D17" i="22"/>
  <c r="E17" i="22"/>
  <c r="D18" i="22"/>
  <c r="E18" i="22"/>
  <c r="D19" i="22"/>
  <c r="E19" i="22"/>
  <c r="D20" i="22"/>
  <c r="E20" i="22"/>
  <c r="D21" i="22"/>
  <c r="E21" i="22"/>
  <c r="D22" i="22"/>
  <c r="E22" i="22"/>
  <c r="D23" i="22"/>
  <c r="E23" i="22"/>
  <c r="D24" i="22"/>
  <c r="E24" i="22"/>
  <c r="D25" i="22"/>
  <c r="E25" i="22"/>
  <c r="D26" i="22"/>
  <c r="E26" i="22"/>
  <c r="D27" i="22"/>
  <c r="E27" i="22"/>
  <c r="D28" i="22"/>
  <c r="E28" i="22"/>
  <c r="D29" i="22"/>
  <c r="E29" i="22"/>
  <c r="D30" i="22"/>
  <c r="E30" i="22"/>
  <c r="D31" i="22"/>
  <c r="E31" i="22"/>
  <c r="D32" i="22"/>
  <c r="E32" i="22"/>
  <c r="D33" i="22"/>
  <c r="E33" i="22"/>
  <c r="D34" i="22"/>
  <c r="E34" i="22"/>
  <c r="D35" i="22"/>
  <c r="E35" i="22"/>
  <c r="D36" i="22"/>
  <c r="E36" i="22"/>
  <c r="D37" i="22"/>
  <c r="E37" i="22"/>
  <c r="D38" i="22"/>
  <c r="E38" i="22"/>
  <c r="D39" i="22"/>
  <c r="E39" i="22"/>
  <c r="D40" i="22"/>
  <c r="E40" i="22"/>
  <c r="D41" i="22"/>
  <c r="E41" i="22"/>
  <c r="D42" i="22"/>
  <c r="E42" i="22"/>
  <c r="D43" i="22"/>
  <c r="E43" i="22"/>
  <c r="D44" i="22"/>
  <c r="E44" i="22"/>
  <c r="D45" i="22"/>
  <c r="E45" i="22"/>
  <c r="D46" i="22"/>
  <c r="E46" i="22"/>
  <c r="D47" i="22"/>
  <c r="E47" i="22"/>
  <c r="D48" i="22"/>
  <c r="E48" i="22"/>
  <c r="D49" i="22"/>
  <c r="E49" i="22"/>
  <c r="D50" i="22"/>
  <c r="E50" i="22"/>
  <c r="D51" i="22"/>
  <c r="E51" i="22"/>
  <c r="D52" i="22"/>
  <c r="E52" i="22"/>
  <c r="D53" i="22"/>
  <c r="E53" i="22"/>
  <c r="D54" i="22"/>
  <c r="E54" i="22"/>
  <c r="D55" i="22"/>
  <c r="E55" i="22"/>
  <c r="D56" i="22"/>
  <c r="E56" i="22"/>
  <c r="D57" i="22"/>
  <c r="E57" i="22"/>
  <c r="D58" i="22"/>
  <c r="E58" i="22"/>
  <c r="D59" i="22"/>
  <c r="E59" i="22"/>
  <c r="D60" i="22"/>
  <c r="E60" i="22"/>
  <c r="D61" i="22"/>
  <c r="E61" i="22"/>
  <c r="D62" i="22"/>
  <c r="E62" i="22"/>
  <c r="D63" i="22"/>
  <c r="E63" i="22"/>
  <c r="D64" i="22"/>
  <c r="E64" i="22"/>
  <c r="D65" i="22"/>
  <c r="E65" i="22"/>
  <c r="D66" i="22"/>
  <c r="E66" i="22"/>
  <c r="D67" i="22"/>
  <c r="E67" i="22"/>
  <c r="D68" i="22"/>
  <c r="E68" i="22"/>
  <c r="D69" i="22"/>
  <c r="E69" i="22"/>
  <c r="D70" i="22"/>
  <c r="E70" i="22"/>
  <c r="D71" i="22"/>
  <c r="E71" i="22"/>
  <c r="D72" i="22"/>
  <c r="E72" i="22"/>
  <c r="D73" i="22"/>
  <c r="E73" i="22"/>
  <c r="D74" i="22"/>
  <c r="E74" i="22"/>
  <c r="D75" i="22"/>
  <c r="E75" i="22"/>
  <c r="D76" i="22"/>
  <c r="E76" i="22"/>
  <c r="D77" i="22"/>
  <c r="E77" i="22"/>
  <c r="D78" i="22"/>
  <c r="E78" i="22"/>
  <c r="D79" i="22"/>
  <c r="E79" i="22"/>
  <c r="D80" i="22"/>
  <c r="E80" i="22"/>
  <c r="D81" i="22"/>
  <c r="E81" i="22"/>
  <c r="D82" i="22"/>
  <c r="E82" i="22"/>
  <c r="D83" i="22"/>
  <c r="E83" i="22"/>
  <c r="D84" i="22"/>
  <c r="E84" i="22"/>
  <c r="D85" i="22"/>
  <c r="E85" i="22"/>
  <c r="D86" i="22"/>
  <c r="E86" i="22"/>
  <c r="D87" i="22"/>
  <c r="E87" i="22"/>
  <c r="D88" i="22"/>
  <c r="E88" i="22"/>
  <c r="D89" i="22"/>
  <c r="E89" i="22"/>
  <c r="D90" i="22"/>
  <c r="E90" i="22"/>
  <c r="D91" i="22"/>
  <c r="E91" i="22"/>
  <c r="D92" i="22"/>
  <c r="E92" i="22"/>
  <c r="D93" i="22"/>
  <c r="E93" i="22"/>
  <c r="D94" i="22"/>
  <c r="E94" i="22"/>
  <c r="D95" i="22"/>
  <c r="E95" i="22"/>
  <c r="D96" i="22"/>
  <c r="E96" i="22"/>
  <c r="D97" i="22"/>
  <c r="E97" i="22"/>
  <c r="D98" i="22"/>
  <c r="E98" i="22"/>
  <c r="D99" i="22"/>
  <c r="E99" i="22"/>
  <c r="D100" i="22"/>
  <c r="E100" i="22"/>
  <c r="D101" i="22"/>
  <c r="E101" i="22"/>
  <c r="D102" i="22"/>
  <c r="E102" i="22"/>
  <c r="D103" i="22"/>
  <c r="E103" i="22"/>
  <c r="D104" i="22"/>
  <c r="E104" i="22"/>
  <c r="D105" i="22"/>
  <c r="E105" i="22"/>
  <c r="D106" i="22"/>
  <c r="E106" i="22"/>
  <c r="D107" i="22"/>
  <c r="E107" i="22"/>
  <c r="D108" i="22"/>
  <c r="E108" i="22"/>
  <c r="D109" i="22"/>
  <c r="E109" i="22"/>
  <c r="D110" i="22"/>
  <c r="E110" i="22"/>
  <c r="D111" i="22"/>
  <c r="E111" i="22"/>
  <c r="D112" i="22"/>
  <c r="E112" i="22"/>
  <c r="D113" i="22"/>
  <c r="E113" i="22"/>
  <c r="D114" i="22"/>
  <c r="E114" i="22"/>
  <c r="D115" i="22"/>
  <c r="E115" i="22"/>
  <c r="D116" i="22"/>
  <c r="E116" i="22"/>
  <c r="D117" i="22"/>
  <c r="E117" i="22"/>
  <c r="D118" i="22"/>
  <c r="E118" i="22"/>
  <c r="D119" i="22"/>
  <c r="E119" i="22"/>
  <c r="D120" i="22"/>
  <c r="E120" i="22"/>
  <c r="E2" i="22"/>
  <c r="D2" i="22"/>
  <c r="J91" i="22"/>
  <c r="J27" i="22"/>
  <c r="H2" i="22"/>
  <c r="M2" i="22" s="1"/>
  <c r="K15" i="23" l="1"/>
  <c r="S3" i="8" s="1"/>
  <c r="I14" i="23"/>
  <c r="J14" i="23" s="1"/>
  <c r="I13" i="23"/>
  <c r="J13" i="23" s="1"/>
  <c r="H5" i="23"/>
  <c r="I5" i="23" s="1"/>
  <c r="J5" i="23" s="1"/>
  <c r="I28" i="23"/>
  <c r="J28" i="23" s="1"/>
  <c r="K27" i="23" s="1"/>
  <c r="S6" i="8" s="1"/>
  <c r="P87" i="22"/>
  <c r="N48" i="22"/>
  <c r="P48" i="22" s="1"/>
  <c r="N8" i="22"/>
  <c r="P8" i="22" s="1"/>
  <c r="N36" i="22"/>
  <c r="P36" i="22" s="1"/>
  <c r="N20" i="22"/>
  <c r="P20" i="22" s="1"/>
  <c r="N12" i="22"/>
  <c r="P12" i="22" s="1"/>
  <c r="J28" i="22"/>
  <c r="K28" i="22" s="1"/>
  <c r="N104" i="22"/>
  <c r="P104" i="22" s="1"/>
  <c r="P65" i="22"/>
  <c r="P57" i="22"/>
  <c r="P2" i="22"/>
  <c r="N97" i="22"/>
  <c r="P97" i="22" s="1"/>
  <c r="P50" i="22"/>
  <c r="L94" i="22"/>
  <c r="K70" i="22"/>
  <c r="L30" i="22"/>
  <c r="N26" i="22"/>
  <c r="P26" i="22" s="1"/>
  <c r="N9" i="22"/>
  <c r="P9" i="22" s="1"/>
  <c r="P46" i="22"/>
  <c r="P10" i="22"/>
  <c r="N21" i="22"/>
  <c r="P21" i="22" s="1"/>
  <c r="N33" i="22"/>
  <c r="P33" i="22" s="1"/>
  <c r="N6" i="22"/>
  <c r="P6" i="22" s="1"/>
  <c r="N56" i="22"/>
  <c r="P56" i="22" s="1"/>
  <c r="N22" i="22"/>
  <c r="P22" i="22" s="1"/>
  <c r="N72" i="22"/>
  <c r="P72" i="22" s="1"/>
  <c r="N42" i="22"/>
  <c r="P42" i="22" s="1"/>
  <c r="N96" i="22"/>
  <c r="P96" i="22" s="1"/>
  <c r="N66" i="22"/>
  <c r="P66" i="22" s="1"/>
  <c r="L16" i="22"/>
  <c r="M16" i="22" s="1"/>
  <c r="K30" i="22"/>
  <c r="L28" i="22"/>
  <c r="M28" i="22" s="1"/>
  <c r="L29" i="22"/>
  <c r="K29" i="22"/>
  <c r="N23" i="22"/>
  <c r="P23" i="22" s="1"/>
  <c r="L18" i="22"/>
  <c r="O18" i="22" s="1"/>
  <c r="K18" i="22"/>
  <c r="J69" i="22"/>
  <c r="K91" i="22"/>
  <c r="M91" i="22" s="1"/>
  <c r="N84" i="22"/>
  <c r="P84" i="22" s="1"/>
  <c r="L91" i="22"/>
  <c r="K17" i="22"/>
  <c r="O17" i="22" s="1"/>
  <c r="K94" i="22"/>
  <c r="L15" i="22"/>
  <c r="O15" i="22" s="1"/>
  <c r="K15" i="22"/>
  <c r="N82" i="22"/>
  <c r="P82" i="22" s="1"/>
  <c r="N101" i="22"/>
  <c r="P101" i="22" s="1"/>
  <c r="L27" i="22"/>
  <c r="O27" i="22" s="1"/>
  <c r="K27" i="22"/>
  <c r="N88" i="22"/>
  <c r="P88" i="22" s="1"/>
  <c r="N89" i="22"/>
  <c r="P89" i="22" s="1"/>
  <c r="K93" i="22"/>
  <c r="O93" i="22" s="1"/>
  <c r="L93" i="22"/>
  <c r="N13" i="22"/>
  <c r="P13" i="22" s="1"/>
  <c r="K116" i="22"/>
  <c r="L116" i="22"/>
  <c r="K68" i="22"/>
  <c r="L68" i="22"/>
  <c r="O68" i="22" s="1"/>
  <c r="N85" i="22"/>
  <c r="P85" i="22" s="1"/>
  <c r="N107" i="22"/>
  <c r="P107" i="22" s="1"/>
  <c r="L117" i="22"/>
  <c r="K117" i="22"/>
  <c r="O117" i="22" s="1"/>
  <c r="J67" i="22"/>
  <c r="J92" i="22"/>
  <c r="N61" i="22"/>
  <c r="P61" i="22" s="1"/>
  <c r="N75" i="22"/>
  <c r="P75" i="22" s="1"/>
  <c r="N77" i="22"/>
  <c r="P77" i="22" s="1"/>
  <c r="L70" i="22"/>
  <c r="J120" i="22"/>
  <c r="N25" i="22"/>
  <c r="P25" i="22" s="1"/>
  <c r="N45" i="22"/>
  <c r="P45" i="22" s="1"/>
  <c r="N62" i="22"/>
  <c r="P62" i="22" s="1"/>
  <c r="N63" i="22"/>
  <c r="P63" i="22" s="1"/>
  <c r="N76" i="22"/>
  <c r="P76" i="22" s="1"/>
  <c r="N78" i="22"/>
  <c r="P78" i="22" s="1"/>
  <c r="N79" i="22"/>
  <c r="P79" i="22" s="1"/>
  <c r="N105" i="22"/>
  <c r="P105" i="22" s="1"/>
  <c r="K118" i="22"/>
  <c r="O118" i="22" s="1"/>
  <c r="J119" i="22"/>
  <c r="J71" i="22"/>
  <c r="K12" i="23" l="1"/>
  <c r="S16" i="8" s="1"/>
  <c r="J3" i="23"/>
  <c r="K3" i="23" s="1"/>
  <c r="K4" i="23"/>
  <c r="S13" i="8" s="1"/>
  <c r="O29" i="22"/>
  <c r="O94" i="22"/>
  <c r="O116" i="22"/>
  <c r="O70" i="22"/>
  <c r="O16" i="22"/>
  <c r="P16" i="22" s="1"/>
  <c r="M30" i="22"/>
  <c r="O30" i="22"/>
  <c r="O91" i="22"/>
  <c r="P91" i="22" s="1"/>
  <c r="O28" i="22"/>
  <c r="P28" i="22" s="1"/>
  <c r="M18" i="22"/>
  <c r="P18" i="22" s="1"/>
  <c r="M17" i="22"/>
  <c r="P17" i="22" s="1"/>
  <c r="M27" i="22"/>
  <c r="P27" i="22" s="1"/>
  <c r="M117" i="22"/>
  <c r="P117" i="22" s="1"/>
  <c r="M68" i="22"/>
  <c r="M29" i="22"/>
  <c r="P29" i="22" s="1"/>
  <c r="M93" i="22"/>
  <c r="M116" i="22"/>
  <c r="M94" i="22"/>
  <c r="P94" i="22" s="1"/>
  <c r="M15" i="22"/>
  <c r="P15" i="22" s="1"/>
  <c r="M118" i="22"/>
  <c r="P118" i="22" s="1"/>
  <c r="M70" i="22"/>
  <c r="P70" i="22" s="1"/>
  <c r="L69" i="22"/>
  <c r="K69" i="22"/>
  <c r="L67" i="22"/>
  <c r="K67" i="22"/>
  <c r="K119" i="22"/>
  <c r="L119" i="22"/>
  <c r="L71" i="22"/>
  <c r="K71" i="22"/>
  <c r="K120" i="22"/>
  <c r="L120" i="22"/>
  <c r="L92" i="22"/>
  <c r="K92" i="22"/>
  <c r="O71" i="22" l="1"/>
  <c r="O67" i="22"/>
  <c r="P116" i="22"/>
  <c r="O120" i="22"/>
  <c r="O119" i="22"/>
  <c r="O69" i="22"/>
  <c r="P30" i="22"/>
  <c r="M92" i="22"/>
  <c r="M71" i="22"/>
  <c r="P71" i="22" s="1"/>
  <c r="M67" i="22"/>
  <c r="P68" i="22"/>
  <c r="O92" i="22"/>
  <c r="P92" i="22" s="1"/>
  <c r="M120" i="22"/>
  <c r="M119" i="22"/>
  <c r="M69" i="22"/>
  <c r="P93" i="22"/>
  <c r="P120" i="22" l="1"/>
  <c r="P69" i="22"/>
  <c r="P119" i="22"/>
  <c r="P67" i="22"/>
  <c r="S8" i="3" l="1"/>
  <c r="R9" i="3"/>
  <c r="H28" i="20" l="1"/>
  <c r="H7" i="20"/>
  <c r="H6" i="20"/>
  <c r="H5" i="20"/>
  <c r="H6" i="13"/>
  <c r="H5" i="13"/>
  <c r="H7" i="10"/>
  <c r="H6" i="10"/>
  <c r="H5" i="10"/>
  <c r="H33" i="4"/>
  <c r="H32" i="4"/>
  <c r="H31" i="4"/>
  <c r="H30" i="4"/>
  <c r="H6" i="4"/>
  <c r="S1" i="3"/>
  <c r="G5" i="4" l="1"/>
  <c r="G6" i="4"/>
  <c r="G30" i="4"/>
  <c r="G31" i="4"/>
  <c r="G32" i="4"/>
  <c r="G33" i="4"/>
  <c r="G5" i="10"/>
  <c r="G6" i="10"/>
  <c r="G7" i="10"/>
  <c r="G5" i="13"/>
  <c r="G6" i="13"/>
  <c r="G7" i="13"/>
  <c r="G5" i="20"/>
  <c r="G6" i="20"/>
  <c r="G7" i="20"/>
  <c r="G28" i="20"/>
  <c r="H11" i="10" l="1"/>
  <c r="H10" i="10"/>
  <c r="H9" i="10"/>
  <c r="G9" i="10"/>
  <c r="G10" i="10"/>
  <c r="G11" i="10"/>
  <c r="H8" i="7"/>
  <c r="H7" i="7"/>
  <c r="H6" i="7"/>
  <c r="H5" i="7"/>
  <c r="H9" i="4"/>
  <c r="H10" i="4"/>
  <c r="H8" i="4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J16" i="21" s="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197" i="21"/>
  <c r="I2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G197" i="21"/>
  <c r="F197" i="21"/>
  <c r="G196" i="21"/>
  <c r="F196" i="21"/>
  <c r="G195" i="21"/>
  <c r="F195" i="21"/>
  <c r="G194" i="21"/>
  <c r="F194" i="21"/>
  <c r="G193" i="21"/>
  <c r="F193" i="21"/>
  <c r="G192" i="21"/>
  <c r="F192" i="21"/>
  <c r="G191" i="21"/>
  <c r="F191" i="21"/>
  <c r="G190" i="21"/>
  <c r="F190" i="21"/>
  <c r="G189" i="21"/>
  <c r="F189" i="21"/>
  <c r="G188" i="21"/>
  <c r="F188" i="21"/>
  <c r="G187" i="21"/>
  <c r="F187" i="21"/>
  <c r="G186" i="21"/>
  <c r="F186" i="21"/>
  <c r="G185" i="21"/>
  <c r="F185" i="21"/>
  <c r="G184" i="21"/>
  <c r="F184" i="21"/>
  <c r="G183" i="21"/>
  <c r="F183" i="21"/>
  <c r="G182" i="21"/>
  <c r="F182" i="21"/>
  <c r="G181" i="21"/>
  <c r="F181" i="21"/>
  <c r="G180" i="21"/>
  <c r="F180" i="21"/>
  <c r="G179" i="21"/>
  <c r="F179" i="21"/>
  <c r="G178" i="21"/>
  <c r="F178" i="21"/>
  <c r="G177" i="21"/>
  <c r="F177" i="21"/>
  <c r="G176" i="21"/>
  <c r="F176" i="21"/>
  <c r="G175" i="21"/>
  <c r="F175" i="21"/>
  <c r="G174" i="21"/>
  <c r="F174" i="21"/>
  <c r="G173" i="21"/>
  <c r="F173" i="21"/>
  <c r="G172" i="21"/>
  <c r="F172" i="21"/>
  <c r="G171" i="21"/>
  <c r="F171" i="21"/>
  <c r="G170" i="21"/>
  <c r="F170" i="21"/>
  <c r="G169" i="21"/>
  <c r="F169" i="21"/>
  <c r="G168" i="21"/>
  <c r="F168" i="21"/>
  <c r="G167" i="21"/>
  <c r="F167" i="21"/>
  <c r="G166" i="21"/>
  <c r="F166" i="21"/>
  <c r="G165" i="21"/>
  <c r="F165" i="21"/>
  <c r="G164" i="21"/>
  <c r="F164" i="21"/>
  <c r="G163" i="21"/>
  <c r="F163" i="21"/>
  <c r="G162" i="21"/>
  <c r="F162" i="21"/>
  <c r="G161" i="21"/>
  <c r="F161" i="21"/>
  <c r="G160" i="21"/>
  <c r="F160" i="21"/>
  <c r="G159" i="21"/>
  <c r="F159" i="21"/>
  <c r="G158" i="21"/>
  <c r="F158" i="21"/>
  <c r="G157" i="21"/>
  <c r="F157" i="21"/>
  <c r="G156" i="21"/>
  <c r="F156" i="21"/>
  <c r="G155" i="21"/>
  <c r="F155" i="21"/>
  <c r="G154" i="21"/>
  <c r="F154" i="21"/>
  <c r="G153" i="21"/>
  <c r="F153" i="21"/>
  <c r="G152" i="21"/>
  <c r="F152" i="21"/>
  <c r="G151" i="21"/>
  <c r="F151" i="21"/>
  <c r="G150" i="21"/>
  <c r="F150" i="21"/>
  <c r="G149" i="21"/>
  <c r="F149" i="21"/>
  <c r="G148" i="21"/>
  <c r="F148" i="21"/>
  <c r="G147" i="21"/>
  <c r="F147" i="21"/>
  <c r="G146" i="21"/>
  <c r="F146" i="21"/>
  <c r="G145" i="21"/>
  <c r="F145" i="21"/>
  <c r="G144" i="21"/>
  <c r="F144" i="21"/>
  <c r="G143" i="21"/>
  <c r="F143" i="21"/>
  <c r="G142" i="21"/>
  <c r="F142" i="21"/>
  <c r="G141" i="21"/>
  <c r="F141" i="21"/>
  <c r="G140" i="21"/>
  <c r="F140" i="21"/>
  <c r="G139" i="21"/>
  <c r="F139" i="21"/>
  <c r="G138" i="21"/>
  <c r="F138" i="21"/>
  <c r="G137" i="21"/>
  <c r="F137" i="21"/>
  <c r="G136" i="21"/>
  <c r="F136" i="21"/>
  <c r="G135" i="21"/>
  <c r="F135" i="21"/>
  <c r="G134" i="21"/>
  <c r="F134" i="21"/>
  <c r="G133" i="21"/>
  <c r="F133" i="21"/>
  <c r="G132" i="21"/>
  <c r="F132" i="21"/>
  <c r="G131" i="21"/>
  <c r="F131" i="21"/>
  <c r="G130" i="21"/>
  <c r="F130" i="21"/>
  <c r="G129" i="21"/>
  <c r="F129" i="21"/>
  <c r="G128" i="21"/>
  <c r="F128" i="21"/>
  <c r="G127" i="21"/>
  <c r="F127" i="21"/>
  <c r="G126" i="21"/>
  <c r="F126" i="21"/>
  <c r="G125" i="21"/>
  <c r="F125" i="21"/>
  <c r="G124" i="21"/>
  <c r="F124" i="21"/>
  <c r="G123" i="21"/>
  <c r="F123" i="21"/>
  <c r="G122" i="21"/>
  <c r="F122" i="21"/>
  <c r="G121" i="21"/>
  <c r="F121" i="21"/>
  <c r="G120" i="21"/>
  <c r="F120" i="21"/>
  <c r="G119" i="21"/>
  <c r="F119" i="21"/>
  <c r="G118" i="21"/>
  <c r="F118" i="21"/>
  <c r="G117" i="21"/>
  <c r="F117" i="21"/>
  <c r="G116" i="21"/>
  <c r="F116" i="21"/>
  <c r="G115" i="21"/>
  <c r="F115" i="21"/>
  <c r="G114" i="21"/>
  <c r="F114" i="21"/>
  <c r="G113" i="21"/>
  <c r="F113" i="21"/>
  <c r="G112" i="21"/>
  <c r="F112" i="21"/>
  <c r="G111" i="21"/>
  <c r="F111" i="21"/>
  <c r="G110" i="21"/>
  <c r="F110" i="21"/>
  <c r="G109" i="21"/>
  <c r="F109" i="21"/>
  <c r="G108" i="21"/>
  <c r="F108" i="21"/>
  <c r="G107" i="21"/>
  <c r="F107" i="21"/>
  <c r="G106" i="21"/>
  <c r="F106" i="21"/>
  <c r="G105" i="21"/>
  <c r="F105" i="21"/>
  <c r="G104" i="21"/>
  <c r="F104" i="21"/>
  <c r="G103" i="21"/>
  <c r="F103" i="21"/>
  <c r="G102" i="21"/>
  <c r="F102" i="21"/>
  <c r="G101" i="21"/>
  <c r="F101" i="21"/>
  <c r="G100" i="21"/>
  <c r="F100" i="21"/>
  <c r="G99" i="21"/>
  <c r="F99" i="21"/>
  <c r="G98" i="21"/>
  <c r="F98" i="21"/>
  <c r="G97" i="21"/>
  <c r="F97" i="21"/>
  <c r="G96" i="21"/>
  <c r="F96" i="21"/>
  <c r="G95" i="21"/>
  <c r="F95" i="21"/>
  <c r="G94" i="21"/>
  <c r="F94" i="21"/>
  <c r="G93" i="21"/>
  <c r="F93" i="21"/>
  <c r="G92" i="21"/>
  <c r="F92" i="21"/>
  <c r="G91" i="21"/>
  <c r="F91" i="21"/>
  <c r="G90" i="21"/>
  <c r="F90" i="21"/>
  <c r="G89" i="21"/>
  <c r="F89" i="21"/>
  <c r="G88" i="21"/>
  <c r="F88" i="21"/>
  <c r="G87" i="21"/>
  <c r="F87" i="21"/>
  <c r="G86" i="21"/>
  <c r="F86" i="21"/>
  <c r="G85" i="21"/>
  <c r="F85" i="21"/>
  <c r="G84" i="21"/>
  <c r="F84" i="21"/>
  <c r="G83" i="21"/>
  <c r="F83" i="21"/>
  <c r="G82" i="21"/>
  <c r="F82" i="21"/>
  <c r="G81" i="21"/>
  <c r="F81" i="21"/>
  <c r="G80" i="21"/>
  <c r="F80" i="21"/>
  <c r="G79" i="21"/>
  <c r="F79" i="21"/>
  <c r="G78" i="21"/>
  <c r="F78" i="21"/>
  <c r="G77" i="21"/>
  <c r="F77" i="21"/>
  <c r="G76" i="21"/>
  <c r="F76" i="21"/>
  <c r="G75" i="21"/>
  <c r="F75" i="21"/>
  <c r="G74" i="21"/>
  <c r="F74" i="21"/>
  <c r="G73" i="21"/>
  <c r="F73" i="21"/>
  <c r="G72" i="21"/>
  <c r="F72" i="21"/>
  <c r="G71" i="21"/>
  <c r="F71" i="21"/>
  <c r="G70" i="21"/>
  <c r="F70" i="21"/>
  <c r="G69" i="21"/>
  <c r="F69" i="21"/>
  <c r="G68" i="21"/>
  <c r="F68" i="21"/>
  <c r="G67" i="21"/>
  <c r="F67" i="21"/>
  <c r="G66" i="21"/>
  <c r="F66" i="21"/>
  <c r="G65" i="21"/>
  <c r="F65" i="21"/>
  <c r="G64" i="21"/>
  <c r="F64" i="21"/>
  <c r="G63" i="21"/>
  <c r="F63" i="21"/>
  <c r="G62" i="21"/>
  <c r="F62" i="21"/>
  <c r="G61" i="21"/>
  <c r="F61" i="21"/>
  <c r="G60" i="21"/>
  <c r="F60" i="21"/>
  <c r="G59" i="21"/>
  <c r="F59" i="21"/>
  <c r="G58" i="21"/>
  <c r="F58" i="21"/>
  <c r="G57" i="21"/>
  <c r="F57" i="21"/>
  <c r="G56" i="21"/>
  <c r="F56" i="21"/>
  <c r="G55" i="21"/>
  <c r="F55" i="21"/>
  <c r="G54" i="21"/>
  <c r="F54" i="21"/>
  <c r="G53" i="21"/>
  <c r="F53" i="21"/>
  <c r="G52" i="21"/>
  <c r="F52" i="21"/>
  <c r="G51" i="21"/>
  <c r="F51" i="21"/>
  <c r="G50" i="21"/>
  <c r="F50" i="21"/>
  <c r="G49" i="21"/>
  <c r="F49" i="21"/>
  <c r="G48" i="21"/>
  <c r="F48" i="21"/>
  <c r="G47" i="21"/>
  <c r="F47" i="21"/>
  <c r="P46" i="21"/>
  <c r="G46" i="21"/>
  <c r="F46" i="21"/>
  <c r="G45" i="21"/>
  <c r="F45" i="21"/>
  <c r="G44" i="21"/>
  <c r="F44" i="21"/>
  <c r="G43" i="21"/>
  <c r="F43" i="21"/>
  <c r="P42" i="21"/>
  <c r="G42" i="21"/>
  <c r="F42" i="21"/>
  <c r="G41" i="21"/>
  <c r="F41" i="21"/>
  <c r="G40" i="21"/>
  <c r="F40" i="21"/>
  <c r="G39" i="21"/>
  <c r="F39" i="21"/>
  <c r="P38" i="21"/>
  <c r="G38" i="21"/>
  <c r="F38" i="21"/>
  <c r="G37" i="21"/>
  <c r="F37" i="21"/>
  <c r="G36" i="21"/>
  <c r="F36" i="21"/>
  <c r="G35" i="21"/>
  <c r="F35" i="21"/>
  <c r="G34" i="21"/>
  <c r="F34" i="21"/>
  <c r="G33" i="21"/>
  <c r="F33" i="21"/>
  <c r="G32" i="21"/>
  <c r="F32" i="21"/>
  <c r="G31" i="21"/>
  <c r="F31" i="21"/>
  <c r="G30" i="21"/>
  <c r="F30" i="21"/>
  <c r="G29" i="21"/>
  <c r="F29" i="21"/>
  <c r="G28" i="21"/>
  <c r="F28" i="21"/>
  <c r="G27" i="21"/>
  <c r="F27" i="21"/>
  <c r="P26" i="21"/>
  <c r="G26" i="21"/>
  <c r="F26" i="21"/>
  <c r="G25" i="21"/>
  <c r="F25" i="21"/>
  <c r="G24" i="21"/>
  <c r="F24" i="21"/>
  <c r="G23" i="21"/>
  <c r="F23" i="21"/>
  <c r="G22" i="21"/>
  <c r="F22" i="21"/>
  <c r="G21" i="21"/>
  <c r="F21" i="21"/>
  <c r="G20" i="21"/>
  <c r="F20" i="21"/>
  <c r="P19" i="21"/>
  <c r="G19" i="21"/>
  <c r="F19" i="21"/>
  <c r="G18" i="21"/>
  <c r="F18" i="21"/>
  <c r="G17" i="21"/>
  <c r="F17" i="21"/>
  <c r="P16" i="21"/>
  <c r="P18" i="21" s="1"/>
  <c r="G16" i="21"/>
  <c r="F16" i="21"/>
  <c r="G15" i="21"/>
  <c r="F15" i="21"/>
  <c r="G14" i="21"/>
  <c r="F14" i="21"/>
  <c r="G13" i="21"/>
  <c r="F13" i="21"/>
  <c r="G12" i="21"/>
  <c r="F12" i="21"/>
  <c r="G11" i="21"/>
  <c r="F11" i="21"/>
  <c r="G10" i="21"/>
  <c r="F10" i="21"/>
  <c r="G9" i="21"/>
  <c r="F9" i="21"/>
  <c r="G8" i="21"/>
  <c r="F8" i="21"/>
  <c r="G7" i="21"/>
  <c r="F7" i="21"/>
  <c r="G6" i="21"/>
  <c r="F6" i="21"/>
  <c r="G5" i="21"/>
  <c r="F5" i="21"/>
  <c r="G4" i="21"/>
  <c r="F4" i="21"/>
  <c r="G3" i="21"/>
  <c r="F3" i="21"/>
  <c r="G2" i="21"/>
  <c r="F2" i="21"/>
  <c r="K16" i="21" l="1"/>
  <c r="J33" i="21"/>
  <c r="K33" i="21" s="1"/>
  <c r="O4" i="21"/>
  <c r="J6" i="21"/>
  <c r="K6" i="21" s="1"/>
  <c r="J14" i="21"/>
  <c r="K14" i="21" s="1"/>
  <c r="J30" i="21"/>
  <c r="K30" i="21" s="1"/>
  <c r="J34" i="21"/>
  <c r="K34" i="21" s="1"/>
  <c r="J29" i="21"/>
  <c r="K29" i="21" s="1"/>
  <c r="J38" i="21"/>
  <c r="K38" i="21" s="1"/>
  <c r="J36" i="21"/>
  <c r="K36" i="21" s="1"/>
  <c r="J37" i="21"/>
  <c r="K37" i="21" s="1"/>
  <c r="J35" i="21"/>
  <c r="K35" i="21" s="1"/>
  <c r="J28" i="21"/>
  <c r="K28" i="21" s="1"/>
  <c r="J32" i="21"/>
  <c r="K32" i="21" s="1"/>
  <c r="J15" i="21"/>
  <c r="K15" i="21" s="1"/>
  <c r="P40" i="21"/>
  <c r="P44" i="21" s="1"/>
  <c r="J27" i="21"/>
  <c r="K27" i="21" s="1"/>
  <c r="J31" i="21"/>
  <c r="K31" i="21" s="1"/>
  <c r="J197" i="21"/>
  <c r="K197" i="21" s="1"/>
  <c r="J196" i="21"/>
  <c r="K196" i="21" s="1"/>
  <c r="J195" i="21"/>
  <c r="K195" i="21" s="1"/>
  <c r="J194" i="21"/>
  <c r="K194" i="21" s="1"/>
  <c r="J193" i="21"/>
  <c r="K193" i="21" s="1"/>
  <c r="J192" i="21"/>
  <c r="K192" i="21" s="1"/>
  <c r="J191" i="21"/>
  <c r="K191" i="21" s="1"/>
  <c r="J190" i="21"/>
  <c r="K190" i="21" s="1"/>
  <c r="J189" i="21"/>
  <c r="K189" i="21" s="1"/>
  <c r="J188" i="21"/>
  <c r="K188" i="21" s="1"/>
  <c r="J187" i="21"/>
  <c r="K187" i="21" s="1"/>
  <c r="J186" i="21"/>
  <c r="K186" i="21" s="1"/>
  <c r="J185" i="21"/>
  <c r="K185" i="21" s="1"/>
  <c r="J184" i="21"/>
  <c r="K184" i="21" s="1"/>
  <c r="J183" i="21"/>
  <c r="K183" i="21" s="1"/>
  <c r="J182" i="21"/>
  <c r="K182" i="21" s="1"/>
  <c r="J181" i="21"/>
  <c r="K181" i="21" s="1"/>
  <c r="J180" i="21"/>
  <c r="K180" i="21" s="1"/>
  <c r="J179" i="21"/>
  <c r="K179" i="21" s="1"/>
  <c r="J178" i="21"/>
  <c r="K178" i="21" s="1"/>
  <c r="J177" i="21"/>
  <c r="K177" i="21" s="1"/>
  <c r="J176" i="21"/>
  <c r="K176" i="21" s="1"/>
  <c r="J175" i="21"/>
  <c r="K175" i="21" s="1"/>
  <c r="J174" i="21"/>
  <c r="K174" i="21" s="1"/>
  <c r="J173" i="21"/>
  <c r="K173" i="21" s="1"/>
  <c r="J172" i="21"/>
  <c r="K172" i="21" s="1"/>
  <c r="J171" i="21"/>
  <c r="K171" i="21" s="1"/>
  <c r="J170" i="21"/>
  <c r="K170" i="21" s="1"/>
  <c r="J169" i="21"/>
  <c r="K169" i="21" s="1"/>
  <c r="J168" i="21"/>
  <c r="K168" i="21" s="1"/>
  <c r="J167" i="21"/>
  <c r="K167" i="21" s="1"/>
  <c r="J166" i="21"/>
  <c r="K166" i="21" s="1"/>
  <c r="J165" i="21"/>
  <c r="K165" i="21" s="1"/>
  <c r="J164" i="21"/>
  <c r="K164" i="21" s="1"/>
  <c r="J163" i="21"/>
  <c r="K163" i="21" s="1"/>
  <c r="J162" i="21"/>
  <c r="K162" i="21" s="1"/>
  <c r="J161" i="21"/>
  <c r="K161" i="21" s="1"/>
  <c r="J160" i="21"/>
  <c r="K160" i="21" s="1"/>
  <c r="J159" i="21"/>
  <c r="K159" i="21" s="1"/>
  <c r="J158" i="21"/>
  <c r="K158" i="21" s="1"/>
  <c r="J157" i="21"/>
  <c r="K157" i="21" s="1"/>
  <c r="J156" i="21"/>
  <c r="K156" i="21" s="1"/>
  <c r="J155" i="21"/>
  <c r="K155" i="21" s="1"/>
  <c r="J154" i="21"/>
  <c r="K154" i="21" s="1"/>
  <c r="J153" i="21"/>
  <c r="K153" i="21" s="1"/>
  <c r="J152" i="21"/>
  <c r="K152" i="21" s="1"/>
  <c r="J151" i="21"/>
  <c r="K151" i="21" s="1"/>
  <c r="J150" i="21"/>
  <c r="K150" i="21" s="1"/>
  <c r="J149" i="21"/>
  <c r="K149" i="21" s="1"/>
  <c r="J148" i="21"/>
  <c r="K148" i="21" s="1"/>
  <c r="J147" i="21"/>
  <c r="K147" i="21" s="1"/>
  <c r="J146" i="21"/>
  <c r="K146" i="21" s="1"/>
  <c r="J145" i="21"/>
  <c r="K145" i="21" s="1"/>
  <c r="J144" i="21"/>
  <c r="K144" i="21" s="1"/>
  <c r="J143" i="21"/>
  <c r="K143" i="21" s="1"/>
  <c r="J142" i="21"/>
  <c r="K142" i="21" s="1"/>
  <c r="J141" i="21"/>
  <c r="K141" i="21" s="1"/>
  <c r="J140" i="21"/>
  <c r="K140" i="21" s="1"/>
  <c r="J139" i="21"/>
  <c r="K139" i="21" s="1"/>
  <c r="J138" i="21"/>
  <c r="K138" i="21" s="1"/>
  <c r="J137" i="21"/>
  <c r="K137" i="21" s="1"/>
  <c r="J136" i="21"/>
  <c r="K136" i="21" s="1"/>
  <c r="J135" i="21"/>
  <c r="K135" i="21" s="1"/>
  <c r="J134" i="21"/>
  <c r="K134" i="21" s="1"/>
  <c r="J133" i="21"/>
  <c r="K133" i="21" s="1"/>
  <c r="J132" i="21"/>
  <c r="K132" i="21" s="1"/>
  <c r="J131" i="21"/>
  <c r="K131" i="21" s="1"/>
  <c r="J130" i="21"/>
  <c r="K130" i="21" s="1"/>
  <c r="J129" i="21"/>
  <c r="K129" i="21" s="1"/>
  <c r="J128" i="21"/>
  <c r="K128" i="21" s="1"/>
  <c r="J127" i="21"/>
  <c r="K127" i="21" s="1"/>
  <c r="J126" i="21"/>
  <c r="K126" i="21" s="1"/>
  <c r="J125" i="21"/>
  <c r="K125" i="21" s="1"/>
  <c r="J124" i="21"/>
  <c r="K124" i="21" s="1"/>
  <c r="J123" i="21"/>
  <c r="K123" i="21" s="1"/>
  <c r="J122" i="21"/>
  <c r="K122" i="21" s="1"/>
  <c r="J121" i="21"/>
  <c r="K121" i="21" s="1"/>
  <c r="J120" i="21"/>
  <c r="K120" i="21" s="1"/>
  <c r="J119" i="21"/>
  <c r="K119" i="21" s="1"/>
  <c r="J45" i="21"/>
  <c r="K45" i="21" s="1"/>
  <c r="J115" i="21"/>
  <c r="K115" i="21" s="1"/>
  <c r="J7" i="21"/>
  <c r="K7" i="21" s="1"/>
  <c r="J8" i="21"/>
  <c r="K8" i="21" s="1"/>
  <c r="J9" i="21"/>
  <c r="K9" i="21" s="1"/>
  <c r="J17" i="21"/>
  <c r="K17" i="21" s="1"/>
  <c r="J18" i="21"/>
  <c r="K18" i="21" s="1"/>
  <c r="J39" i="21"/>
  <c r="K39" i="21" s="1"/>
  <c r="J40" i="21"/>
  <c r="K40" i="21" s="1"/>
  <c r="J47" i="21"/>
  <c r="K47" i="21" s="1"/>
  <c r="J48" i="21"/>
  <c r="K48" i="21" s="1"/>
  <c r="J114" i="21"/>
  <c r="K114" i="21" s="1"/>
  <c r="J118" i="21"/>
  <c r="K118" i="21" s="1"/>
  <c r="J46" i="21"/>
  <c r="K46" i="21" s="1"/>
  <c r="J2" i="21"/>
  <c r="K2" i="21" s="1"/>
  <c r="J3" i="21"/>
  <c r="K3" i="21" s="1"/>
  <c r="J4" i="21"/>
  <c r="K4" i="21" s="1"/>
  <c r="J10" i="21"/>
  <c r="K10" i="21" s="1"/>
  <c r="J11" i="21"/>
  <c r="K11" i="21" s="1"/>
  <c r="J19" i="21"/>
  <c r="K19" i="21" s="1"/>
  <c r="J41" i="21"/>
  <c r="K41" i="21" s="1"/>
  <c r="J42" i="21"/>
  <c r="K42" i="21" s="1"/>
  <c r="J49" i="21"/>
  <c r="K49" i="21" s="1"/>
  <c r="J50" i="21"/>
  <c r="K50" i="21" s="1"/>
  <c r="J62" i="21"/>
  <c r="K62" i="21" s="1"/>
  <c r="J63" i="21"/>
  <c r="K63" i="21" s="1"/>
  <c r="J64" i="21"/>
  <c r="K64" i="21" s="1"/>
  <c r="J65" i="21"/>
  <c r="K65" i="21" s="1"/>
  <c r="J66" i="21"/>
  <c r="K66" i="21" s="1"/>
  <c r="J67" i="21"/>
  <c r="K67" i="21" s="1"/>
  <c r="J68" i="21"/>
  <c r="K68" i="21" s="1"/>
  <c r="J69" i="21"/>
  <c r="K69" i="21" s="1"/>
  <c r="J70" i="21"/>
  <c r="K70" i="21" s="1"/>
  <c r="J71" i="21"/>
  <c r="K71" i="21" s="1"/>
  <c r="J72" i="21"/>
  <c r="K72" i="21" s="1"/>
  <c r="J73" i="21"/>
  <c r="K73" i="21" s="1"/>
  <c r="J74" i="21"/>
  <c r="K74" i="21" s="1"/>
  <c r="J75" i="21"/>
  <c r="K75" i="21" s="1"/>
  <c r="J76" i="21"/>
  <c r="K76" i="21" s="1"/>
  <c r="J77" i="21"/>
  <c r="K77" i="21" s="1"/>
  <c r="J78" i="21"/>
  <c r="K78" i="21" s="1"/>
  <c r="J79" i="21"/>
  <c r="K79" i="21" s="1"/>
  <c r="J80" i="21"/>
  <c r="K80" i="21" s="1"/>
  <c r="J81" i="21"/>
  <c r="K81" i="21" s="1"/>
  <c r="J82" i="21"/>
  <c r="K82" i="21" s="1"/>
  <c r="J83" i="21"/>
  <c r="K83" i="21" s="1"/>
  <c r="J84" i="21"/>
  <c r="K84" i="21" s="1"/>
  <c r="J85" i="21"/>
  <c r="K85" i="21" s="1"/>
  <c r="J86" i="21"/>
  <c r="K86" i="21" s="1"/>
  <c r="J87" i="21"/>
  <c r="K87" i="21" s="1"/>
  <c r="J88" i="21"/>
  <c r="K88" i="21" s="1"/>
  <c r="J89" i="21"/>
  <c r="K89" i="21" s="1"/>
  <c r="J90" i="21"/>
  <c r="K90" i="21" s="1"/>
  <c r="J91" i="21"/>
  <c r="K91" i="21" s="1"/>
  <c r="J92" i="21"/>
  <c r="K92" i="21" s="1"/>
  <c r="J93" i="21"/>
  <c r="K93" i="21" s="1"/>
  <c r="J94" i="21"/>
  <c r="K94" i="21" s="1"/>
  <c r="J95" i="21"/>
  <c r="K95" i="21" s="1"/>
  <c r="J96" i="21"/>
  <c r="K96" i="21" s="1"/>
  <c r="J97" i="21"/>
  <c r="K97" i="21" s="1"/>
  <c r="J98" i="21"/>
  <c r="K98" i="21" s="1"/>
  <c r="J99" i="21"/>
  <c r="K99" i="21" s="1"/>
  <c r="J100" i="21"/>
  <c r="K100" i="21" s="1"/>
  <c r="J101" i="21"/>
  <c r="K101" i="21" s="1"/>
  <c r="J102" i="21"/>
  <c r="K102" i="21" s="1"/>
  <c r="J103" i="21"/>
  <c r="K103" i="21" s="1"/>
  <c r="J104" i="21"/>
  <c r="K104" i="21" s="1"/>
  <c r="J105" i="21"/>
  <c r="K105" i="21" s="1"/>
  <c r="J106" i="21"/>
  <c r="K106" i="21" s="1"/>
  <c r="J107" i="21"/>
  <c r="K107" i="21" s="1"/>
  <c r="J108" i="21"/>
  <c r="K108" i="21" s="1"/>
  <c r="J109" i="21"/>
  <c r="K109" i="21" s="1"/>
  <c r="J110" i="21"/>
  <c r="K110" i="21" s="1"/>
  <c r="J111" i="21"/>
  <c r="K111" i="21" s="1"/>
  <c r="J112" i="21"/>
  <c r="K112" i="21" s="1"/>
  <c r="J113" i="21"/>
  <c r="K113" i="21" s="1"/>
  <c r="J117" i="21"/>
  <c r="K117" i="21" s="1"/>
  <c r="J5" i="21"/>
  <c r="K5" i="21" s="1"/>
  <c r="J12" i="21"/>
  <c r="K12" i="21" s="1"/>
  <c r="J13" i="21"/>
  <c r="K13" i="21" s="1"/>
  <c r="J20" i="21"/>
  <c r="K20" i="21" s="1"/>
  <c r="J21" i="21"/>
  <c r="K21" i="21" s="1"/>
  <c r="J22" i="21"/>
  <c r="K22" i="21" s="1"/>
  <c r="J23" i="21"/>
  <c r="K23" i="21" s="1"/>
  <c r="J24" i="21"/>
  <c r="K24" i="21" s="1"/>
  <c r="J25" i="21"/>
  <c r="K25" i="21" s="1"/>
  <c r="J26" i="21"/>
  <c r="K26" i="21" s="1"/>
  <c r="J43" i="21"/>
  <c r="K43" i="21" s="1"/>
  <c r="J44" i="21"/>
  <c r="K44" i="21" s="1"/>
  <c r="J51" i="21"/>
  <c r="K51" i="21" s="1"/>
  <c r="J52" i="21"/>
  <c r="K52" i="21" s="1"/>
  <c r="J53" i="21"/>
  <c r="K53" i="21" s="1"/>
  <c r="J54" i="21"/>
  <c r="K54" i="21" s="1"/>
  <c r="J116" i="21"/>
  <c r="K116" i="21" s="1"/>
  <c r="P48" i="21" l="1"/>
  <c r="P50" i="21" s="1"/>
  <c r="O5" i="21" s="1"/>
  <c r="O6" i="21" s="1"/>
  <c r="O9" i="21" s="1"/>
  <c r="O13" i="21" l="1"/>
  <c r="O11" i="21"/>
  <c r="B39" i="8" l="1"/>
  <c r="B28" i="8"/>
  <c r="B31" i="8"/>
  <c r="Q37" i="8" l="1"/>
  <c r="Q38" i="8"/>
  <c r="P14" i="8"/>
  <c r="P13" i="8"/>
  <c r="Q32" i="8"/>
  <c r="Q29" i="8"/>
  <c r="P5" i="8"/>
  <c r="Q27" i="8"/>
  <c r="P3" i="8"/>
  <c r="P8" i="8"/>
  <c r="D7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4" i="4"/>
  <c r="H20" i="20" l="1"/>
  <c r="G14" i="20"/>
  <c r="G13" i="20"/>
  <c r="H14" i="20"/>
  <c r="I14" i="20" s="1"/>
  <c r="J14" i="20" s="1"/>
  <c r="H13" i="20"/>
  <c r="K8" i="20"/>
  <c r="F28" i="20"/>
  <c r="F27" i="20"/>
  <c r="F26" i="20"/>
  <c r="G26" i="20" s="1"/>
  <c r="H26" i="20" s="1"/>
  <c r="I26" i="20" s="1"/>
  <c r="J26" i="20" s="1"/>
  <c r="F25" i="20"/>
  <c r="F24" i="20"/>
  <c r="G24" i="20" s="1"/>
  <c r="H24" i="20" s="1"/>
  <c r="I24" i="20" s="1"/>
  <c r="J24" i="20" s="1"/>
  <c r="F23" i="20"/>
  <c r="F22" i="20"/>
  <c r="G22" i="20" s="1"/>
  <c r="H22" i="20" s="1"/>
  <c r="G21" i="20"/>
  <c r="F21" i="20"/>
  <c r="F20" i="20"/>
  <c r="G20" i="20" s="1"/>
  <c r="F19" i="20"/>
  <c r="G19" i="20" s="1"/>
  <c r="F18" i="20"/>
  <c r="G18" i="20" s="1"/>
  <c r="H18" i="20" s="1"/>
  <c r="F17" i="20"/>
  <c r="F16" i="20"/>
  <c r="G16" i="20" s="1"/>
  <c r="H16" i="20" s="1"/>
  <c r="F15" i="20"/>
  <c r="G15" i="20" s="1"/>
  <c r="H15" i="20" s="1"/>
  <c r="F14" i="20"/>
  <c r="F13" i="20"/>
  <c r="F12" i="20"/>
  <c r="F11" i="20"/>
  <c r="G11" i="20" s="1"/>
  <c r="F10" i="20"/>
  <c r="G10" i="20" s="1"/>
  <c r="F9" i="20"/>
  <c r="G9" i="20" s="1"/>
  <c r="F8" i="20"/>
  <c r="F7" i="20"/>
  <c r="F6" i="20"/>
  <c r="F5" i="20"/>
  <c r="F4" i="20"/>
  <c r="H19" i="20" l="1"/>
  <c r="I19" i="20" s="1"/>
  <c r="J19" i="20" s="1"/>
  <c r="G25" i="20"/>
  <c r="H25" i="20" s="1"/>
  <c r="I25" i="20" s="1"/>
  <c r="J25" i="20" s="1"/>
  <c r="K23" i="20" s="1"/>
  <c r="Q8" i="8" s="1"/>
  <c r="I13" i="20"/>
  <c r="J13" i="20" s="1"/>
  <c r="I20" i="20"/>
  <c r="J20" i="20" s="1"/>
  <c r="I5" i="20"/>
  <c r="J5" i="20" s="1"/>
  <c r="I18" i="20"/>
  <c r="J18" i="20" s="1"/>
  <c r="H21" i="20"/>
  <c r="I21" i="20" s="1"/>
  <c r="J21" i="20" s="1"/>
  <c r="I28" i="20"/>
  <c r="J28" i="20" s="1"/>
  <c r="K27" i="20" s="1"/>
  <c r="Q14" i="8" s="1"/>
  <c r="I6" i="20"/>
  <c r="J6" i="20" s="1"/>
  <c r="I22" i="20"/>
  <c r="J22" i="20" s="1"/>
  <c r="I15" i="20"/>
  <c r="J15" i="20" s="1"/>
  <c r="I16" i="20"/>
  <c r="J16" i="20" s="1"/>
  <c r="I7" i="20"/>
  <c r="J7" i="20" s="1"/>
  <c r="K17" i="20" l="1"/>
  <c r="Q5" i="8" s="1"/>
  <c r="K4" i="20"/>
  <c r="Q13" i="8" s="1"/>
  <c r="K12" i="20"/>
  <c r="Q3" i="8" s="1"/>
  <c r="J3" i="20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2" i="19"/>
  <c r="O27" i="19"/>
  <c r="O26" i="19"/>
  <c r="O21" i="19"/>
  <c r="O20" i="19"/>
  <c r="O19" i="19"/>
  <c r="H3" i="19" l="1"/>
  <c r="M3" i="19" s="1"/>
  <c r="N3" i="19" s="1"/>
  <c r="H4" i="19"/>
  <c r="M4" i="19" s="1"/>
  <c r="P4" i="19" s="1"/>
  <c r="H5" i="19"/>
  <c r="M5" i="19" s="1"/>
  <c r="P5" i="19" s="1"/>
  <c r="H6" i="19"/>
  <c r="M6" i="19" s="1"/>
  <c r="P6" i="19" s="1"/>
  <c r="H7" i="19"/>
  <c r="M7" i="19" s="1"/>
  <c r="P7" i="19" s="1"/>
  <c r="H8" i="19"/>
  <c r="M8" i="19" s="1"/>
  <c r="P8" i="19" s="1"/>
  <c r="H9" i="19"/>
  <c r="M9" i="19" s="1"/>
  <c r="P9" i="19" s="1"/>
  <c r="H10" i="19"/>
  <c r="M10" i="19" s="1"/>
  <c r="P10" i="19" s="1"/>
  <c r="H11" i="19"/>
  <c r="M11" i="19" s="1"/>
  <c r="P11" i="19" s="1"/>
  <c r="H12" i="19"/>
  <c r="M12" i="19" s="1"/>
  <c r="P12" i="19" s="1"/>
  <c r="H13" i="19"/>
  <c r="M13" i="19" s="1"/>
  <c r="P13" i="19" s="1"/>
  <c r="H14" i="19"/>
  <c r="M14" i="19" s="1"/>
  <c r="P14" i="19" s="1"/>
  <c r="H15" i="19"/>
  <c r="M15" i="19" s="1"/>
  <c r="P15" i="19" s="1"/>
  <c r="H16" i="19"/>
  <c r="M16" i="19" s="1"/>
  <c r="P16" i="19" s="1"/>
  <c r="H17" i="19"/>
  <c r="H18" i="19"/>
  <c r="M18" i="19" s="1"/>
  <c r="P18" i="19" s="1"/>
  <c r="H19" i="19"/>
  <c r="H20" i="19"/>
  <c r="H21" i="19"/>
  <c r="H22" i="19"/>
  <c r="M22" i="19" s="1"/>
  <c r="H23" i="19"/>
  <c r="M23" i="19" s="1"/>
  <c r="P23" i="19" s="1"/>
  <c r="H24" i="19"/>
  <c r="M24" i="19" s="1"/>
  <c r="P24" i="19" s="1"/>
  <c r="H25" i="19"/>
  <c r="H26" i="19"/>
  <c r="H27" i="19"/>
  <c r="J27" i="19" s="1"/>
  <c r="H28" i="19"/>
  <c r="M28" i="19" s="1"/>
  <c r="H29" i="19"/>
  <c r="M29" i="19" s="1"/>
  <c r="H30" i="19"/>
  <c r="M30" i="19" s="1"/>
  <c r="H31" i="19"/>
  <c r="H32" i="19"/>
  <c r="M32" i="19" s="1"/>
  <c r="H33" i="19"/>
  <c r="M33" i="19" s="1"/>
  <c r="P33" i="19" s="1"/>
  <c r="H34" i="19"/>
  <c r="M34" i="19" s="1"/>
  <c r="P34" i="19" s="1"/>
  <c r="H35" i="19"/>
  <c r="M35" i="19" s="1"/>
  <c r="P35" i="19" s="1"/>
  <c r="H36" i="19"/>
  <c r="M36" i="19" s="1"/>
  <c r="H37" i="19"/>
  <c r="M37" i="19" s="1"/>
  <c r="P37" i="19" s="1"/>
  <c r="H38" i="19"/>
  <c r="M38" i="19" s="1"/>
  <c r="H39" i="19"/>
  <c r="M39" i="19" s="1"/>
  <c r="H40" i="19"/>
  <c r="M40" i="19" s="1"/>
  <c r="P40" i="19" s="1"/>
  <c r="H41" i="19"/>
  <c r="M41" i="19" s="1"/>
  <c r="P41" i="19" s="1"/>
  <c r="H42" i="19"/>
  <c r="M42" i="19" s="1"/>
  <c r="P42" i="19" s="1"/>
  <c r="H43" i="19"/>
  <c r="M43" i="19" s="1"/>
  <c r="P43" i="19" s="1"/>
  <c r="H44" i="19"/>
  <c r="M44" i="19" s="1"/>
  <c r="H45" i="19"/>
  <c r="M45" i="19" s="1"/>
  <c r="H46" i="19"/>
  <c r="M46" i="19" s="1"/>
  <c r="H47" i="19"/>
  <c r="M47" i="19" s="1"/>
  <c r="H48" i="19"/>
  <c r="M48" i="19" s="1"/>
  <c r="P48" i="19" s="1"/>
  <c r="H49" i="19"/>
  <c r="M49" i="19" s="1"/>
  <c r="H50" i="19"/>
  <c r="M50" i="19" s="1"/>
  <c r="H51" i="19"/>
  <c r="M51" i="19" s="1"/>
  <c r="H52" i="19"/>
  <c r="M52" i="19" s="1"/>
  <c r="H53" i="19"/>
  <c r="M53" i="19" s="1"/>
  <c r="H54" i="19"/>
  <c r="M54" i="19" s="1"/>
  <c r="H55" i="19"/>
  <c r="M55" i="19" s="1"/>
  <c r="P55" i="19" s="1"/>
  <c r="H56" i="19"/>
  <c r="M56" i="19" s="1"/>
  <c r="H57" i="19"/>
  <c r="M57" i="19" s="1"/>
  <c r="P57" i="19" s="1"/>
  <c r="H58" i="19"/>
  <c r="M58" i="19" s="1"/>
  <c r="P58" i="19" s="1"/>
  <c r="H59" i="19"/>
  <c r="M59" i="19" s="1"/>
  <c r="P59" i="19" s="1"/>
  <c r="H60" i="19"/>
  <c r="M60" i="19" s="1"/>
  <c r="P60" i="19" s="1"/>
  <c r="H61" i="19"/>
  <c r="M61" i="19" s="1"/>
  <c r="P61" i="19" s="1"/>
  <c r="H62" i="19"/>
  <c r="M62" i="19" s="1"/>
  <c r="P62" i="19" s="1"/>
  <c r="H63" i="19"/>
  <c r="M63" i="19" s="1"/>
  <c r="H64" i="19"/>
  <c r="M64" i="19" s="1"/>
  <c r="H65" i="19"/>
  <c r="M65" i="19" s="1"/>
  <c r="P65" i="19" s="1"/>
  <c r="H66" i="19"/>
  <c r="H67" i="19"/>
  <c r="H68" i="19"/>
  <c r="H69" i="19"/>
  <c r="H70" i="19"/>
  <c r="H71" i="19"/>
  <c r="H72" i="19"/>
  <c r="M72" i="19" s="1"/>
  <c r="H73" i="19"/>
  <c r="H74" i="19"/>
  <c r="M74" i="19" s="1"/>
  <c r="P74" i="19" s="1"/>
  <c r="H75" i="19"/>
  <c r="M75" i="19" s="1"/>
  <c r="P75" i="19" s="1"/>
  <c r="H76" i="19"/>
  <c r="M76" i="19" s="1"/>
  <c r="P76" i="19" s="1"/>
  <c r="H77" i="19"/>
  <c r="M77" i="19" s="1"/>
  <c r="N77" i="19" s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2" i="19"/>
  <c r="H2" i="19"/>
  <c r="M2" i="19" s="1"/>
  <c r="P2" i="19" s="1"/>
  <c r="J66" i="19" l="1"/>
  <c r="L66" i="19" s="1"/>
  <c r="J67" i="19"/>
  <c r="K67" i="19" s="1"/>
  <c r="J21" i="19"/>
  <c r="M21" i="19" s="1"/>
  <c r="N21" i="19" s="1"/>
  <c r="P21" i="19" s="1"/>
  <c r="M27" i="19"/>
  <c r="N27" i="19" s="1"/>
  <c r="P27" i="19" s="1"/>
  <c r="P77" i="19"/>
  <c r="N29" i="19"/>
  <c r="P29" i="19" s="1"/>
  <c r="N72" i="19"/>
  <c r="P72" i="19" s="1"/>
  <c r="N56" i="19"/>
  <c r="P56" i="19" s="1"/>
  <c r="P3" i="19"/>
  <c r="N38" i="19"/>
  <c r="P38" i="19" s="1"/>
  <c r="M73" i="19"/>
  <c r="M25" i="19"/>
  <c r="N25" i="19" s="1"/>
  <c r="M17" i="19"/>
  <c r="N17" i="19" s="1"/>
  <c r="M71" i="19"/>
  <c r="N71" i="19" s="1"/>
  <c r="M31" i="19"/>
  <c r="N31" i="19" s="1"/>
  <c r="N47" i="19"/>
  <c r="P47" i="19" s="1"/>
  <c r="N51" i="19"/>
  <c r="P51" i="19" s="1"/>
  <c r="J19" i="19"/>
  <c r="M19" i="19" s="1"/>
  <c r="N22" i="19"/>
  <c r="P22" i="19" s="1"/>
  <c r="K66" i="19"/>
  <c r="N45" i="19"/>
  <c r="P45" i="19" s="1"/>
  <c r="N49" i="19"/>
  <c r="P49" i="19" s="1"/>
  <c r="N53" i="19"/>
  <c r="P53" i="19" s="1"/>
  <c r="N63" i="19"/>
  <c r="P63" i="19" s="1"/>
  <c r="N44" i="19"/>
  <c r="P44" i="19" s="1"/>
  <c r="N52" i="19"/>
  <c r="P52" i="19" s="1"/>
  <c r="N36" i="19"/>
  <c r="P36" i="19" s="1"/>
  <c r="N39" i="19"/>
  <c r="P39" i="19" s="1"/>
  <c r="N46" i="19"/>
  <c r="P46" i="19" s="1"/>
  <c r="N50" i="19"/>
  <c r="P50" i="19" s="1"/>
  <c r="N54" i="19"/>
  <c r="P54" i="19" s="1"/>
  <c r="N64" i="19"/>
  <c r="P64" i="19" s="1"/>
  <c r="N28" i="19"/>
  <c r="P28" i="19" s="1"/>
  <c r="N30" i="19"/>
  <c r="P30" i="19" s="1"/>
  <c r="N32" i="19"/>
  <c r="P32" i="19" s="1"/>
  <c r="J70" i="19"/>
  <c r="J20" i="19"/>
  <c r="M20" i="19" s="1"/>
  <c r="J26" i="19"/>
  <c r="M26" i="19" s="1"/>
  <c r="L67" i="19"/>
  <c r="J69" i="19"/>
  <c r="J68" i="19"/>
  <c r="M66" i="19" l="1"/>
  <c r="O66" i="19"/>
  <c r="O67" i="19"/>
  <c r="M67" i="19"/>
  <c r="P17" i="19"/>
  <c r="P31" i="19"/>
  <c r="P71" i="19"/>
  <c r="P25" i="19"/>
  <c r="N73" i="19"/>
  <c r="P73" i="19" s="1"/>
  <c r="N19" i="19"/>
  <c r="P19" i="19" s="1"/>
  <c r="N26" i="19"/>
  <c r="P26" i="19" s="1"/>
  <c r="L68" i="19"/>
  <c r="K68" i="19"/>
  <c r="N20" i="19"/>
  <c r="P20" i="19" s="1"/>
  <c r="K69" i="19"/>
  <c r="L69" i="19"/>
  <c r="L70" i="19"/>
  <c r="K70" i="19"/>
  <c r="O70" i="19" l="1"/>
  <c r="M68" i="19"/>
  <c r="O69" i="19"/>
  <c r="P66" i="19"/>
  <c r="P67" i="19"/>
  <c r="O68" i="19"/>
  <c r="P68" i="19" s="1"/>
  <c r="M69" i="19"/>
  <c r="M70" i="19"/>
  <c r="P70" i="19" l="1"/>
  <c r="P69" i="19"/>
  <c r="O32" i="8" l="1"/>
  <c r="O29" i="8"/>
  <c r="O27" i="8"/>
  <c r="N8" i="8" l="1"/>
  <c r="N5" i="8"/>
  <c r="N3" i="8"/>
  <c r="F17" i="18" l="1"/>
  <c r="G17" i="18" s="1"/>
  <c r="F16" i="18"/>
  <c r="G16" i="18" s="1"/>
  <c r="F15" i="18"/>
  <c r="F14" i="18"/>
  <c r="G14" i="18" s="1"/>
  <c r="F13" i="18"/>
  <c r="G13" i="18" s="1"/>
  <c r="F12" i="18"/>
  <c r="G12" i="18" s="1"/>
  <c r="F11" i="18"/>
  <c r="G11" i="18" s="1"/>
  <c r="F10" i="18"/>
  <c r="G10" i="18" s="1"/>
  <c r="F9" i="18"/>
  <c r="F8" i="18"/>
  <c r="G8" i="18" s="1"/>
  <c r="F7" i="18"/>
  <c r="G7" i="18" s="1"/>
  <c r="F6" i="18"/>
  <c r="G6" i="18" s="1"/>
  <c r="F5" i="18"/>
  <c r="G5" i="18" s="1"/>
  <c r="F4" i="18"/>
  <c r="D3" i="17"/>
  <c r="E3" i="17"/>
  <c r="D4" i="17"/>
  <c r="E4" i="17"/>
  <c r="D5" i="17"/>
  <c r="E5" i="17"/>
  <c r="D6" i="17"/>
  <c r="E6" i="17"/>
  <c r="D7" i="17"/>
  <c r="E7" i="17"/>
  <c r="D8" i="17"/>
  <c r="E8" i="17"/>
  <c r="D9" i="17"/>
  <c r="E9" i="17"/>
  <c r="D10" i="17"/>
  <c r="E10" i="17"/>
  <c r="D11" i="17"/>
  <c r="E11" i="17"/>
  <c r="D12" i="17"/>
  <c r="E12" i="17"/>
  <c r="D13" i="17"/>
  <c r="E13" i="17"/>
  <c r="D14" i="17"/>
  <c r="E14" i="17"/>
  <c r="D15" i="17"/>
  <c r="E15" i="17"/>
  <c r="D16" i="17"/>
  <c r="E16" i="17"/>
  <c r="D17" i="17"/>
  <c r="E17" i="17"/>
  <c r="D18" i="17"/>
  <c r="E18" i="17"/>
  <c r="D19" i="17"/>
  <c r="E19" i="17"/>
  <c r="D20" i="17"/>
  <c r="E20" i="17"/>
  <c r="D21" i="17"/>
  <c r="E21" i="17"/>
  <c r="D22" i="17"/>
  <c r="E22" i="17"/>
  <c r="D23" i="17"/>
  <c r="E23" i="17"/>
  <c r="D24" i="17"/>
  <c r="E24" i="17"/>
  <c r="D25" i="17"/>
  <c r="E25" i="17"/>
  <c r="D26" i="17"/>
  <c r="E26" i="17"/>
  <c r="D27" i="17"/>
  <c r="E27" i="17"/>
  <c r="D28" i="17"/>
  <c r="E28" i="17"/>
  <c r="D29" i="17"/>
  <c r="E29" i="17"/>
  <c r="D30" i="17"/>
  <c r="E30" i="17"/>
  <c r="D31" i="17"/>
  <c r="E31" i="17"/>
  <c r="D32" i="17"/>
  <c r="E32" i="17"/>
  <c r="D33" i="17"/>
  <c r="E33" i="17"/>
  <c r="D34" i="17"/>
  <c r="E34" i="17"/>
  <c r="D35" i="17"/>
  <c r="E35" i="17"/>
  <c r="D36" i="17"/>
  <c r="E36" i="17"/>
  <c r="D37" i="17"/>
  <c r="E37" i="17"/>
  <c r="D38" i="17"/>
  <c r="E38" i="17"/>
  <c r="D39" i="17"/>
  <c r="E39" i="17"/>
  <c r="D40" i="17"/>
  <c r="E40" i="17"/>
  <c r="D41" i="17"/>
  <c r="E41" i="17"/>
  <c r="D42" i="17"/>
  <c r="E42" i="17"/>
  <c r="D43" i="17"/>
  <c r="E43" i="17"/>
  <c r="D44" i="17"/>
  <c r="E44" i="17"/>
  <c r="D45" i="17"/>
  <c r="E45" i="17"/>
  <c r="D46" i="17"/>
  <c r="E46" i="17"/>
  <c r="D47" i="17"/>
  <c r="E47" i="17"/>
  <c r="D48" i="17"/>
  <c r="E48" i="17"/>
  <c r="D49" i="17"/>
  <c r="E49" i="17"/>
  <c r="D50" i="17"/>
  <c r="E50" i="17"/>
  <c r="D51" i="17"/>
  <c r="E51" i="17"/>
  <c r="D52" i="17"/>
  <c r="E52" i="17"/>
  <c r="E2" i="17"/>
  <c r="D2" i="17"/>
  <c r="H49" i="17"/>
  <c r="M49" i="17" s="1"/>
  <c r="P49" i="17" s="1"/>
  <c r="H46" i="17"/>
  <c r="M46" i="17" s="1"/>
  <c r="P46" i="17" s="1"/>
  <c r="H45" i="17"/>
  <c r="M45" i="17" s="1"/>
  <c r="P45" i="17" s="1"/>
  <c r="H36" i="17"/>
  <c r="M36" i="17" s="1"/>
  <c r="P36" i="17" s="1"/>
  <c r="H33" i="17"/>
  <c r="M33" i="17" s="1"/>
  <c r="P33" i="17" s="1"/>
  <c r="H29" i="17"/>
  <c r="M29" i="17" s="1"/>
  <c r="P29" i="17" s="1"/>
  <c r="H21" i="17"/>
  <c r="M21" i="17" s="1"/>
  <c r="P21" i="17" s="1"/>
  <c r="H8" i="17"/>
  <c r="M8" i="17" s="1"/>
  <c r="P8" i="17" s="1"/>
  <c r="H52" i="17"/>
  <c r="M52" i="17" s="1"/>
  <c r="H51" i="17"/>
  <c r="M51" i="17" s="1"/>
  <c r="H50" i="17"/>
  <c r="M50" i="17" s="1"/>
  <c r="H48" i="17"/>
  <c r="M48" i="17" s="1"/>
  <c r="P48" i="17" s="1"/>
  <c r="H47" i="17"/>
  <c r="M47" i="17" s="1"/>
  <c r="P47" i="17" s="1"/>
  <c r="H44" i="17"/>
  <c r="M44" i="17" s="1"/>
  <c r="P44" i="17" s="1"/>
  <c r="H43" i="17"/>
  <c r="M43" i="17" s="1"/>
  <c r="P43" i="17" s="1"/>
  <c r="H42" i="17"/>
  <c r="M42" i="17" s="1"/>
  <c r="P42" i="17" s="1"/>
  <c r="H41" i="17"/>
  <c r="M41" i="17" s="1"/>
  <c r="P41" i="17" s="1"/>
  <c r="H40" i="17"/>
  <c r="M40" i="17" s="1"/>
  <c r="P40" i="17" s="1"/>
  <c r="H39" i="17"/>
  <c r="M39" i="17" s="1"/>
  <c r="H38" i="17"/>
  <c r="M38" i="17" s="1"/>
  <c r="H37" i="17"/>
  <c r="M37" i="17" s="1"/>
  <c r="P37" i="17" s="1"/>
  <c r="H35" i="17"/>
  <c r="M35" i="17" s="1"/>
  <c r="P35" i="17" s="1"/>
  <c r="H34" i="17"/>
  <c r="M34" i="17" s="1"/>
  <c r="P34" i="17" s="1"/>
  <c r="H32" i="17"/>
  <c r="M32" i="17" s="1"/>
  <c r="P32" i="17" s="1"/>
  <c r="H31" i="17"/>
  <c r="M31" i="17" s="1"/>
  <c r="P31" i="17" s="1"/>
  <c r="H30" i="17"/>
  <c r="M30" i="17" s="1"/>
  <c r="P30" i="17" s="1"/>
  <c r="H28" i="17"/>
  <c r="M28" i="17" s="1"/>
  <c r="P28" i="17" s="1"/>
  <c r="H27" i="17"/>
  <c r="M27" i="17" s="1"/>
  <c r="P27" i="17" s="1"/>
  <c r="H26" i="17"/>
  <c r="M26" i="17" s="1"/>
  <c r="P26" i="17" s="1"/>
  <c r="H25" i="17"/>
  <c r="M25" i="17" s="1"/>
  <c r="P25" i="17" s="1"/>
  <c r="H24" i="17"/>
  <c r="M24" i="17" s="1"/>
  <c r="P24" i="17" s="1"/>
  <c r="H23" i="17"/>
  <c r="M23" i="17" s="1"/>
  <c r="P23" i="17" s="1"/>
  <c r="H22" i="17"/>
  <c r="M22" i="17" s="1"/>
  <c r="P22" i="17" s="1"/>
  <c r="H20" i="17"/>
  <c r="M20" i="17" s="1"/>
  <c r="P20" i="17" s="1"/>
  <c r="H19" i="17"/>
  <c r="M19" i="17" s="1"/>
  <c r="P19" i="17" s="1"/>
  <c r="H18" i="17"/>
  <c r="M18" i="17" s="1"/>
  <c r="P18" i="17" s="1"/>
  <c r="H16" i="17"/>
  <c r="M16" i="17" s="1"/>
  <c r="P16" i="17" s="1"/>
  <c r="H15" i="17"/>
  <c r="M15" i="17" s="1"/>
  <c r="P15" i="17" s="1"/>
  <c r="H14" i="17"/>
  <c r="M14" i="17" s="1"/>
  <c r="P14" i="17" s="1"/>
  <c r="H13" i="17"/>
  <c r="M13" i="17" s="1"/>
  <c r="P13" i="17" s="1"/>
  <c r="H12" i="17"/>
  <c r="M12" i="17" s="1"/>
  <c r="P12" i="17" s="1"/>
  <c r="H11" i="17"/>
  <c r="M11" i="17" s="1"/>
  <c r="H10" i="17"/>
  <c r="M10" i="17" s="1"/>
  <c r="H9" i="17"/>
  <c r="M9" i="17" s="1"/>
  <c r="P9" i="17" s="1"/>
  <c r="H7" i="17"/>
  <c r="M7" i="17" s="1"/>
  <c r="P7" i="17" s="1"/>
  <c r="H6" i="17"/>
  <c r="M6" i="17" s="1"/>
  <c r="P6" i="17" s="1"/>
  <c r="H5" i="17"/>
  <c r="M5" i="17" s="1"/>
  <c r="H4" i="17"/>
  <c r="M4" i="17" s="1"/>
  <c r="P4" i="17" s="1"/>
  <c r="H3" i="17"/>
  <c r="M3" i="17" s="1"/>
  <c r="P3" i="17" s="1"/>
  <c r="H2" i="17"/>
  <c r="M2" i="17" s="1"/>
  <c r="P2" i="17" s="1"/>
  <c r="H12" i="18" l="1"/>
  <c r="I12" i="18" s="1"/>
  <c r="J12" i="18" s="1"/>
  <c r="H5" i="18"/>
  <c r="I5" i="18" s="1"/>
  <c r="J5" i="18" s="1"/>
  <c r="H7" i="18"/>
  <c r="I7" i="18" s="1"/>
  <c r="J7" i="18" s="1"/>
  <c r="H11" i="18"/>
  <c r="I11" i="18" s="1"/>
  <c r="J11" i="18" s="1"/>
  <c r="H14" i="18"/>
  <c r="I14" i="18" s="1"/>
  <c r="J14" i="18" s="1"/>
  <c r="H8" i="18"/>
  <c r="I8" i="18" s="1"/>
  <c r="J8" i="18" s="1"/>
  <c r="H16" i="18"/>
  <c r="I16" i="18" s="1"/>
  <c r="J16" i="18" s="1"/>
  <c r="H6" i="18"/>
  <c r="I6" i="18" s="1"/>
  <c r="J6" i="18" s="1"/>
  <c r="H10" i="18"/>
  <c r="I10" i="18" s="1"/>
  <c r="J10" i="18" s="1"/>
  <c r="H13" i="18"/>
  <c r="I13" i="18" s="1"/>
  <c r="J13" i="18" s="1"/>
  <c r="H17" i="18"/>
  <c r="I17" i="18" s="1"/>
  <c r="J17" i="18" s="1"/>
  <c r="H17" i="17"/>
  <c r="M17" i="17" s="1"/>
  <c r="P17" i="17" s="1"/>
  <c r="N10" i="17"/>
  <c r="P10" i="17" s="1"/>
  <c r="N38" i="17"/>
  <c r="P38" i="17" s="1"/>
  <c r="N11" i="17"/>
  <c r="P11" i="17" s="1"/>
  <c r="N39" i="17"/>
  <c r="P39" i="17" s="1"/>
  <c r="N5" i="17"/>
  <c r="P5" i="17" s="1"/>
  <c r="N50" i="17"/>
  <c r="P50" i="17" s="1"/>
  <c r="N52" i="17"/>
  <c r="P52" i="17" s="1"/>
  <c r="N51" i="17"/>
  <c r="P51" i="17" s="1"/>
  <c r="K15" i="18" l="1"/>
  <c r="O8" i="8" s="1"/>
  <c r="K4" i="18"/>
  <c r="O3" i="8" s="1"/>
  <c r="K9" i="18"/>
  <c r="O5" i="8" s="1"/>
  <c r="M40" i="8" l="1"/>
  <c r="M32" i="8"/>
  <c r="M31" i="8"/>
  <c r="L16" i="8"/>
  <c r="L8" i="8"/>
  <c r="L7" i="8"/>
  <c r="L5" i="8"/>
  <c r="L3" i="8"/>
  <c r="G6" i="16"/>
  <c r="H6" i="16" s="1"/>
  <c r="I6" i="16" s="1"/>
  <c r="J6" i="16" s="1"/>
  <c r="F24" i="16"/>
  <c r="G24" i="16" s="1"/>
  <c r="H24" i="16" s="1"/>
  <c r="F23" i="16"/>
  <c r="F22" i="16"/>
  <c r="G22" i="16" s="1"/>
  <c r="H22" i="16" s="1"/>
  <c r="F21" i="16"/>
  <c r="G21" i="16" s="1"/>
  <c r="H21" i="16" s="1"/>
  <c r="F20" i="16"/>
  <c r="G20" i="16" s="1"/>
  <c r="F19" i="16"/>
  <c r="G19" i="16" s="1"/>
  <c r="F18" i="16"/>
  <c r="F17" i="16"/>
  <c r="G17" i="16" s="1"/>
  <c r="H17" i="16" s="1"/>
  <c r="F16" i="16"/>
  <c r="G16" i="16" s="1"/>
  <c r="H16" i="16" s="1"/>
  <c r="F15" i="16"/>
  <c r="G15" i="16" s="1"/>
  <c r="H15" i="16" s="1"/>
  <c r="F14" i="16"/>
  <c r="G14" i="16" s="1"/>
  <c r="H14" i="16" s="1"/>
  <c r="F13" i="16"/>
  <c r="G13" i="16" s="1"/>
  <c r="H13" i="16" s="1"/>
  <c r="F12" i="16"/>
  <c r="F11" i="16"/>
  <c r="H10" i="16"/>
  <c r="F10" i="16"/>
  <c r="G10" i="16" s="1"/>
  <c r="F9" i="16"/>
  <c r="F8" i="16"/>
  <c r="G8" i="16" s="1"/>
  <c r="H8" i="16" s="1"/>
  <c r="F7" i="16"/>
  <c r="F6" i="16"/>
  <c r="F5" i="16"/>
  <c r="G5" i="16" s="1"/>
  <c r="H5" i="16" s="1"/>
  <c r="F4" i="16"/>
  <c r="O2" i="14"/>
  <c r="N29" i="14"/>
  <c r="O33" i="14"/>
  <c r="O32" i="14"/>
  <c r="O28" i="14"/>
  <c r="O27" i="14"/>
  <c r="H3" i="14"/>
  <c r="M3" i="14" s="1"/>
  <c r="H4" i="14"/>
  <c r="M4" i="14" s="1"/>
  <c r="P4" i="14" s="1"/>
  <c r="H5" i="14"/>
  <c r="M5" i="14" s="1"/>
  <c r="P5" i="14" s="1"/>
  <c r="H6" i="14"/>
  <c r="M6" i="14" s="1"/>
  <c r="P6" i="14" s="1"/>
  <c r="H7" i="14"/>
  <c r="M7" i="14" s="1"/>
  <c r="P7" i="14" s="1"/>
  <c r="H8" i="14"/>
  <c r="M8" i="14" s="1"/>
  <c r="P8" i="14" s="1"/>
  <c r="H9" i="14"/>
  <c r="M9" i="14" s="1"/>
  <c r="P9" i="14" s="1"/>
  <c r="H10" i="14"/>
  <c r="H11" i="14"/>
  <c r="H12" i="14"/>
  <c r="J12" i="14" s="1"/>
  <c r="L12" i="14" s="1"/>
  <c r="H13" i="14"/>
  <c r="J13" i="14" s="1"/>
  <c r="K13" i="14" s="1"/>
  <c r="H14" i="14"/>
  <c r="J14" i="14" s="1"/>
  <c r="L14" i="14" s="1"/>
  <c r="H15" i="14"/>
  <c r="J15" i="14" s="1"/>
  <c r="H16" i="14"/>
  <c r="J16" i="14" s="1"/>
  <c r="L16" i="14" s="1"/>
  <c r="H17" i="14"/>
  <c r="M17" i="14" s="1"/>
  <c r="P17" i="14" s="1"/>
  <c r="H18" i="14"/>
  <c r="M18" i="14" s="1"/>
  <c r="P18" i="14" s="1"/>
  <c r="H19" i="14"/>
  <c r="M19" i="14" s="1"/>
  <c r="P19" i="14" s="1"/>
  <c r="H20" i="14"/>
  <c r="M20" i="14" s="1"/>
  <c r="P20" i="14" s="1"/>
  <c r="H21" i="14"/>
  <c r="H22" i="14"/>
  <c r="J22" i="14" s="1"/>
  <c r="L22" i="14" s="1"/>
  <c r="H23" i="14"/>
  <c r="J23" i="14" s="1"/>
  <c r="H24" i="14"/>
  <c r="J24" i="14" s="1"/>
  <c r="L24" i="14" s="1"/>
  <c r="H25" i="14"/>
  <c r="J25" i="14" s="1"/>
  <c r="K25" i="14" s="1"/>
  <c r="H26" i="14"/>
  <c r="M26" i="14" s="1"/>
  <c r="H27" i="14"/>
  <c r="J27" i="14" s="1"/>
  <c r="M27" i="14" s="1"/>
  <c r="H28" i="14"/>
  <c r="J28" i="14" s="1"/>
  <c r="H29" i="14"/>
  <c r="M29" i="14" s="1"/>
  <c r="H30" i="14"/>
  <c r="M30" i="14" s="1"/>
  <c r="P30" i="14" s="1"/>
  <c r="H31" i="14"/>
  <c r="M31" i="14" s="1"/>
  <c r="P31" i="14" s="1"/>
  <c r="H32" i="14"/>
  <c r="J32" i="14" s="1"/>
  <c r="M32" i="14" s="1"/>
  <c r="H33" i="14"/>
  <c r="J33" i="14" s="1"/>
  <c r="H34" i="14"/>
  <c r="M34" i="14" s="1"/>
  <c r="P34" i="14" s="1"/>
  <c r="H35" i="14"/>
  <c r="M35" i="14" s="1"/>
  <c r="P35" i="14" s="1"/>
  <c r="H36" i="14"/>
  <c r="M36" i="14" s="1"/>
  <c r="P36" i="14" s="1"/>
  <c r="H37" i="14"/>
  <c r="M37" i="14" s="1"/>
  <c r="P37" i="14" s="1"/>
  <c r="H38" i="14"/>
  <c r="M38" i="14" s="1"/>
  <c r="H39" i="14"/>
  <c r="M39" i="14" s="1"/>
  <c r="H40" i="14"/>
  <c r="M40" i="14" s="1"/>
  <c r="H41" i="14"/>
  <c r="M41" i="14" s="1"/>
  <c r="P41" i="14" s="1"/>
  <c r="H42" i="14"/>
  <c r="M42" i="14" s="1"/>
  <c r="P42" i="14" s="1"/>
  <c r="H43" i="14"/>
  <c r="M43" i="14" s="1"/>
  <c r="P43" i="14" s="1"/>
  <c r="H44" i="14"/>
  <c r="M44" i="14" s="1"/>
  <c r="P44" i="14" s="1"/>
  <c r="H2" i="14"/>
  <c r="M2" i="14" s="1"/>
  <c r="M10" i="14"/>
  <c r="P10" i="14" s="1"/>
  <c r="M11" i="14"/>
  <c r="P11" i="14" s="1"/>
  <c r="D3" i="14"/>
  <c r="E3" i="14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E2" i="14"/>
  <c r="D2" i="14"/>
  <c r="H11" i="16" l="1"/>
  <c r="I11" i="16" s="1"/>
  <c r="J11" i="16" s="1"/>
  <c r="G11" i="16"/>
  <c r="G9" i="16"/>
  <c r="H9" i="16" s="1"/>
  <c r="I9" i="16" s="1"/>
  <c r="J9" i="16" s="1"/>
  <c r="H20" i="16"/>
  <c r="I20" i="16" s="1"/>
  <c r="J20" i="16" s="1"/>
  <c r="H19" i="16"/>
  <c r="I19" i="16" s="1"/>
  <c r="J19" i="16" s="1"/>
  <c r="I15" i="16"/>
  <c r="J15" i="16" s="1"/>
  <c r="I16" i="16"/>
  <c r="J16" i="16" s="1"/>
  <c r="I24" i="16"/>
  <c r="J24" i="16" s="1"/>
  <c r="K23" i="16" s="1"/>
  <c r="M7" i="8" s="1"/>
  <c r="I22" i="16"/>
  <c r="J22" i="16" s="1"/>
  <c r="I21" i="16"/>
  <c r="J21" i="16" s="1"/>
  <c r="I17" i="16"/>
  <c r="J17" i="16" s="1"/>
  <c r="I14" i="16"/>
  <c r="J14" i="16" s="1"/>
  <c r="I13" i="16"/>
  <c r="J13" i="16" s="1"/>
  <c r="I10" i="16"/>
  <c r="J10" i="16" s="1"/>
  <c r="I8" i="16"/>
  <c r="J8" i="16" s="1"/>
  <c r="I5" i="16"/>
  <c r="J5" i="16" s="1"/>
  <c r="K4" i="16" s="1"/>
  <c r="M16" i="8" s="1"/>
  <c r="N2" i="14"/>
  <c r="P2" i="14" s="1"/>
  <c r="N3" i="14"/>
  <c r="P3" i="14" s="1"/>
  <c r="N38" i="14"/>
  <c r="P38" i="14" s="1"/>
  <c r="N39" i="14"/>
  <c r="P39" i="14" s="1"/>
  <c r="N26" i="14"/>
  <c r="P26" i="14" s="1"/>
  <c r="N40" i="14"/>
  <c r="P40" i="14" s="1"/>
  <c r="P29" i="14"/>
  <c r="N32" i="14"/>
  <c r="P32" i="14" s="1"/>
  <c r="N27" i="14"/>
  <c r="P27" i="14" s="1"/>
  <c r="M33" i="14"/>
  <c r="N33" i="14" s="1"/>
  <c r="M28" i="14"/>
  <c r="L23" i="14"/>
  <c r="K23" i="14"/>
  <c r="L15" i="14"/>
  <c r="K15" i="14"/>
  <c r="K16" i="14"/>
  <c r="M16" i="14" s="1"/>
  <c r="J21" i="14"/>
  <c r="K21" i="14" s="1"/>
  <c r="K12" i="14"/>
  <c r="M12" i="14" s="1"/>
  <c r="K24" i="14"/>
  <c r="M24" i="14" s="1"/>
  <c r="L13" i="14"/>
  <c r="M13" i="14" s="1"/>
  <c r="L25" i="14"/>
  <c r="M25" i="14" s="1"/>
  <c r="K14" i="14"/>
  <c r="M14" i="14" s="1"/>
  <c r="K22" i="14"/>
  <c r="M22" i="14" s="1"/>
  <c r="K7" i="16" l="1"/>
  <c r="M3" i="8" s="1"/>
  <c r="K12" i="16"/>
  <c r="M5" i="8" s="1"/>
  <c r="K18" i="16"/>
  <c r="M8" i="8" s="1"/>
  <c r="M23" i="14"/>
  <c r="O23" i="14" s="1"/>
  <c r="P23" i="14" s="1"/>
  <c r="N28" i="14"/>
  <c r="P28" i="14" s="1"/>
  <c r="M15" i="14"/>
  <c r="P33" i="14"/>
  <c r="L21" i="14"/>
  <c r="M21" i="14" s="1"/>
  <c r="O14" i="14"/>
  <c r="P14" i="14" s="1"/>
  <c r="O13" i="14"/>
  <c r="P13" i="14" s="1"/>
  <c r="O12" i="14"/>
  <c r="P12" i="14" s="1"/>
  <c r="O22" i="14"/>
  <c r="P22" i="14" s="1"/>
  <c r="O24" i="14"/>
  <c r="P24" i="14" s="1"/>
  <c r="O15" i="14"/>
  <c r="P15" i="14" s="1"/>
  <c r="O25" i="14"/>
  <c r="P25" i="14" s="1"/>
  <c r="O16" i="14"/>
  <c r="P16" i="14" s="1"/>
  <c r="O21" i="14" l="1"/>
  <c r="P21" i="14" s="1"/>
  <c r="X203" i="3" l="1"/>
  <c r="X204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Y206" i="3"/>
  <c r="X206" i="3" s="1"/>
  <c r="Y205" i="3"/>
  <c r="X205" i="3" s="1"/>
  <c r="K40" i="8" l="1"/>
  <c r="K37" i="8"/>
  <c r="K32" i="8"/>
  <c r="K31" i="8"/>
  <c r="K30" i="8"/>
  <c r="K29" i="8"/>
  <c r="K27" i="8"/>
  <c r="J16" i="8"/>
  <c r="J13" i="8"/>
  <c r="J8" i="8"/>
  <c r="J7" i="8"/>
  <c r="J6" i="8"/>
  <c r="J5" i="8"/>
  <c r="J3" i="8"/>
  <c r="F34" i="13"/>
  <c r="G34" i="13" s="1"/>
  <c r="H34" i="13" s="1"/>
  <c r="I34" i="13" s="1"/>
  <c r="J34" i="13" s="1"/>
  <c r="F33" i="13"/>
  <c r="G33" i="13" s="1"/>
  <c r="H33" i="13" s="1"/>
  <c r="I33" i="13" s="1"/>
  <c r="J33" i="13" s="1"/>
  <c r="F32" i="1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K32" i="13" l="1"/>
  <c r="K7" i="8" s="1"/>
  <c r="F31" i="13" l="1"/>
  <c r="G31" i="13" s="1"/>
  <c r="H31" i="13" s="1"/>
  <c r="I31" i="13" s="1"/>
  <c r="J31" i="13" s="1"/>
  <c r="F30" i="13"/>
  <c r="F29" i="13"/>
  <c r="G29" i="13" s="1"/>
  <c r="H29" i="13" s="1"/>
  <c r="I29" i="13" s="1"/>
  <c r="J29" i="13" s="1"/>
  <c r="F28" i="13"/>
  <c r="G28" i="13" s="1"/>
  <c r="F27" i="13"/>
  <c r="F26" i="13"/>
  <c r="G26" i="13" s="1"/>
  <c r="F25" i="13"/>
  <c r="G25" i="13" s="1"/>
  <c r="F24" i="13"/>
  <c r="F23" i="13"/>
  <c r="F22" i="13"/>
  <c r="G22" i="13" s="1"/>
  <c r="H22" i="13" s="1"/>
  <c r="I22" i="13" s="1"/>
  <c r="J22" i="13" s="1"/>
  <c r="F21" i="13"/>
  <c r="G21" i="13" s="1"/>
  <c r="H21" i="13" s="1"/>
  <c r="I21" i="13" s="1"/>
  <c r="J21" i="13" s="1"/>
  <c r="F20" i="13"/>
  <c r="F19" i="13"/>
  <c r="G19" i="13" s="1"/>
  <c r="H19" i="13" s="1"/>
  <c r="I19" i="13" s="1"/>
  <c r="J19" i="13" s="1"/>
  <c r="F18" i="13"/>
  <c r="G18" i="13" s="1"/>
  <c r="F17" i="13"/>
  <c r="F16" i="13"/>
  <c r="G16" i="13" s="1"/>
  <c r="H16" i="13" s="1"/>
  <c r="I16" i="13" s="1"/>
  <c r="J16" i="13" s="1"/>
  <c r="F15" i="13"/>
  <c r="G15" i="13" s="1"/>
  <c r="H15" i="13" s="1"/>
  <c r="I15" i="13" s="1"/>
  <c r="J15" i="13" s="1"/>
  <c r="F14" i="13"/>
  <c r="G14" i="13" s="1"/>
  <c r="H14" i="13" s="1"/>
  <c r="I14" i="13" s="1"/>
  <c r="J14" i="13" s="1"/>
  <c r="F13" i="13"/>
  <c r="G13" i="13" s="1"/>
  <c r="H13" i="13" s="1"/>
  <c r="I13" i="13" s="1"/>
  <c r="J13" i="13" s="1"/>
  <c r="F12" i="13"/>
  <c r="G12" i="13" s="1"/>
  <c r="H12" i="13" s="1"/>
  <c r="I12" i="13" s="1"/>
  <c r="J12" i="13" s="1"/>
  <c r="F11" i="13"/>
  <c r="G11" i="13" s="1"/>
  <c r="H11" i="13" s="1"/>
  <c r="F10" i="13"/>
  <c r="F9" i="13"/>
  <c r="G9" i="13" s="1"/>
  <c r="H9" i="13" s="1"/>
  <c r="F8" i="13"/>
  <c r="F7" i="13"/>
  <c r="F6" i="13"/>
  <c r="I6" i="13" s="1"/>
  <c r="J6" i="13" s="1"/>
  <c r="F5" i="13"/>
  <c r="F4" i="13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2" i="11"/>
  <c r="O96" i="11"/>
  <c r="O95" i="11"/>
  <c r="O94" i="11"/>
  <c r="O93" i="11"/>
  <c r="O56" i="11"/>
  <c r="O48" i="11"/>
  <c r="O40" i="11"/>
  <c r="F3" i="11"/>
  <c r="H3" i="11" s="1"/>
  <c r="M3" i="11" s="1"/>
  <c r="N3" i="11" s="1"/>
  <c r="F4" i="11"/>
  <c r="H4" i="11" s="1"/>
  <c r="M4" i="11" s="1"/>
  <c r="P4" i="11" s="1"/>
  <c r="F5" i="11"/>
  <c r="H5" i="11" s="1"/>
  <c r="M5" i="11" s="1"/>
  <c r="P5" i="11" s="1"/>
  <c r="F6" i="11"/>
  <c r="H6" i="11" s="1"/>
  <c r="M6" i="11" s="1"/>
  <c r="N6" i="11" s="1"/>
  <c r="F7" i="11"/>
  <c r="H7" i="11" s="1"/>
  <c r="M7" i="11" s="1"/>
  <c r="F8" i="11"/>
  <c r="H8" i="11" s="1"/>
  <c r="M8" i="11" s="1"/>
  <c r="F9" i="11"/>
  <c r="H9" i="11" s="1"/>
  <c r="M9" i="11" s="1"/>
  <c r="P9" i="11" s="1"/>
  <c r="F10" i="11"/>
  <c r="H10" i="11" s="1"/>
  <c r="M10" i="11" s="1"/>
  <c r="P10" i="11" s="1"/>
  <c r="F11" i="11"/>
  <c r="F12" i="11"/>
  <c r="H12" i="11" s="1"/>
  <c r="F13" i="11"/>
  <c r="H13" i="11" s="1"/>
  <c r="J13" i="11" s="1"/>
  <c r="K13" i="11" s="1"/>
  <c r="F14" i="11"/>
  <c r="H14" i="11" s="1"/>
  <c r="J14" i="11" s="1"/>
  <c r="K14" i="11" s="1"/>
  <c r="F15" i="11"/>
  <c r="H15" i="11" s="1"/>
  <c r="F16" i="11"/>
  <c r="H16" i="11" s="1"/>
  <c r="J16" i="11" s="1"/>
  <c r="K16" i="11" s="1"/>
  <c r="F17" i="11"/>
  <c r="H17" i="11" s="1"/>
  <c r="M17" i="11" s="1"/>
  <c r="P17" i="11" s="1"/>
  <c r="F18" i="11"/>
  <c r="H18" i="11" s="1"/>
  <c r="M18" i="11" s="1"/>
  <c r="P18" i="11" s="1"/>
  <c r="F19" i="11"/>
  <c r="H19" i="11" s="1"/>
  <c r="M19" i="11" s="1"/>
  <c r="P19" i="11" s="1"/>
  <c r="F20" i="11"/>
  <c r="H20" i="11" s="1"/>
  <c r="M20" i="11" s="1"/>
  <c r="P20" i="11" s="1"/>
  <c r="F21" i="11"/>
  <c r="H21" i="11" s="1"/>
  <c r="M21" i="11" s="1"/>
  <c r="P21" i="11" s="1"/>
  <c r="F22" i="11"/>
  <c r="H22" i="11" s="1"/>
  <c r="M22" i="11" s="1"/>
  <c r="P22" i="11" s="1"/>
  <c r="F23" i="11"/>
  <c r="F24" i="11"/>
  <c r="H24" i="11" s="1"/>
  <c r="M24" i="11" s="1"/>
  <c r="P24" i="11" s="1"/>
  <c r="F25" i="11"/>
  <c r="H25" i="11" s="1"/>
  <c r="M25" i="11" s="1"/>
  <c r="P25" i="11" s="1"/>
  <c r="F26" i="11"/>
  <c r="H26" i="11" s="1"/>
  <c r="M26" i="11" s="1"/>
  <c r="P26" i="11" s="1"/>
  <c r="F27" i="11"/>
  <c r="H27" i="11" s="1"/>
  <c r="M27" i="11" s="1"/>
  <c r="P27" i="11" s="1"/>
  <c r="F28" i="11"/>
  <c r="H28" i="11" s="1"/>
  <c r="M28" i="11" s="1"/>
  <c r="P28" i="11" s="1"/>
  <c r="F29" i="11"/>
  <c r="H29" i="11" s="1"/>
  <c r="M29" i="11" s="1"/>
  <c r="P29" i="11" s="1"/>
  <c r="F30" i="11"/>
  <c r="H30" i="11" s="1"/>
  <c r="M30" i="11" s="1"/>
  <c r="P30" i="11" s="1"/>
  <c r="F31" i="11"/>
  <c r="H31" i="11" s="1"/>
  <c r="M31" i="11" s="1"/>
  <c r="P31" i="11" s="1"/>
  <c r="F32" i="11"/>
  <c r="H32" i="11" s="1"/>
  <c r="M32" i="11" s="1"/>
  <c r="P32" i="11" s="1"/>
  <c r="F33" i="11"/>
  <c r="H33" i="11" s="1"/>
  <c r="M33" i="11" s="1"/>
  <c r="F34" i="11"/>
  <c r="H34" i="11" s="1"/>
  <c r="M34" i="11" s="1"/>
  <c r="P34" i="11" s="1"/>
  <c r="F35" i="11"/>
  <c r="H35" i="11" s="1"/>
  <c r="M35" i="11" s="1"/>
  <c r="P35" i="11" s="1"/>
  <c r="F36" i="11"/>
  <c r="H36" i="11" s="1"/>
  <c r="M36" i="11" s="1"/>
  <c r="P36" i="11" s="1"/>
  <c r="F37" i="11"/>
  <c r="H37" i="11" s="1"/>
  <c r="M37" i="11" s="1"/>
  <c r="P37" i="11" s="1"/>
  <c r="F38" i="11"/>
  <c r="H38" i="11" s="1"/>
  <c r="M38" i="11" s="1"/>
  <c r="P38" i="11" s="1"/>
  <c r="F39" i="11"/>
  <c r="F40" i="11"/>
  <c r="H40" i="11" s="1"/>
  <c r="M40" i="11" s="1"/>
  <c r="F41" i="11"/>
  <c r="H41" i="11" s="1"/>
  <c r="M41" i="11" s="1"/>
  <c r="P41" i="11" s="1"/>
  <c r="F42" i="11"/>
  <c r="H42" i="11" s="1"/>
  <c r="M42" i="11" s="1"/>
  <c r="F43" i="11"/>
  <c r="H43" i="11" s="1"/>
  <c r="M43" i="11" s="1"/>
  <c r="P43" i="11" s="1"/>
  <c r="F44" i="11"/>
  <c r="H44" i="11" s="1"/>
  <c r="M44" i="11" s="1"/>
  <c r="P44" i="11" s="1"/>
  <c r="F45" i="11"/>
  <c r="H45" i="11" s="1"/>
  <c r="M45" i="11" s="1"/>
  <c r="N45" i="11" s="1"/>
  <c r="F46" i="11"/>
  <c r="H46" i="11" s="1"/>
  <c r="M46" i="11" s="1"/>
  <c r="N46" i="11" s="1"/>
  <c r="F47" i="11"/>
  <c r="H47" i="11" s="1"/>
  <c r="M47" i="11" s="1"/>
  <c r="N47" i="11" s="1"/>
  <c r="F48" i="11"/>
  <c r="H48" i="11" s="1"/>
  <c r="M48" i="11" s="1"/>
  <c r="F49" i="11"/>
  <c r="H49" i="11" s="1"/>
  <c r="M49" i="11" s="1"/>
  <c r="N49" i="11" s="1"/>
  <c r="F50" i="11"/>
  <c r="H50" i="11" s="1"/>
  <c r="M50" i="11" s="1"/>
  <c r="P50" i="11" s="1"/>
  <c r="F51" i="11"/>
  <c r="H51" i="11" s="1"/>
  <c r="M51" i="11" s="1"/>
  <c r="P51" i="11" s="1"/>
  <c r="F52" i="11"/>
  <c r="H52" i="11" s="1"/>
  <c r="M52" i="11" s="1"/>
  <c r="P52" i="11" s="1"/>
  <c r="F53" i="11"/>
  <c r="H53" i="11" s="1"/>
  <c r="M53" i="11" s="1"/>
  <c r="P53" i="11" s="1"/>
  <c r="F54" i="11"/>
  <c r="H54" i="11" s="1"/>
  <c r="M54" i="11" s="1"/>
  <c r="P54" i="11" s="1"/>
  <c r="F55" i="11"/>
  <c r="F56" i="11"/>
  <c r="H56" i="11" s="1"/>
  <c r="M56" i="11" s="1"/>
  <c r="F57" i="11"/>
  <c r="H57" i="11" s="1"/>
  <c r="M57" i="11" s="1"/>
  <c r="F58" i="11"/>
  <c r="H58" i="11" s="1"/>
  <c r="M58" i="11" s="1"/>
  <c r="P58" i="11" s="1"/>
  <c r="F59" i="11"/>
  <c r="H59" i="11" s="1"/>
  <c r="M59" i="11" s="1"/>
  <c r="P59" i="11" s="1"/>
  <c r="F60" i="11"/>
  <c r="H60" i="11" s="1"/>
  <c r="M60" i="11" s="1"/>
  <c r="P60" i="11" s="1"/>
  <c r="F61" i="11"/>
  <c r="H61" i="11" s="1"/>
  <c r="M61" i="11" s="1"/>
  <c r="P61" i="11" s="1"/>
  <c r="F62" i="11"/>
  <c r="H62" i="11" s="1"/>
  <c r="M62" i="11" s="1"/>
  <c r="P62" i="11" s="1"/>
  <c r="F63" i="11"/>
  <c r="H63" i="11" s="1"/>
  <c r="M63" i="11" s="1"/>
  <c r="P63" i="11" s="1"/>
  <c r="F64" i="11"/>
  <c r="H64" i="11" s="1"/>
  <c r="M64" i="11" s="1"/>
  <c r="P64" i="11" s="1"/>
  <c r="F65" i="11"/>
  <c r="H65" i="11" s="1"/>
  <c r="M65" i="11" s="1"/>
  <c r="P65" i="11" s="1"/>
  <c r="F66" i="11"/>
  <c r="H66" i="11" s="1"/>
  <c r="M66" i="11" s="1"/>
  <c r="P66" i="11" s="1"/>
  <c r="F67" i="11"/>
  <c r="F68" i="11"/>
  <c r="H68" i="11" s="1"/>
  <c r="M68" i="11" s="1"/>
  <c r="P68" i="11" s="1"/>
  <c r="F69" i="11"/>
  <c r="H69" i="11" s="1"/>
  <c r="M69" i="11" s="1"/>
  <c r="P69" i="11" s="1"/>
  <c r="F70" i="11"/>
  <c r="H70" i="11" s="1"/>
  <c r="M70" i="11" s="1"/>
  <c r="P70" i="11" s="1"/>
  <c r="F71" i="11"/>
  <c r="H71" i="11" s="1"/>
  <c r="M71" i="11" s="1"/>
  <c r="F72" i="11"/>
  <c r="H72" i="11" s="1"/>
  <c r="M72" i="11" s="1"/>
  <c r="N72" i="11" s="1"/>
  <c r="F73" i="11"/>
  <c r="H73" i="11" s="1"/>
  <c r="M73" i="11" s="1"/>
  <c r="P73" i="11" s="1"/>
  <c r="F74" i="11"/>
  <c r="H74" i="11" s="1"/>
  <c r="M74" i="11" s="1"/>
  <c r="P74" i="11" s="1"/>
  <c r="F75" i="11"/>
  <c r="H75" i="11" s="1"/>
  <c r="M75" i="11" s="1"/>
  <c r="P75" i="11" s="1"/>
  <c r="F76" i="11"/>
  <c r="H76" i="11" s="1"/>
  <c r="M76" i="11" s="1"/>
  <c r="P76" i="11" s="1"/>
  <c r="F77" i="11"/>
  <c r="H77" i="11" s="1"/>
  <c r="M77" i="11" s="1"/>
  <c r="P77" i="11" s="1"/>
  <c r="F78" i="11"/>
  <c r="H78" i="11" s="1"/>
  <c r="M78" i="11" s="1"/>
  <c r="P78" i="11" s="1"/>
  <c r="F79" i="11"/>
  <c r="H79" i="11" s="1"/>
  <c r="M79" i="11" s="1"/>
  <c r="P79" i="11" s="1"/>
  <c r="F80" i="11"/>
  <c r="H80" i="11" s="1"/>
  <c r="J80" i="11" s="1"/>
  <c r="F81" i="11"/>
  <c r="H81" i="11" s="1"/>
  <c r="M81" i="11" s="1"/>
  <c r="P81" i="11" s="1"/>
  <c r="F82" i="11"/>
  <c r="H82" i="11" s="1"/>
  <c r="M82" i="11" s="1"/>
  <c r="P82" i="11" s="1"/>
  <c r="F83" i="11"/>
  <c r="F84" i="11"/>
  <c r="H84" i="11" s="1"/>
  <c r="M84" i="11" s="1"/>
  <c r="N84" i="11" s="1"/>
  <c r="F85" i="11"/>
  <c r="H85" i="11" s="1"/>
  <c r="M85" i="11" s="1"/>
  <c r="P85" i="11" s="1"/>
  <c r="F86" i="11"/>
  <c r="H86" i="11" s="1"/>
  <c r="M86" i="11" s="1"/>
  <c r="P86" i="11" s="1"/>
  <c r="F87" i="11"/>
  <c r="H87" i="11" s="1"/>
  <c r="M87" i="11" s="1"/>
  <c r="P87" i="11" s="1"/>
  <c r="F88" i="11"/>
  <c r="H88" i="11" s="1"/>
  <c r="J88" i="11" s="1"/>
  <c r="M88" i="11" s="1"/>
  <c r="F89" i="11"/>
  <c r="H89" i="11" s="1"/>
  <c r="M89" i="11" s="1"/>
  <c r="P89" i="11" s="1"/>
  <c r="F90" i="11"/>
  <c r="H90" i="11" s="1"/>
  <c r="M90" i="11" s="1"/>
  <c r="F91" i="11"/>
  <c r="H91" i="11" s="1"/>
  <c r="M91" i="11" s="1"/>
  <c r="P91" i="11" s="1"/>
  <c r="F92" i="11"/>
  <c r="H92" i="11" s="1"/>
  <c r="M92" i="11" s="1"/>
  <c r="P92" i="11" s="1"/>
  <c r="F93" i="11"/>
  <c r="H93" i="11" s="1"/>
  <c r="M93" i="11" s="1"/>
  <c r="F94" i="11"/>
  <c r="H94" i="11" s="1"/>
  <c r="M94" i="11" s="1"/>
  <c r="F95" i="11"/>
  <c r="H95" i="11" s="1"/>
  <c r="M95" i="11" s="1"/>
  <c r="F96" i="11"/>
  <c r="H96" i="11" s="1"/>
  <c r="M96" i="11" s="1"/>
  <c r="N96" i="11" s="1"/>
  <c r="P96" i="11" s="1"/>
  <c r="F97" i="11"/>
  <c r="F98" i="11"/>
  <c r="H98" i="11" s="1"/>
  <c r="M98" i="11" s="1"/>
  <c r="P98" i="11" s="1"/>
  <c r="F99" i="11"/>
  <c r="H99" i="11" s="1"/>
  <c r="M99" i="11" s="1"/>
  <c r="P99" i="11" s="1"/>
  <c r="F100" i="11"/>
  <c r="H100" i="11" s="1"/>
  <c r="M100" i="11" s="1"/>
  <c r="P100" i="11" s="1"/>
  <c r="F2" i="11"/>
  <c r="H2" i="11" s="1"/>
  <c r="M2" i="11" s="1"/>
  <c r="P2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2" i="11"/>
  <c r="H97" i="11"/>
  <c r="M97" i="11" s="1"/>
  <c r="P97" i="11" s="1"/>
  <c r="H83" i="11"/>
  <c r="M83" i="11" s="1"/>
  <c r="P83" i="11" s="1"/>
  <c r="H67" i="11"/>
  <c r="M67" i="11" s="1"/>
  <c r="P67" i="11" s="1"/>
  <c r="H55" i="11"/>
  <c r="M55" i="11" s="1"/>
  <c r="H39" i="11"/>
  <c r="M39" i="11" s="1"/>
  <c r="P39" i="11" s="1"/>
  <c r="H23" i="11"/>
  <c r="M23" i="11" s="1"/>
  <c r="P23" i="11" s="1"/>
  <c r="H11" i="11"/>
  <c r="M11" i="11" s="1"/>
  <c r="P11" i="11" s="1"/>
  <c r="H26" i="13" l="1"/>
  <c r="I26" i="13" s="1"/>
  <c r="J26" i="13" s="1"/>
  <c r="I5" i="13"/>
  <c r="J5" i="13" s="1"/>
  <c r="H25" i="13"/>
  <c r="I25" i="13" s="1"/>
  <c r="J25" i="13" s="1"/>
  <c r="H28" i="13"/>
  <c r="I28" i="13" s="1"/>
  <c r="J28" i="13" s="1"/>
  <c r="G20" i="13"/>
  <c r="H20" i="13" s="1"/>
  <c r="I20" i="13" s="1"/>
  <c r="J20" i="13" s="1"/>
  <c r="G23" i="13"/>
  <c r="H23" i="13" s="1"/>
  <c r="I23" i="13" s="1"/>
  <c r="J23" i="13" s="1"/>
  <c r="I7" i="13"/>
  <c r="J7" i="13" s="1"/>
  <c r="H18" i="13"/>
  <c r="I18" i="13" s="1"/>
  <c r="J18" i="13" s="1"/>
  <c r="G30" i="13"/>
  <c r="H30" i="13" s="1"/>
  <c r="I30" i="13" s="1"/>
  <c r="J30" i="13" s="1"/>
  <c r="I9" i="13"/>
  <c r="J9" i="13" s="1"/>
  <c r="K8" i="13" s="1"/>
  <c r="K16" i="8" s="1"/>
  <c r="I11" i="13"/>
  <c r="J11" i="13" s="1"/>
  <c r="K10" i="13" s="1"/>
  <c r="K3" i="8" s="1"/>
  <c r="N94" i="11"/>
  <c r="P94" i="11"/>
  <c r="N7" i="11"/>
  <c r="P7" i="11"/>
  <c r="N48" i="11"/>
  <c r="P48" i="11"/>
  <c r="N42" i="11"/>
  <c r="P42" i="11"/>
  <c r="N71" i="11"/>
  <c r="P71" i="11"/>
  <c r="P3" i="11"/>
  <c r="L14" i="11"/>
  <c r="O14" i="11" s="1"/>
  <c r="L16" i="11"/>
  <c r="O16" i="11" s="1"/>
  <c r="P46" i="11"/>
  <c r="N33" i="11"/>
  <c r="P33" i="11" s="1"/>
  <c r="N40" i="11"/>
  <c r="P40" i="11" s="1"/>
  <c r="P47" i="11"/>
  <c r="P72" i="11"/>
  <c r="M80" i="11"/>
  <c r="P84" i="11"/>
  <c r="N88" i="11"/>
  <c r="P88" i="11" s="1"/>
  <c r="N90" i="11"/>
  <c r="P90" i="11" s="1"/>
  <c r="N93" i="11"/>
  <c r="P93" i="11" s="1"/>
  <c r="J15" i="11"/>
  <c r="N95" i="11"/>
  <c r="P95" i="11" s="1"/>
  <c r="P6" i="11"/>
  <c r="J12" i="11"/>
  <c r="L13" i="11"/>
  <c r="O13" i="11" s="1"/>
  <c r="P45" i="11"/>
  <c r="P49" i="11"/>
  <c r="N55" i="11"/>
  <c r="P55" i="11" s="1"/>
  <c r="N56" i="11"/>
  <c r="P56" i="11" s="1"/>
  <c r="N57" i="11"/>
  <c r="P57" i="11" s="1"/>
  <c r="K24" i="13" l="1"/>
  <c r="K6" i="8" s="1"/>
  <c r="K27" i="13"/>
  <c r="K8" i="8" s="1"/>
  <c r="K4" i="13"/>
  <c r="K13" i="8" s="1"/>
  <c r="K17" i="13"/>
  <c r="K5" i="8" s="1"/>
  <c r="J3" i="13"/>
  <c r="M16" i="11"/>
  <c r="P16" i="11" s="1"/>
  <c r="M13" i="11"/>
  <c r="P13" i="11" s="1"/>
  <c r="M14" i="11"/>
  <c r="P14" i="11" s="1"/>
  <c r="L12" i="11"/>
  <c r="K12" i="11"/>
  <c r="L15" i="11"/>
  <c r="K15" i="11"/>
  <c r="N80" i="11"/>
  <c r="P80" i="11" s="1"/>
  <c r="O12" i="11" l="1"/>
  <c r="M15" i="11"/>
  <c r="M12" i="11"/>
  <c r="O15" i="11"/>
  <c r="P12" i="11" l="1"/>
  <c r="P15" i="11"/>
  <c r="I40" i="8" l="1"/>
  <c r="I37" i="8"/>
  <c r="I36" i="8"/>
  <c r="I29" i="8"/>
  <c r="I32" i="8"/>
  <c r="I27" i="8"/>
  <c r="F31" i="8"/>
  <c r="F30" i="8"/>
  <c r="D31" i="8"/>
  <c r="D30" i="8"/>
  <c r="H16" i="8"/>
  <c r="H12" i="8"/>
  <c r="H13" i="8"/>
  <c r="H8" i="8"/>
  <c r="H5" i="8"/>
  <c r="H3" i="8"/>
  <c r="G28" i="10"/>
  <c r="H28" i="10" s="1"/>
  <c r="H18" i="10"/>
  <c r="I11" i="10"/>
  <c r="J11" i="10" s="1"/>
  <c r="F31" i="10"/>
  <c r="F30" i="10"/>
  <c r="G30" i="10" s="1"/>
  <c r="H30" i="10" s="1"/>
  <c r="I30" i="10" s="1"/>
  <c r="J30" i="10" s="1"/>
  <c r="F29" i="10"/>
  <c r="G29" i="10" s="1"/>
  <c r="H29" i="10" s="1"/>
  <c r="I29" i="10" s="1"/>
  <c r="J29" i="10" s="1"/>
  <c r="F28" i="10"/>
  <c r="F27" i="10"/>
  <c r="G26" i="10"/>
  <c r="H26" i="10" s="1"/>
  <c r="I26" i="10" s="1"/>
  <c r="F26" i="10"/>
  <c r="F25" i="10"/>
  <c r="G25" i="10" s="1"/>
  <c r="H25" i="10" s="1"/>
  <c r="I25" i="10" s="1"/>
  <c r="F24" i="10"/>
  <c r="G24" i="10" s="1"/>
  <c r="H24" i="10" s="1"/>
  <c r="I24" i="10" s="1"/>
  <c r="F23" i="10"/>
  <c r="G23" i="10" s="1"/>
  <c r="H23" i="10" s="1"/>
  <c r="I23" i="10" s="1"/>
  <c r="J23" i="10" s="1"/>
  <c r="F22" i="10"/>
  <c r="G22" i="10" s="1"/>
  <c r="F21" i="10"/>
  <c r="F20" i="10"/>
  <c r="G20" i="10" s="1"/>
  <c r="G19" i="10"/>
  <c r="H19" i="10" s="1"/>
  <c r="F19" i="10"/>
  <c r="F18" i="10"/>
  <c r="G18" i="10" s="1"/>
  <c r="F17" i="10"/>
  <c r="G17" i="10" s="1"/>
  <c r="H17" i="10" s="1"/>
  <c r="I17" i="10" s="1"/>
  <c r="J17" i="10" s="1"/>
  <c r="G16" i="10"/>
  <c r="H16" i="10" s="1"/>
  <c r="F16" i="10"/>
  <c r="F15" i="10"/>
  <c r="F14" i="10"/>
  <c r="G14" i="10" s="1"/>
  <c r="H14" i="10" s="1"/>
  <c r="F13" i="10"/>
  <c r="G13" i="10" s="1"/>
  <c r="H13" i="10" s="1"/>
  <c r="F12" i="10"/>
  <c r="F11" i="10"/>
  <c r="F10" i="10"/>
  <c r="I10" i="10" s="1"/>
  <c r="J10" i="10" s="1"/>
  <c r="I9" i="10"/>
  <c r="J9" i="10" s="1"/>
  <c r="F9" i="10"/>
  <c r="F8" i="10"/>
  <c r="F7" i="10"/>
  <c r="I7" i="10" s="1"/>
  <c r="J7" i="10" s="1"/>
  <c r="I6" i="10"/>
  <c r="J6" i="10" s="1"/>
  <c r="F6" i="10"/>
  <c r="F5" i="10"/>
  <c r="F4" i="10"/>
  <c r="N110" i="9"/>
  <c r="N42" i="9"/>
  <c r="J154" i="9"/>
  <c r="J140" i="9"/>
  <c r="M140" i="9" s="1"/>
  <c r="N140" i="9" s="1"/>
  <c r="J139" i="9"/>
  <c r="M139" i="9" s="1"/>
  <c r="J93" i="9"/>
  <c r="L93" i="9" s="1"/>
  <c r="J92" i="9"/>
  <c r="L92" i="9" s="1"/>
  <c r="J43" i="9"/>
  <c r="K43" i="9" s="1"/>
  <c r="J33" i="9"/>
  <c r="L33" i="9" s="1"/>
  <c r="J32" i="9"/>
  <c r="L32" i="9" s="1"/>
  <c r="J31" i="9"/>
  <c r="K31" i="9" s="1"/>
  <c r="J30" i="9"/>
  <c r="K30" i="9" s="1"/>
  <c r="J29" i="9"/>
  <c r="L29" i="9" s="1"/>
  <c r="J28" i="9"/>
  <c r="L28" i="9" s="1"/>
  <c r="J27" i="9"/>
  <c r="L27" i="9" s="1"/>
  <c r="O96" i="9"/>
  <c r="O95" i="9"/>
  <c r="O94" i="9"/>
  <c r="O88" i="9"/>
  <c r="O87" i="9"/>
  <c r="O86" i="9"/>
  <c r="O85" i="9"/>
  <c r="O84" i="9"/>
  <c r="O83" i="9"/>
  <c r="O78" i="9"/>
  <c r="O77" i="9"/>
  <c r="O76" i="9"/>
  <c r="O75" i="9"/>
  <c r="O74" i="9"/>
  <c r="O73" i="9"/>
  <c r="O72" i="9"/>
  <c r="O71" i="9"/>
  <c r="O70" i="9"/>
  <c r="O69" i="9"/>
  <c r="O57" i="9"/>
  <c r="O56" i="9"/>
  <c r="O55" i="9"/>
  <c r="O54" i="9"/>
  <c r="O15" i="9"/>
  <c r="O14" i="9"/>
  <c r="O13" i="9"/>
  <c r="O12" i="9"/>
  <c r="O11" i="9"/>
  <c r="O10" i="9"/>
  <c r="M3" i="9"/>
  <c r="P3" i="9" s="1"/>
  <c r="M4" i="9"/>
  <c r="P4" i="9" s="1"/>
  <c r="M5" i="9"/>
  <c r="P5" i="9" s="1"/>
  <c r="M6" i="9"/>
  <c r="P6" i="9" s="1"/>
  <c r="M7" i="9"/>
  <c r="P7" i="9" s="1"/>
  <c r="M8" i="9"/>
  <c r="M9" i="9"/>
  <c r="N9" i="9" s="1"/>
  <c r="M10" i="9"/>
  <c r="P10" i="9" s="1"/>
  <c r="M11" i="9"/>
  <c r="M12" i="9"/>
  <c r="M13" i="9"/>
  <c r="M14" i="9"/>
  <c r="P14" i="9" s="1"/>
  <c r="M15" i="9"/>
  <c r="M16" i="9"/>
  <c r="P16" i="9" s="1"/>
  <c r="M17" i="9"/>
  <c r="P17" i="9" s="1"/>
  <c r="M18" i="9"/>
  <c r="P18" i="9" s="1"/>
  <c r="M19" i="9"/>
  <c r="P19" i="9" s="1"/>
  <c r="M20" i="9"/>
  <c r="M21" i="9"/>
  <c r="P21" i="9" s="1"/>
  <c r="M22" i="9"/>
  <c r="P22" i="9" s="1"/>
  <c r="M23" i="9"/>
  <c r="M24" i="9"/>
  <c r="P24" i="9" s="1"/>
  <c r="M25" i="9"/>
  <c r="P25" i="9" s="1"/>
  <c r="M26" i="9"/>
  <c r="P26" i="9" s="1"/>
  <c r="M34" i="9"/>
  <c r="P34" i="9" s="1"/>
  <c r="M35" i="9"/>
  <c r="P35" i="9" s="1"/>
  <c r="M36" i="9"/>
  <c r="P36" i="9" s="1"/>
  <c r="M37" i="9"/>
  <c r="P37" i="9" s="1"/>
  <c r="M38" i="9"/>
  <c r="P38" i="9" s="1"/>
  <c r="M39" i="9"/>
  <c r="P39" i="9" s="1"/>
  <c r="M40" i="9"/>
  <c r="P40" i="9" s="1"/>
  <c r="M41" i="9"/>
  <c r="P41" i="9" s="1"/>
  <c r="M42" i="9"/>
  <c r="M44" i="9"/>
  <c r="P44" i="9" s="1"/>
  <c r="M45" i="9"/>
  <c r="P45" i="9" s="1"/>
  <c r="M46" i="9"/>
  <c r="P46" i="9" s="1"/>
  <c r="M47" i="9"/>
  <c r="P47" i="9" s="1"/>
  <c r="M48" i="9"/>
  <c r="P48" i="9" s="1"/>
  <c r="M49" i="9"/>
  <c r="P49" i="9" s="1"/>
  <c r="M50" i="9"/>
  <c r="P50" i="9" s="1"/>
  <c r="M51" i="9"/>
  <c r="P51" i="9" s="1"/>
  <c r="M52" i="9"/>
  <c r="P52" i="9" s="1"/>
  <c r="M53" i="9"/>
  <c r="P53" i="9" s="1"/>
  <c r="M54" i="9"/>
  <c r="M55" i="9"/>
  <c r="P55" i="9" s="1"/>
  <c r="M56" i="9"/>
  <c r="M57" i="9"/>
  <c r="M58" i="9"/>
  <c r="P58" i="9" s="1"/>
  <c r="M59" i="9"/>
  <c r="M60" i="9"/>
  <c r="P60" i="9" s="1"/>
  <c r="M61" i="9"/>
  <c r="P61" i="9" s="1"/>
  <c r="M62" i="9"/>
  <c r="P62" i="9" s="1"/>
  <c r="M63" i="9"/>
  <c r="P63" i="9" s="1"/>
  <c r="M64" i="9"/>
  <c r="P64" i="9" s="1"/>
  <c r="M65" i="9"/>
  <c r="P65" i="9" s="1"/>
  <c r="M66" i="9"/>
  <c r="P66" i="9" s="1"/>
  <c r="M67" i="9"/>
  <c r="P67" i="9" s="1"/>
  <c r="M68" i="9"/>
  <c r="P68" i="9" s="1"/>
  <c r="M69" i="9"/>
  <c r="M70" i="9"/>
  <c r="P70" i="9" s="1"/>
  <c r="M71" i="9"/>
  <c r="M72" i="9"/>
  <c r="M73" i="9"/>
  <c r="M74" i="9"/>
  <c r="M75" i="9"/>
  <c r="M76" i="9"/>
  <c r="M77" i="9"/>
  <c r="M78" i="9"/>
  <c r="M79" i="9"/>
  <c r="P79" i="9" s="1"/>
  <c r="M80" i="9"/>
  <c r="P80" i="9" s="1"/>
  <c r="M81" i="9"/>
  <c r="P81" i="9" s="1"/>
  <c r="M82" i="9"/>
  <c r="P82" i="9" s="1"/>
  <c r="M83" i="9"/>
  <c r="M84" i="9"/>
  <c r="M85" i="9"/>
  <c r="M86" i="9"/>
  <c r="M87" i="9"/>
  <c r="M88" i="9"/>
  <c r="M89" i="9"/>
  <c r="P89" i="9" s="1"/>
  <c r="M90" i="9"/>
  <c r="P90" i="9" s="1"/>
  <c r="M91" i="9"/>
  <c r="P91" i="9" s="1"/>
  <c r="M94" i="9"/>
  <c r="M95" i="9"/>
  <c r="M96" i="9"/>
  <c r="M97" i="9"/>
  <c r="P97" i="9" s="1"/>
  <c r="M98" i="9"/>
  <c r="P98" i="9" s="1"/>
  <c r="M99" i="9"/>
  <c r="P99" i="9" s="1"/>
  <c r="M100" i="9"/>
  <c r="M101" i="9"/>
  <c r="M102" i="9"/>
  <c r="N102" i="9" s="1"/>
  <c r="P102" i="9" s="1"/>
  <c r="M103" i="9"/>
  <c r="N103" i="9" s="1"/>
  <c r="P103" i="9" s="1"/>
  <c r="M104" i="9"/>
  <c r="P104" i="9" s="1"/>
  <c r="M105" i="9"/>
  <c r="N105" i="9" s="1"/>
  <c r="M106" i="9"/>
  <c r="N106" i="9" s="1"/>
  <c r="P106" i="9" s="1"/>
  <c r="M107" i="9"/>
  <c r="P107" i="9" s="1"/>
  <c r="M108" i="9"/>
  <c r="N108" i="9" s="1"/>
  <c r="M109" i="9"/>
  <c r="P109" i="9" s="1"/>
  <c r="M110" i="9"/>
  <c r="M111" i="9"/>
  <c r="P111" i="9" s="1"/>
  <c r="M112" i="9"/>
  <c r="P112" i="9" s="1"/>
  <c r="M113" i="9"/>
  <c r="P113" i="9" s="1"/>
  <c r="M114" i="9"/>
  <c r="P114" i="9" s="1"/>
  <c r="M115" i="9"/>
  <c r="P115" i="9" s="1"/>
  <c r="M116" i="9"/>
  <c r="P116" i="9" s="1"/>
  <c r="M117" i="9"/>
  <c r="P117" i="9" s="1"/>
  <c r="M118" i="9"/>
  <c r="P118" i="9" s="1"/>
  <c r="M119" i="9"/>
  <c r="P119" i="9" s="1"/>
  <c r="M120" i="9"/>
  <c r="P120" i="9" s="1"/>
  <c r="M121" i="9"/>
  <c r="N121" i="9" s="1"/>
  <c r="M122" i="9"/>
  <c r="M123" i="9"/>
  <c r="N123" i="9" s="1"/>
  <c r="P123" i="9" s="1"/>
  <c r="M124" i="9"/>
  <c r="M125" i="9"/>
  <c r="M126" i="9"/>
  <c r="P126" i="9" s="1"/>
  <c r="M127" i="9"/>
  <c r="P127" i="9" s="1"/>
  <c r="M128" i="9"/>
  <c r="M129" i="9"/>
  <c r="M130" i="9"/>
  <c r="N130" i="9" s="1"/>
  <c r="P130" i="9" s="1"/>
  <c r="M131" i="9"/>
  <c r="P131" i="9" s="1"/>
  <c r="M132" i="9"/>
  <c r="P132" i="9" s="1"/>
  <c r="M133" i="9"/>
  <c r="P133" i="9" s="1"/>
  <c r="M134" i="9"/>
  <c r="M135" i="9"/>
  <c r="P135" i="9" s="1"/>
  <c r="M136" i="9"/>
  <c r="P136" i="9" s="1"/>
  <c r="M137" i="9"/>
  <c r="P137" i="9" s="1"/>
  <c r="M138" i="9"/>
  <c r="N138" i="9" s="1"/>
  <c r="P138" i="9" s="1"/>
  <c r="M141" i="9"/>
  <c r="P141" i="9" s="1"/>
  <c r="M142" i="9"/>
  <c r="P142" i="9" s="1"/>
  <c r="M143" i="9"/>
  <c r="M144" i="9"/>
  <c r="P144" i="9" s="1"/>
  <c r="M145" i="9"/>
  <c r="N145" i="9" s="1"/>
  <c r="M146" i="9"/>
  <c r="P146" i="9" s="1"/>
  <c r="M147" i="9"/>
  <c r="P147" i="9" s="1"/>
  <c r="M148" i="9"/>
  <c r="P148" i="9" s="1"/>
  <c r="M149" i="9"/>
  <c r="P149" i="9" s="1"/>
  <c r="M150" i="9"/>
  <c r="P150" i="9" s="1"/>
  <c r="M151" i="9"/>
  <c r="N151" i="9" s="1"/>
  <c r="P151" i="9" s="1"/>
  <c r="M152" i="9"/>
  <c r="P152" i="9" s="1"/>
  <c r="M153" i="9"/>
  <c r="P153" i="9" s="1"/>
  <c r="M154" i="9"/>
  <c r="M2" i="9"/>
  <c r="P2" i="9" s="1"/>
  <c r="P8" i="9"/>
  <c r="P20" i="9"/>
  <c r="P23" i="9"/>
  <c r="P59" i="9"/>
  <c r="P110" i="9"/>
  <c r="P134" i="9"/>
  <c r="N143" i="9"/>
  <c r="N122" i="9"/>
  <c r="P122" i="9" s="1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E2" i="9"/>
  <c r="D2" i="9"/>
  <c r="I5" i="10" l="1"/>
  <c r="J5" i="10" s="1"/>
  <c r="K4" i="10" s="1"/>
  <c r="I13" i="8" s="1"/>
  <c r="H22" i="10"/>
  <c r="I22" i="10" s="1"/>
  <c r="J22" i="10" s="1"/>
  <c r="K8" i="10"/>
  <c r="I12" i="8" s="1"/>
  <c r="I28" i="10"/>
  <c r="J28" i="10" s="1"/>
  <c r="K27" i="10" s="1"/>
  <c r="I8" i="8" s="1"/>
  <c r="I16" i="10"/>
  <c r="J16" i="10" s="1"/>
  <c r="H20" i="10"/>
  <c r="I20" i="10" s="1"/>
  <c r="J20" i="10" s="1"/>
  <c r="J26" i="10"/>
  <c r="J25" i="10"/>
  <c r="J24" i="10"/>
  <c r="I18" i="10"/>
  <c r="J18" i="10" s="1"/>
  <c r="I19" i="10"/>
  <c r="J19" i="10" s="1"/>
  <c r="I14" i="10"/>
  <c r="J14" i="10" s="1"/>
  <c r="I13" i="10"/>
  <c r="J13" i="10" s="1"/>
  <c r="K32" i="9"/>
  <c r="P9" i="9"/>
  <c r="P121" i="9"/>
  <c r="P42" i="9"/>
  <c r="P11" i="9"/>
  <c r="K29" i="9"/>
  <c r="P78" i="9"/>
  <c r="P86" i="9"/>
  <c r="P83" i="9"/>
  <c r="P95" i="9"/>
  <c r="P15" i="9"/>
  <c r="K33" i="9"/>
  <c r="M33" i="9" s="1"/>
  <c r="P33" i="9" s="1"/>
  <c r="L30" i="9"/>
  <c r="M30" i="9" s="1"/>
  <c r="P30" i="9" s="1"/>
  <c r="M29" i="9"/>
  <c r="P29" i="9" s="1"/>
  <c r="K28" i="9"/>
  <c r="M28" i="9" s="1"/>
  <c r="P28" i="9" s="1"/>
  <c r="K93" i="9"/>
  <c r="M93" i="9" s="1"/>
  <c r="P93" i="9" s="1"/>
  <c r="N139" i="9"/>
  <c r="P139" i="9" s="1"/>
  <c r="P87" i="9"/>
  <c r="P75" i="9"/>
  <c r="P71" i="9"/>
  <c r="P56" i="9"/>
  <c r="M32" i="9"/>
  <c r="P32" i="9" s="1"/>
  <c r="N154" i="9"/>
  <c r="P154" i="9" s="1"/>
  <c r="P140" i="9"/>
  <c r="P88" i="9"/>
  <c r="P84" i="9"/>
  <c r="P76" i="9"/>
  <c r="P72" i="9"/>
  <c r="P57" i="9"/>
  <c r="K27" i="9"/>
  <c r="M27" i="9" s="1"/>
  <c r="P27" i="9" s="1"/>
  <c r="K92" i="9"/>
  <c r="M92" i="9" s="1"/>
  <c r="P92" i="9" s="1"/>
  <c r="L43" i="9"/>
  <c r="M43" i="9" s="1"/>
  <c r="P43" i="9" s="1"/>
  <c r="P143" i="9"/>
  <c r="L31" i="9"/>
  <c r="M31" i="9" s="1"/>
  <c r="P31" i="9" s="1"/>
  <c r="P94" i="9"/>
  <c r="P12" i="9"/>
  <c r="P74" i="9"/>
  <c r="P85" i="9"/>
  <c r="P77" i="9"/>
  <c r="P69" i="9"/>
  <c r="P54" i="9"/>
  <c r="P96" i="9"/>
  <c r="P13" i="9"/>
  <c r="P73" i="9"/>
  <c r="P145" i="9"/>
  <c r="P105" i="9"/>
  <c r="N125" i="9"/>
  <c r="P125" i="9" s="1"/>
  <c r="P108" i="9"/>
  <c r="N129" i="9"/>
  <c r="P129" i="9" s="1"/>
  <c r="N101" i="9"/>
  <c r="P101" i="9" s="1"/>
  <c r="N124" i="9"/>
  <c r="P124" i="9" s="1"/>
  <c r="N128" i="9"/>
  <c r="P128" i="9" s="1"/>
  <c r="N100" i="9"/>
  <c r="P100" i="9" s="1"/>
  <c r="K21" i="10" l="1"/>
  <c r="I5" i="8" s="1"/>
  <c r="K15" i="10"/>
  <c r="I3" i="8" s="1"/>
  <c r="K12" i="10"/>
  <c r="I16" i="8" s="1"/>
  <c r="J3" i="10"/>
  <c r="X180" i="3"/>
  <c r="X181" i="3"/>
  <c r="X182" i="3"/>
  <c r="X183" i="3"/>
  <c r="X184" i="3"/>
  <c r="X185" i="3"/>
  <c r="X186" i="3"/>
  <c r="X187" i="3"/>
  <c r="X174" i="3"/>
  <c r="X175" i="3"/>
  <c r="X176" i="3"/>
  <c r="X177" i="3"/>
  <c r="X178" i="3"/>
  <c r="X179" i="3"/>
  <c r="S2" i="3" l="1"/>
  <c r="S3" i="3" s="1"/>
  <c r="S4" i="3" s="1"/>
  <c r="S7" i="3"/>
  <c r="S5" i="3" l="1"/>
  <c r="S6" i="3" l="1"/>
  <c r="S9" i="3" l="1"/>
  <c r="S10" i="3" s="1"/>
  <c r="G40" i="8" l="1"/>
  <c r="G36" i="8"/>
  <c r="E38" i="8"/>
  <c r="E37" i="8"/>
  <c r="E36" i="8"/>
  <c r="G32" i="8"/>
  <c r="G29" i="8"/>
  <c r="G27" i="8"/>
  <c r="E32" i="8"/>
  <c r="E29" i="8"/>
  <c r="E27" i="8"/>
  <c r="Z40" i="8"/>
  <c r="Z39" i="8"/>
  <c r="Z38" i="8"/>
  <c r="Z37" i="8"/>
  <c r="Z36" i="8"/>
  <c r="X40" i="8"/>
  <c r="X39" i="8"/>
  <c r="X38" i="8"/>
  <c r="X37" i="8"/>
  <c r="X36" i="8"/>
  <c r="V40" i="8"/>
  <c r="V39" i="8"/>
  <c r="V38" i="8"/>
  <c r="V37" i="8"/>
  <c r="V36" i="8"/>
  <c r="T40" i="8"/>
  <c r="T39" i="8"/>
  <c r="T38" i="8"/>
  <c r="T37" i="8"/>
  <c r="T36" i="8"/>
  <c r="R40" i="8"/>
  <c r="R41" i="8" s="1"/>
  <c r="R39" i="8"/>
  <c r="R38" i="8"/>
  <c r="R37" i="8"/>
  <c r="R36" i="8"/>
  <c r="P40" i="8"/>
  <c r="P39" i="8"/>
  <c r="P38" i="8"/>
  <c r="P41" i="8" s="1"/>
  <c r="P37" i="8"/>
  <c r="P36" i="8"/>
  <c r="N40" i="8"/>
  <c r="N39" i="8"/>
  <c r="N38" i="8"/>
  <c r="N37" i="8"/>
  <c r="N41" i="8" s="1"/>
  <c r="N36" i="8"/>
  <c r="L40" i="8"/>
  <c r="L39" i="8"/>
  <c r="L38" i="8"/>
  <c r="L37" i="8"/>
  <c r="L36" i="8"/>
  <c r="J40" i="8"/>
  <c r="J41" i="8" s="1"/>
  <c r="J39" i="8"/>
  <c r="C39" i="8" s="1"/>
  <c r="J38" i="8"/>
  <c r="J37" i="8"/>
  <c r="J36" i="8"/>
  <c r="H40" i="8"/>
  <c r="H39" i="8"/>
  <c r="H38" i="8"/>
  <c r="H37" i="8"/>
  <c r="H36" i="8"/>
  <c r="F39" i="8"/>
  <c r="F38" i="8"/>
  <c r="F37" i="8"/>
  <c r="D39" i="8"/>
  <c r="D40" i="8"/>
  <c r="Z32" i="8"/>
  <c r="Z31" i="8"/>
  <c r="Z30" i="8"/>
  <c r="Z29" i="8"/>
  <c r="Z28" i="8"/>
  <c r="Z27" i="8"/>
  <c r="X32" i="8"/>
  <c r="X31" i="8"/>
  <c r="X30" i="8"/>
  <c r="X29" i="8"/>
  <c r="X28" i="8"/>
  <c r="X27" i="8"/>
  <c r="X33" i="8" s="1"/>
  <c r="V32" i="8"/>
  <c r="V31" i="8"/>
  <c r="V30" i="8"/>
  <c r="V29" i="8"/>
  <c r="V28" i="8"/>
  <c r="V27" i="8"/>
  <c r="T32" i="8"/>
  <c r="T31" i="8"/>
  <c r="T30" i="8"/>
  <c r="T29" i="8"/>
  <c r="T28" i="8"/>
  <c r="T27" i="8"/>
  <c r="R32" i="8"/>
  <c r="R31" i="8"/>
  <c r="R30" i="8"/>
  <c r="R29" i="8"/>
  <c r="R28" i="8"/>
  <c r="R27" i="8"/>
  <c r="P32" i="8"/>
  <c r="P33" i="8" s="1"/>
  <c r="P31" i="8"/>
  <c r="P30" i="8"/>
  <c r="P29" i="8"/>
  <c r="P28" i="8"/>
  <c r="P27" i="8"/>
  <c r="N32" i="8"/>
  <c r="N31" i="8"/>
  <c r="N30" i="8"/>
  <c r="N29" i="8"/>
  <c r="N28" i="8"/>
  <c r="N27" i="8"/>
  <c r="L32" i="8"/>
  <c r="L33" i="8" s="1"/>
  <c r="L31" i="8"/>
  <c r="L30" i="8"/>
  <c r="L29" i="8"/>
  <c r="L28" i="8"/>
  <c r="L27" i="8"/>
  <c r="J32" i="8"/>
  <c r="J31" i="8"/>
  <c r="J30" i="8"/>
  <c r="J29" i="8"/>
  <c r="J28" i="8"/>
  <c r="J27" i="8"/>
  <c r="H32" i="8"/>
  <c r="H31" i="8"/>
  <c r="H30" i="8"/>
  <c r="H29" i="8"/>
  <c r="H28" i="8"/>
  <c r="H27" i="8"/>
  <c r="F28" i="8"/>
  <c r="D28" i="8"/>
  <c r="X41" i="8"/>
  <c r="V41" i="8"/>
  <c r="Z33" i="8"/>
  <c r="Z41" i="8" l="1"/>
  <c r="Z43" i="8" s="1"/>
  <c r="V33" i="8"/>
  <c r="V43" i="8" s="1"/>
  <c r="T41" i="8"/>
  <c r="T33" i="8"/>
  <c r="R33" i="8"/>
  <c r="R43" i="8" s="1"/>
  <c r="C31" i="8"/>
  <c r="J33" i="8"/>
  <c r="N33" i="8"/>
  <c r="N43" i="8" s="1"/>
  <c r="L41" i="8"/>
  <c r="L43" i="8" s="1"/>
  <c r="H41" i="8"/>
  <c r="H33" i="8"/>
  <c r="X43" i="8"/>
  <c r="C28" i="8"/>
  <c r="B4" i="8" s="1"/>
  <c r="P43" i="8"/>
  <c r="J43" i="8"/>
  <c r="C30" i="8"/>
  <c r="B30" i="8" s="1"/>
  <c r="H17" i="8"/>
  <c r="J17" i="8"/>
  <c r="L17" i="8"/>
  <c r="N17" i="8"/>
  <c r="P17" i="8"/>
  <c r="R17" i="8"/>
  <c r="T17" i="8"/>
  <c r="V17" i="8"/>
  <c r="X17" i="8"/>
  <c r="Z17" i="8"/>
  <c r="H9" i="8"/>
  <c r="J9" i="8"/>
  <c r="L9" i="8"/>
  <c r="N9" i="8"/>
  <c r="N19" i="8" s="1"/>
  <c r="P9" i="8"/>
  <c r="R9" i="8"/>
  <c r="T9" i="8"/>
  <c r="V9" i="8"/>
  <c r="X9" i="8"/>
  <c r="Z9" i="8"/>
  <c r="F16" i="8"/>
  <c r="F40" i="8" s="1"/>
  <c r="C40" i="8" s="1"/>
  <c r="B40" i="8" s="1"/>
  <c r="F12" i="8"/>
  <c r="F36" i="8" s="1"/>
  <c r="F41" i="8" s="1"/>
  <c r="D14" i="8"/>
  <c r="D38" i="8" s="1"/>
  <c r="C38" i="8" s="1"/>
  <c r="B38" i="8" s="1"/>
  <c r="D13" i="8"/>
  <c r="D37" i="8" s="1"/>
  <c r="C37" i="8" s="1"/>
  <c r="B37" i="8" s="1"/>
  <c r="D12" i="8"/>
  <c r="D36" i="8" s="1"/>
  <c r="C15" i="8"/>
  <c r="B15" i="8" s="1"/>
  <c r="C6" i="8"/>
  <c r="E6" i="26" s="1"/>
  <c r="F8" i="8"/>
  <c r="F32" i="8" s="1"/>
  <c r="F5" i="8"/>
  <c r="F29" i="8" s="1"/>
  <c r="F3" i="8"/>
  <c r="F27" i="8" s="1"/>
  <c r="D8" i="8"/>
  <c r="D32" i="8" s="1"/>
  <c r="D5" i="8"/>
  <c r="D29" i="8" s="1"/>
  <c r="D3" i="8"/>
  <c r="D27" i="8" s="1"/>
  <c r="C7" i="8"/>
  <c r="C4" i="8"/>
  <c r="Z19" i="8" l="1"/>
  <c r="X19" i="8"/>
  <c r="V19" i="8"/>
  <c r="B7" i="8"/>
  <c r="C7" i="26" s="1"/>
  <c r="E7" i="26"/>
  <c r="T43" i="8"/>
  <c r="T19" i="8"/>
  <c r="R19" i="8"/>
  <c r="P19" i="8"/>
  <c r="L19" i="8"/>
  <c r="J19" i="8"/>
  <c r="B6" i="8"/>
  <c r="C6" i="26" s="1"/>
  <c r="H43" i="8"/>
  <c r="H19" i="8"/>
  <c r="C41" i="8"/>
  <c r="C29" i="8"/>
  <c r="B29" i="8" s="1"/>
  <c r="C32" i="8"/>
  <c r="B32" i="8" s="1"/>
  <c r="D41" i="8"/>
  <c r="F33" i="8" l="1"/>
  <c r="F43" i="8" s="1"/>
  <c r="C27" i="8"/>
  <c r="D33" i="8"/>
  <c r="D43" i="8" s="1"/>
  <c r="C33" i="8" l="1"/>
  <c r="C43" i="8" s="1"/>
  <c r="B27" i="8"/>
  <c r="H22" i="7"/>
  <c r="I22" i="7" s="1"/>
  <c r="J22" i="7" s="1"/>
  <c r="G18" i="7"/>
  <c r="H18" i="7" s="1"/>
  <c r="I18" i="7" s="1"/>
  <c r="J18" i="7" s="1"/>
  <c r="F11" i="7"/>
  <c r="F12" i="7"/>
  <c r="G12" i="7" s="1"/>
  <c r="H12" i="7" s="1"/>
  <c r="I12" i="7" s="1"/>
  <c r="J12" i="7" s="1"/>
  <c r="F13" i="7"/>
  <c r="G13" i="7" s="1"/>
  <c r="H13" i="7" s="1"/>
  <c r="I13" i="7" s="1"/>
  <c r="J13" i="7" s="1"/>
  <c r="F14" i="7"/>
  <c r="F15" i="7"/>
  <c r="G15" i="7" s="1"/>
  <c r="H15" i="7" s="1"/>
  <c r="I15" i="7" s="1"/>
  <c r="J15" i="7" s="1"/>
  <c r="F16" i="7"/>
  <c r="G16" i="7" s="1"/>
  <c r="H16" i="7" s="1"/>
  <c r="I16" i="7" s="1"/>
  <c r="J16" i="7" s="1"/>
  <c r="F17" i="7"/>
  <c r="G17" i="7" s="1"/>
  <c r="H17" i="7" s="1"/>
  <c r="I17" i="7" s="1"/>
  <c r="J17" i="7" s="1"/>
  <c r="F18" i="7"/>
  <c r="F19" i="7"/>
  <c r="G19" i="7" s="1"/>
  <c r="H19" i="7" s="1"/>
  <c r="I19" i="7" s="1"/>
  <c r="J19" i="7" s="1"/>
  <c r="F20" i="7"/>
  <c r="F21" i="7"/>
  <c r="F22" i="7"/>
  <c r="G22" i="7" s="1"/>
  <c r="F10" i="7"/>
  <c r="G10" i="7" s="1"/>
  <c r="H10" i="7" s="1"/>
  <c r="I10" i="7" s="1"/>
  <c r="J10" i="7" s="1"/>
  <c r="K9" i="7" s="1"/>
  <c r="G16" i="8" s="1"/>
  <c r="C16" i="8" s="1"/>
  <c r="F9" i="7"/>
  <c r="F8" i="7"/>
  <c r="G8" i="7" s="1"/>
  <c r="I8" i="7" s="1"/>
  <c r="J8" i="7" s="1"/>
  <c r="F7" i="7"/>
  <c r="G7" i="7" s="1"/>
  <c r="I7" i="7" s="1"/>
  <c r="J7" i="7" s="1"/>
  <c r="F6" i="7"/>
  <c r="G6" i="7" s="1"/>
  <c r="I6" i="7" s="1"/>
  <c r="J6" i="7" s="1"/>
  <c r="F5" i="7"/>
  <c r="G5" i="7" s="1"/>
  <c r="I5" i="7" s="1"/>
  <c r="J5" i="7" s="1"/>
  <c r="F4" i="7"/>
  <c r="O105" i="6"/>
  <c r="O104" i="6"/>
  <c r="O103" i="6"/>
  <c r="O102" i="6"/>
  <c r="O101" i="6"/>
  <c r="O100" i="6"/>
  <c r="O99" i="6"/>
  <c r="O98" i="6"/>
  <c r="O66" i="6"/>
  <c r="O65" i="6"/>
  <c r="O64" i="6"/>
  <c r="O63" i="6"/>
  <c r="O62" i="6"/>
  <c r="O61" i="6"/>
  <c r="O51" i="6"/>
  <c r="O50" i="6"/>
  <c r="O49" i="6"/>
  <c r="O47" i="6"/>
  <c r="O46" i="6"/>
  <c r="O45" i="6"/>
  <c r="O44" i="6"/>
  <c r="O43" i="6"/>
  <c r="O42" i="6"/>
  <c r="O41" i="6"/>
  <c r="O35" i="6"/>
  <c r="O34" i="6"/>
  <c r="O33" i="6"/>
  <c r="O32" i="6"/>
  <c r="O31" i="6"/>
  <c r="O30" i="6"/>
  <c r="O29" i="6"/>
  <c r="O6" i="6"/>
  <c r="O5" i="6"/>
  <c r="O4" i="6"/>
  <c r="O3" i="6"/>
  <c r="O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E2" i="6"/>
  <c r="D2" i="6"/>
  <c r="J84" i="1"/>
  <c r="J8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2" i="1"/>
  <c r="H2" i="6"/>
  <c r="M2" i="6" s="1"/>
  <c r="H3" i="6"/>
  <c r="M3" i="6" s="1"/>
  <c r="P3" i="6" s="1"/>
  <c r="H4" i="6"/>
  <c r="M4" i="6" s="1"/>
  <c r="P4" i="6" s="1"/>
  <c r="H5" i="6"/>
  <c r="M5" i="6" s="1"/>
  <c r="P5" i="6" s="1"/>
  <c r="H6" i="6"/>
  <c r="M6" i="6" s="1"/>
  <c r="H7" i="6"/>
  <c r="M7" i="6" s="1"/>
  <c r="P7" i="6" s="1"/>
  <c r="H8" i="6"/>
  <c r="M8" i="6" s="1"/>
  <c r="P8" i="6" s="1"/>
  <c r="H9" i="6"/>
  <c r="M9" i="6" s="1"/>
  <c r="P9" i="6" s="1"/>
  <c r="H10" i="6"/>
  <c r="M10" i="6" s="1"/>
  <c r="P10" i="6" s="1"/>
  <c r="H11" i="6"/>
  <c r="M11" i="6" s="1"/>
  <c r="P11" i="6" s="1"/>
  <c r="H12" i="6"/>
  <c r="M12" i="6" s="1"/>
  <c r="P12" i="6" s="1"/>
  <c r="H13" i="6"/>
  <c r="M13" i="6" s="1"/>
  <c r="P13" i="6" s="1"/>
  <c r="H14" i="6"/>
  <c r="M14" i="6" s="1"/>
  <c r="P14" i="6" s="1"/>
  <c r="H15" i="6"/>
  <c r="M15" i="6" s="1"/>
  <c r="P15" i="6" s="1"/>
  <c r="H16" i="6"/>
  <c r="M16" i="6" s="1"/>
  <c r="H17" i="6"/>
  <c r="H18" i="6"/>
  <c r="H19" i="6"/>
  <c r="H20" i="6"/>
  <c r="H21" i="6"/>
  <c r="H22" i="6"/>
  <c r="H23" i="6"/>
  <c r="H24" i="6"/>
  <c r="J24" i="6" s="1"/>
  <c r="L24" i="6" s="1"/>
  <c r="H25" i="6"/>
  <c r="J25" i="6" s="1"/>
  <c r="H26" i="6"/>
  <c r="H27" i="6"/>
  <c r="M27" i="6" s="1"/>
  <c r="P27" i="6" s="1"/>
  <c r="H28" i="6"/>
  <c r="M28" i="6" s="1"/>
  <c r="P28" i="6" s="1"/>
  <c r="H29" i="6"/>
  <c r="M29" i="6" s="1"/>
  <c r="H30" i="6"/>
  <c r="M30" i="6" s="1"/>
  <c r="P30" i="6" s="1"/>
  <c r="H31" i="6"/>
  <c r="M31" i="6" s="1"/>
  <c r="P31" i="6" s="1"/>
  <c r="H32" i="6"/>
  <c r="M32" i="6" s="1"/>
  <c r="H33" i="6"/>
  <c r="M33" i="6" s="1"/>
  <c r="H34" i="6"/>
  <c r="M34" i="6" s="1"/>
  <c r="P34" i="6" s="1"/>
  <c r="H35" i="6"/>
  <c r="M35" i="6" s="1"/>
  <c r="P35" i="6" s="1"/>
  <c r="H36" i="6"/>
  <c r="M36" i="6" s="1"/>
  <c r="P36" i="6" s="1"/>
  <c r="H37" i="6"/>
  <c r="M37" i="6" s="1"/>
  <c r="P37" i="6" s="1"/>
  <c r="H38" i="6"/>
  <c r="M38" i="6" s="1"/>
  <c r="P38" i="6" s="1"/>
  <c r="H39" i="6"/>
  <c r="M39" i="6" s="1"/>
  <c r="P39" i="6" s="1"/>
  <c r="H40" i="6"/>
  <c r="M40" i="6" s="1"/>
  <c r="H41" i="6"/>
  <c r="M41" i="6" s="1"/>
  <c r="H42" i="6"/>
  <c r="M42" i="6" s="1"/>
  <c r="P42" i="6" s="1"/>
  <c r="H43" i="6"/>
  <c r="M43" i="6" s="1"/>
  <c r="P43" i="6" s="1"/>
  <c r="H44" i="6"/>
  <c r="M44" i="6" s="1"/>
  <c r="P44" i="6" s="1"/>
  <c r="H45" i="6"/>
  <c r="H46" i="6"/>
  <c r="M46" i="6" s="1"/>
  <c r="P46" i="6" s="1"/>
  <c r="H47" i="6"/>
  <c r="M47" i="6" s="1"/>
  <c r="P47" i="6" s="1"/>
  <c r="H48" i="6"/>
  <c r="M48" i="6" s="1"/>
  <c r="P48" i="6" s="1"/>
  <c r="H49" i="6"/>
  <c r="M49" i="6" s="1"/>
  <c r="P49" i="6" s="1"/>
  <c r="H50" i="6"/>
  <c r="M50" i="6" s="1"/>
  <c r="H51" i="6"/>
  <c r="M51" i="6" s="1"/>
  <c r="P51" i="6" s="1"/>
  <c r="H52" i="6"/>
  <c r="M52" i="6" s="1"/>
  <c r="P52" i="6" s="1"/>
  <c r="H53" i="6"/>
  <c r="M53" i="6" s="1"/>
  <c r="P53" i="6" s="1"/>
  <c r="H54" i="6"/>
  <c r="M54" i="6" s="1"/>
  <c r="P54" i="6" s="1"/>
  <c r="H55" i="6"/>
  <c r="M55" i="6" s="1"/>
  <c r="P55" i="6" s="1"/>
  <c r="H56" i="6"/>
  <c r="M56" i="6" s="1"/>
  <c r="P56" i="6" s="1"/>
  <c r="H57" i="6"/>
  <c r="M57" i="6" s="1"/>
  <c r="P57" i="6" s="1"/>
  <c r="H58" i="6"/>
  <c r="M58" i="6" s="1"/>
  <c r="P58" i="6" s="1"/>
  <c r="H59" i="6"/>
  <c r="M59" i="6" s="1"/>
  <c r="P59" i="6" s="1"/>
  <c r="H60" i="6"/>
  <c r="M60" i="6" s="1"/>
  <c r="P60" i="6" s="1"/>
  <c r="H61" i="6"/>
  <c r="M61" i="6" s="1"/>
  <c r="P61" i="6" s="1"/>
  <c r="H62" i="6"/>
  <c r="M62" i="6" s="1"/>
  <c r="P62" i="6" s="1"/>
  <c r="H63" i="6"/>
  <c r="M63" i="6" s="1"/>
  <c r="P63" i="6" s="1"/>
  <c r="H64" i="6"/>
  <c r="M64" i="6" s="1"/>
  <c r="H65" i="6"/>
  <c r="M65" i="6" s="1"/>
  <c r="P65" i="6" s="1"/>
  <c r="H66" i="6"/>
  <c r="M66" i="6" s="1"/>
  <c r="P66" i="6" s="1"/>
  <c r="H67" i="6"/>
  <c r="M67" i="6" s="1"/>
  <c r="P67" i="6" s="1"/>
  <c r="H68" i="6"/>
  <c r="M68" i="6" s="1"/>
  <c r="P68" i="6" s="1"/>
  <c r="H69" i="6"/>
  <c r="M69" i="6" s="1"/>
  <c r="P69" i="6" s="1"/>
  <c r="H70" i="6"/>
  <c r="M70" i="6" s="1"/>
  <c r="P70" i="6" s="1"/>
  <c r="H71" i="6"/>
  <c r="M71" i="6" s="1"/>
  <c r="P71" i="6" s="1"/>
  <c r="H72" i="6"/>
  <c r="M72" i="6" s="1"/>
  <c r="P72" i="6" s="1"/>
  <c r="H73" i="6"/>
  <c r="M73" i="6" s="1"/>
  <c r="P73" i="6" s="1"/>
  <c r="H74" i="6"/>
  <c r="H75" i="6"/>
  <c r="M75" i="6" s="1"/>
  <c r="P75" i="6" s="1"/>
  <c r="H76" i="6"/>
  <c r="M76" i="6" s="1"/>
  <c r="P76" i="6" s="1"/>
  <c r="H77" i="6"/>
  <c r="M77" i="6" s="1"/>
  <c r="P77" i="6" s="1"/>
  <c r="H78" i="6"/>
  <c r="M78" i="6" s="1"/>
  <c r="P78" i="6" s="1"/>
  <c r="H79" i="6"/>
  <c r="M79" i="6" s="1"/>
  <c r="P79" i="6" s="1"/>
  <c r="H80" i="6"/>
  <c r="M80" i="6" s="1"/>
  <c r="P80" i="6" s="1"/>
  <c r="H81" i="6"/>
  <c r="M81" i="6" s="1"/>
  <c r="P81" i="6" s="1"/>
  <c r="H82" i="6"/>
  <c r="M82" i="6" s="1"/>
  <c r="P82" i="6" s="1"/>
  <c r="H83" i="6"/>
  <c r="M83" i="6" s="1"/>
  <c r="P83" i="6" s="1"/>
  <c r="H84" i="6"/>
  <c r="M84" i="6" s="1"/>
  <c r="P84" i="6" s="1"/>
  <c r="H85" i="6"/>
  <c r="M85" i="6" s="1"/>
  <c r="P85" i="6" s="1"/>
  <c r="H86" i="6"/>
  <c r="M86" i="6" s="1"/>
  <c r="P86" i="6" s="1"/>
  <c r="H87" i="6"/>
  <c r="M87" i="6" s="1"/>
  <c r="P87" i="6" s="1"/>
  <c r="H88" i="6"/>
  <c r="M88" i="6" s="1"/>
  <c r="P88" i="6" s="1"/>
  <c r="H89" i="6"/>
  <c r="M89" i="6" s="1"/>
  <c r="P89" i="6" s="1"/>
  <c r="H90" i="6"/>
  <c r="M90" i="6" s="1"/>
  <c r="P90" i="6" s="1"/>
  <c r="H91" i="6"/>
  <c r="M91" i="6" s="1"/>
  <c r="P91" i="6" s="1"/>
  <c r="H92" i="6"/>
  <c r="M92" i="6" s="1"/>
  <c r="P92" i="6" s="1"/>
  <c r="H93" i="6"/>
  <c r="M93" i="6" s="1"/>
  <c r="N93" i="6" s="1"/>
  <c r="H94" i="6"/>
  <c r="M94" i="6" s="1"/>
  <c r="P94" i="6" s="1"/>
  <c r="H95" i="6"/>
  <c r="M95" i="6" s="1"/>
  <c r="P95" i="6" s="1"/>
  <c r="H96" i="6"/>
  <c r="M96" i="6" s="1"/>
  <c r="P96" i="6" s="1"/>
  <c r="H97" i="6"/>
  <c r="M97" i="6" s="1"/>
  <c r="P97" i="6" s="1"/>
  <c r="H98" i="6"/>
  <c r="M98" i="6" s="1"/>
  <c r="H99" i="6"/>
  <c r="M99" i="6" s="1"/>
  <c r="P99" i="6" s="1"/>
  <c r="H100" i="6"/>
  <c r="M100" i="6" s="1"/>
  <c r="P100" i="6" s="1"/>
  <c r="H101" i="6"/>
  <c r="M101" i="6" s="1"/>
  <c r="P101" i="6" s="1"/>
  <c r="H102" i="6"/>
  <c r="M102" i="6" s="1"/>
  <c r="H103" i="6"/>
  <c r="M103" i="6" s="1"/>
  <c r="P103" i="6" s="1"/>
  <c r="H104" i="6"/>
  <c r="M104" i="6" s="1"/>
  <c r="P104" i="6" s="1"/>
  <c r="H105" i="6"/>
  <c r="M105" i="6" s="1"/>
  <c r="P105" i="6" s="1"/>
  <c r="H106" i="6"/>
  <c r="M106" i="6" s="1"/>
  <c r="P106" i="6" s="1"/>
  <c r="H107" i="6"/>
  <c r="M107" i="6" s="1"/>
  <c r="P107" i="6" s="1"/>
  <c r="H108" i="6"/>
  <c r="H109" i="6"/>
  <c r="M109" i="6" s="1"/>
  <c r="P109" i="6" s="1"/>
  <c r="H110" i="6"/>
  <c r="M110" i="6" s="1"/>
  <c r="P110" i="6" s="1"/>
  <c r="M45" i="6"/>
  <c r="P45" i="6" s="1"/>
  <c r="M108" i="6"/>
  <c r="P108" i="6" s="1"/>
  <c r="M74" i="6"/>
  <c r="P74" i="6" s="1"/>
  <c r="B16" i="8" l="1"/>
  <c r="C16" i="26" s="1"/>
  <c r="E16" i="26"/>
  <c r="H21" i="7"/>
  <c r="I21" i="7" s="1"/>
  <c r="J21" i="7" s="1"/>
  <c r="J3" i="7" s="1"/>
  <c r="G21" i="7"/>
  <c r="K11" i="7"/>
  <c r="G3" i="8" s="1"/>
  <c r="K14" i="7"/>
  <c r="G5" i="8" s="1"/>
  <c r="K4" i="7"/>
  <c r="G12" i="8" s="1"/>
  <c r="F17" i="8" s="1"/>
  <c r="P2" i="6"/>
  <c r="P33" i="6"/>
  <c r="P29" i="6"/>
  <c r="P64" i="6"/>
  <c r="P98" i="6"/>
  <c r="P50" i="6"/>
  <c r="P41" i="6"/>
  <c r="P6" i="6"/>
  <c r="P102" i="6"/>
  <c r="P32" i="6"/>
  <c r="J23" i="6"/>
  <c r="L23" i="6" s="1"/>
  <c r="J19" i="6"/>
  <c r="L19" i="6" s="1"/>
  <c r="L25" i="6"/>
  <c r="K25" i="6"/>
  <c r="M25" i="6"/>
  <c r="N40" i="6"/>
  <c r="P40" i="6" s="1"/>
  <c r="J21" i="6"/>
  <c r="P93" i="6"/>
  <c r="J26" i="6"/>
  <c r="M26" i="6" s="1"/>
  <c r="J20" i="6"/>
  <c r="M20" i="6" s="1"/>
  <c r="K24" i="6"/>
  <c r="O24" i="6" s="1"/>
  <c r="J17" i="6"/>
  <c r="N16" i="6"/>
  <c r="P16" i="6" s="1"/>
  <c r="M24" i="6"/>
  <c r="J18" i="6"/>
  <c r="J22" i="6"/>
  <c r="K20" i="7" l="1"/>
  <c r="G8" i="8" s="1"/>
  <c r="F9" i="8" s="1"/>
  <c r="F19" i="8" s="1"/>
  <c r="K23" i="6"/>
  <c r="O23" i="6" s="1"/>
  <c r="M23" i="6"/>
  <c r="M19" i="6"/>
  <c r="O25" i="6"/>
  <c r="P25" i="6" s="1"/>
  <c r="K19" i="6"/>
  <c r="O19" i="6" s="1"/>
  <c r="P24" i="6"/>
  <c r="M22" i="6"/>
  <c r="K17" i="6"/>
  <c r="L17" i="6"/>
  <c r="M17" i="6"/>
  <c r="L20" i="6"/>
  <c r="K20" i="6"/>
  <c r="K22" i="6"/>
  <c r="L22" i="6"/>
  <c r="L18" i="6"/>
  <c r="K18" i="6"/>
  <c r="M18" i="6"/>
  <c r="K26" i="6"/>
  <c r="L26" i="6"/>
  <c r="K21" i="6"/>
  <c r="L21" i="6"/>
  <c r="M21" i="6"/>
  <c r="P23" i="6" l="1"/>
  <c r="O26" i="6"/>
  <c r="P26" i="6" s="1"/>
  <c r="P19" i="6"/>
  <c r="O20" i="6"/>
  <c r="P20" i="6" s="1"/>
  <c r="O17" i="6"/>
  <c r="P17" i="6" s="1"/>
  <c r="O22" i="6"/>
  <c r="P22" i="6" s="1"/>
  <c r="O21" i="6"/>
  <c r="P21" i="6" s="1"/>
  <c r="O18" i="6"/>
  <c r="P18" i="6" s="1"/>
  <c r="G18" i="4" l="1"/>
  <c r="H18" i="4" s="1"/>
  <c r="I18" i="4" s="1"/>
  <c r="J18" i="4" s="1"/>
  <c r="G13" i="4"/>
  <c r="H13" i="4" s="1"/>
  <c r="I13" i="4" s="1"/>
  <c r="J13" i="4" s="1"/>
  <c r="F5" i="4"/>
  <c r="I5" i="4" s="1"/>
  <c r="J5" i="4" s="1"/>
  <c r="F6" i="4"/>
  <c r="I6" i="4" s="1"/>
  <c r="J6" i="4" s="1"/>
  <c r="F7" i="4"/>
  <c r="F8" i="4"/>
  <c r="G8" i="4" s="1"/>
  <c r="I8" i="4" s="1"/>
  <c r="J8" i="4" s="1"/>
  <c r="F9" i="4"/>
  <c r="G9" i="4" s="1"/>
  <c r="I9" i="4" s="1"/>
  <c r="J9" i="4" s="1"/>
  <c r="F10" i="4"/>
  <c r="G10" i="4" s="1"/>
  <c r="I10" i="4" s="1"/>
  <c r="J10" i="4" s="1"/>
  <c r="F11" i="4"/>
  <c r="F12" i="4"/>
  <c r="G12" i="4" s="1"/>
  <c r="H12" i="4" s="1"/>
  <c r="I12" i="4" s="1"/>
  <c r="J12" i="4" s="1"/>
  <c r="F13" i="4"/>
  <c r="F14" i="4"/>
  <c r="G14" i="4" s="1"/>
  <c r="H14" i="4" s="1"/>
  <c r="I14" i="4" s="1"/>
  <c r="J14" i="4" s="1"/>
  <c r="F15" i="4"/>
  <c r="G15" i="4" s="1"/>
  <c r="H15" i="4" s="1"/>
  <c r="I15" i="4" s="1"/>
  <c r="J15" i="4" s="1"/>
  <c r="F16" i="4"/>
  <c r="G16" i="4" s="1"/>
  <c r="H16" i="4" s="1"/>
  <c r="I16" i="4" s="1"/>
  <c r="J16" i="4" s="1"/>
  <c r="F17" i="4"/>
  <c r="F18" i="4"/>
  <c r="F19" i="4"/>
  <c r="G19" i="4" s="1"/>
  <c r="H19" i="4" s="1"/>
  <c r="I19" i="4" s="1"/>
  <c r="J19" i="4" s="1"/>
  <c r="F20" i="4"/>
  <c r="G20" i="4" s="1"/>
  <c r="H20" i="4" s="1"/>
  <c r="I20" i="4" s="1"/>
  <c r="J20" i="4" s="1"/>
  <c r="F21" i="4"/>
  <c r="G21" i="4" s="1"/>
  <c r="H21" i="4" s="1"/>
  <c r="I21" i="4" s="1"/>
  <c r="J21" i="4" s="1"/>
  <c r="F22" i="4"/>
  <c r="G22" i="4" s="1"/>
  <c r="H22" i="4" s="1"/>
  <c r="I22" i="4" s="1"/>
  <c r="J22" i="4" s="1"/>
  <c r="F23" i="4"/>
  <c r="F24" i="4"/>
  <c r="G24" i="4" s="1"/>
  <c r="H24" i="4" s="1"/>
  <c r="I24" i="4" s="1"/>
  <c r="J24" i="4" s="1"/>
  <c r="F25" i="4"/>
  <c r="G25" i="4" s="1"/>
  <c r="H25" i="4" s="1"/>
  <c r="I25" i="4" s="1"/>
  <c r="J25" i="4" s="1"/>
  <c r="F26" i="4"/>
  <c r="G26" i="4" s="1"/>
  <c r="H26" i="4" s="1"/>
  <c r="I26" i="4" s="1"/>
  <c r="J26" i="4" s="1"/>
  <c r="F27" i="4"/>
  <c r="G27" i="4" s="1"/>
  <c r="H27" i="4" s="1"/>
  <c r="I27" i="4" s="1"/>
  <c r="J27" i="4" s="1"/>
  <c r="F28" i="4"/>
  <c r="G28" i="4" s="1"/>
  <c r="H28" i="4" s="1"/>
  <c r="I28" i="4" s="1"/>
  <c r="J28" i="4" s="1"/>
  <c r="F29" i="4"/>
  <c r="F30" i="4"/>
  <c r="I30" i="4" s="1"/>
  <c r="J30" i="4" s="1"/>
  <c r="F31" i="4"/>
  <c r="I31" i="4" s="1"/>
  <c r="J31" i="4" s="1"/>
  <c r="F32" i="4"/>
  <c r="I32" i="4" s="1"/>
  <c r="J32" i="4" s="1"/>
  <c r="F33" i="4"/>
  <c r="I33" i="4" s="1"/>
  <c r="J33" i="4" s="1"/>
  <c r="F4" i="4"/>
  <c r="X173" i="3"/>
  <c r="X172" i="3"/>
  <c r="X171" i="3"/>
  <c r="X170" i="3"/>
  <c r="X169" i="3"/>
  <c r="X168" i="3"/>
  <c r="N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N93" i="1"/>
  <c r="P92" i="1"/>
  <c r="P91" i="1"/>
  <c r="P90" i="1"/>
  <c r="P89" i="1"/>
  <c r="N88" i="1"/>
  <c r="P88" i="1" s="1"/>
  <c r="P87" i="1"/>
  <c r="P86" i="1"/>
  <c r="P85" i="1"/>
  <c r="P83" i="1"/>
  <c r="P82" i="1"/>
  <c r="P81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S65" i="1" s="1"/>
  <c r="N64" i="1"/>
  <c r="P63" i="1"/>
  <c r="P62" i="1"/>
  <c r="P61" i="1"/>
  <c r="P60" i="1"/>
  <c r="P59" i="1"/>
  <c r="P58" i="1"/>
  <c r="P57" i="1"/>
  <c r="P56" i="1"/>
  <c r="P55" i="1"/>
  <c r="P54" i="1"/>
  <c r="P53" i="1"/>
  <c r="N5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N32" i="1"/>
  <c r="P32" i="1" s="1"/>
  <c r="P31" i="1"/>
  <c r="P30" i="1"/>
  <c r="N29" i="1"/>
  <c r="N28" i="1"/>
  <c r="P26" i="1"/>
  <c r="P25" i="1"/>
  <c r="P24" i="1"/>
  <c r="P23" i="1"/>
  <c r="P22" i="1"/>
  <c r="P21" i="1"/>
  <c r="P20" i="1"/>
  <c r="P19" i="1"/>
  <c r="N17" i="1"/>
  <c r="N16" i="1"/>
  <c r="P15" i="1"/>
  <c r="P14" i="1"/>
  <c r="P13" i="1"/>
  <c r="P12" i="1"/>
  <c r="P11" i="1"/>
  <c r="P10" i="1"/>
  <c r="P9" i="1"/>
  <c r="N8" i="1"/>
  <c r="P8" i="1" s="1"/>
  <c r="N6" i="1"/>
  <c r="N5" i="1"/>
  <c r="P4" i="1"/>
  <c r="N2" i="1"/>
  <c r="P3" i="1"/>
  <c r="N84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E2" i="1"/>
  <c r="D2" i="1"/>
  <c r="I55" i="21" l="1"/>
  <c r="J55" i="21" s="1"/>
  <c r="K55" i="21" s="1"/>
  <c r="K11" i="4"/>
  <c r="E3" i="8" s="1"/>
  <c r="C3" i="8" s="1"/>
  <c r="K17" i="4"/>
  <c r="E5" i="8" s="1"/>
  <c r="C5" i="8" s="1"/>
  <c r="E5" i="26" s="1"/>
  <c r="J3" i="4"/>
  <c r="K29" i="4"/>
  <c r="E14" i="8" s="1"/>
  <c r="K23" i="4"/>
  <c r="E8" i="8" s="1"/>
  <c r="C8" i="8" s="1"/>
  <c r="K7" i="4"/>
  <c r="E12" i="8" s="1"/>
  <c r="K4" i="4"/>
  <c r="E13" i="8" s="1"/>
  <c r="C13" i="8" s="1"/>
  <c r="P16" i="1"/>
  <c r="P29" i="1"/>
  <c r="P64" i="1"/>
  <c r="P84" i="1"/>
  <c r="P5" i="1"/>
  <c r="S5" i="1" s="1"/>
  <c r="P17" i="1"/>
  <c r="P52" i="1"/>
  <c r="N18" i="1"/>
  <c r="P18" i="1" s="1"/>
  <c r="P28" i="1"/>
  <c r="P126" i="1"/>
  <c r="P93" i="1"/>
  <c r="N27" i="1"/>
  <c r="P27" i="1" s="1"/>
  <c r="P6" i="1"/>
  <c r="N51" i="1"/>
  <c r="P51" i="1" s="1"/>
  <c r="N79" i="1"/>
  <c r="P79" i="1" s="1"/>
  <c r="N7" i="1"/>
  <c r="P7" i="1" s="1"/>
  <c r="P2" i="1"/>
  <c r="N80" i="1"/>
  <c r="P80" i="1" s="1"/>
  <c r="B13" i="8" l="1"/>
  <c r="C13" i="26" s="1"/>
  <c r="E13" i="26"/>
  <c r="B8" i="8"/>
  <c r="C8" i="26" s="1"/>
  <c r="E8" i="26"/>
  <c r="B3" i="8"/>
  <c r="C4" i="26" s="1"/>
  <c r="E4" i="26"/>
  <c r="I56" i="21"/>
  <c r="J56" i="21" s="1"/>
  <c r="K56" i="21" s="1"/>
  <c r="C9" i="8"/>
  <c r="B9" i="8" s="1"/>
  <c r="C9" i="26" s="1"/>
  <c r="B5" i="8"/>
  <c r="C5" i="26" s="1"/>
  <c r="D9" i="8"/>
  <c r="D17" i="8"/>
  <c r="C14" i="8"/>
  <c r="E14" i="26" s="1"/>
  <c r="E9" i="26" l="1"/>
  <c r="E17" i="26"/>
  <c r="I57" i="21"/>
  <c r="J57" i="21" s="1"/>
  <c r="K57" i="21" s="1"/>
  <c r="D19" i="8"/>
  <c r="B14" i="8"/>
  <c r="C14" i="26" s="1"/>
  <c r="C17" i="8"/>
  <c r="E19" i="26" l="1"/>
  <c r="I60" i="21"/>
  <c r="J60" i="21" s="1"/>
  <c r="K60" i="21" s="1"/>
  <c r="I59" i="21"/>
  <c r="J59" i="21" s="1"/>
  <c r="K59" i="21" s="1"/>
  <c r="I58" i="21"/>
  <c r="J58" i="21" s="1"/>
  <c r="K58" i="21" s="1"/>
  <c r="C19" i="8"/>
  <c r="B19" i="8" s="1"/>
  <c r="C19" i="26" s="1"/>
  <c r="B17" i="8"/>
  <c r="C17" i="26" s="1"/>
  <c r="I61" i="21" l="1"/>
  <c r="J61" i="21" s="1"/>
  <c r="K61" i="21" s="1"/>
</calcChain>
</file>

<file path=xl/sharedStrings.xml><?xml version="1.0" encoding="utf-8"?>
<sst xmlns="http://schemas.openxmlformats.org/spreadsheetml/2006/main" count="2788" uniqueCount="173">
  <si>
    <t>NAME OF VENDOR / ADDRESS</t>
  </si>
  <si>
    <t>MATERIAL</t>
  </si>
  <si>
    <t>GATE ENTRY DATE</t>
  </si>
  <si>
    <t>BASIC VALUE</t>
  </si>
  <si>
    <t>CUSTOM DUTY 3.75%</t>
  </si>
  <si>
    <t>BASIC EXCISE DUTY 12.5%</t>
  </si>
  <si>
    <t>ECESS@2%</t>
  </si>
  <si>
    <t>SHE@1%</t>
  </si>
  <si>
    <t>TOTAL</t>
  </si>
  <si>
    <t>FREIGHT + ADD. DUTY 4%</t>
  </si>
  <si>
    <t>TOTAL INVOICE VALUE</t>
  </si>
  <si>
    <t>GRN QTY</t>
  </si>
  <si>
    <t>RICELA HEALTH FOODS LIMITED, DHURI (P.B)</t>
  </si>
  <si>
    <t>RICE BRAN FATTY ACIDS- PCP - LOCAL</t>
  </si>
  <si>
    <t>JAI BHAGWATI AGRO OILS , LUDHIANA (P.B)</t>
  </si>
  <si>
    <t>RBD PALM STEARIN (LOCAL)</t>
  </si>
  <si>
    <t>M.D. TRADING CO., LUDHIANA (P.B)</t>
  </si>
  <si>
    <t>LOK NATH VARINDER KUMAR IMPEX LTD, LUDHIANA (P.B)</t>
  </si>
  <si>
    <t>PFAD(LOCAL)-PCP</t>
  </si>
  <si>
    <t>RAHA OIL PVT LTD. NAMAKKAL , TAMIL NAIDU</t>
  </si>
  <si>
    <t>COCONUT OIL (CRUDE) LOCAL</t>
  </si>
  <si>
    <t>HARKARAN DASS VEDPAL, LUDHIANA (P.B)</t>
  </si>
  <si>
    <t>J.D TRADING CO., LUDHIANA (P.B)</t>
  </si>
  <si>
    <t>SOLVENT  COCONUT OIL</t>
  </si>
  <si>
    <t xml:space="preserve">PUNJAB OILS, AMRITSAR (P.B) </t>
  </si>
  <si>
    <t>PT. VVF INDONESIA,DELI SERDANG,MEDAN,INDONESIA</t>
  </si>
  <si>
    <t>CRUDE PALM KERNEL OIL FFA 20% MINIMUM</t>
  </si>
  <si>
    <t>HARKARAN DASS VEDPAL, NOIDA (U.P)</t>
  </si>
  <si>
    <t>SRI JAYASAKTHI RICE AND OIL MILLS,SALEM (T.N)</t>
  </si>
  <si>
    <t>RUCHI SOYA INDUSTRIES LIMITED, KARANPURA (BIHAR)</t>
  </si>
  <si>
    <t>DEEPCHAND ARYA INDUSTRIES, DELHI</t>
  </si>
  <si>
    <t xml:space="preserve">HINDUSTAN OIL TRADERS, AMRITSAR (P.B) </t>
  </si>
  <si>
    <t xml:space="preserve">AMRITSAR OIL TRADERS, AMRITSAR (P.B) </t>
  </si>
  <si>
    <t>SIDDHARTH OILS, LUDHIANA (P.B)</t>
  </si>
  <si>
    <t>HORIZON OIL INDUSTRIES, LUDHIANA (P.B)</t>
  </si>
  <si>
    <t>Month</t>
  </si>
  <si>
    <t>Week</t>
  </si>
  <si>
    <t>CST 2%</t>
  </si>
  <si>
    <t>Row Labels</t>
  </si>
  <si>
    <t>Grand Total</t>
  </si>
  <si>
    <t>Sum of TOTAL INVOICE VALUE</t>
  </si>
  <si>
    <t>Sum of Average</t>
  </si>
  <si>
    <t>QTY</t>
  </si>
  <si>
    <t>Sum of QTY</t>
  </si>
  <si>
    <t>INR</t>
  </si>
  <si>
    <t>PS Guj</t>
  </si>
  <si>
    <t>PFAD Guj</t>
  </si>
  <si>
    <t>PS Tr</t>
  </si>
  <si>
    <t>PFAD Tr</t>
  </si>
  <si>
    <t>RBFAD</t>
  </si>
  <si>
    <t>RPO</t>
  </si>
  <si>
    <t>FOB CPKO</t>
  </si>
  <si>
    <t>CPKO-EG</t>
  </si>
  <si>
    <t xml:space="preserve">CNO </t>
  </si>
  <si>
    <t>Exp CNO</t>
  </si>
  <si>
    <t>Date</t>
  </si>
  <si>
    <t>Average of PS Tr</t>
  </si>
  <si>
    <t>Average of PFAD Tr</t>
  </si>
  <si>
    <t>Average of RPO</t>
  </si>
  <si>
    <t>Average of RBFAD</t>
  </si>
  <si>
    <t>Average of PS Guj2</t>
  </si>
  <si>
    <t>Average of Exp CNO</t>
  </si>
  <si>
    <t>Average of CPKO-EG</t>
  </si>
  <si>
    <t>Average of PFAD Guj2</t>
  </si>
  <si>
    <t>Vaule Addition</t>
  </si>
  <si>
    <t>ASIAN FOOD INGREDIENTS SDN.BHD.,MALAYSIA</t>
  </si>
  <si>
    <t>PALM KERNEL FATTY ACID DISTILLATE</t>
  </si>
  <si>
    <t xml:space="preserve">AMARJIT OIL TRADERS, AMRITSAR (P.B) </t>
  </si>
  <si>
    <t>S.R.A. TRADE LINKS, DELHI</t>
  </si>
  <si>
    <t xml:space="preserve">SHREE GANPATI ENTERPRISES, AMRITSAR (P.B) </t>
  </si>
  <si>
    <t>RATE</t>
  </si>
  <si>
    <t>PKFAD</t>
  </si>
  <si>
    <t>Average of PKFAD</t>
  </si>
  <si>
    <t>Qty MT</t>
  </si>
  <si>
    <t>PFAD Local</t>
  </si>
  <si>
    <t>PFAD Import</t>
  </si>
  <si>
    <t>RBDPS</t>
  </si>
  <si>
    <t>RBO</t>
  </si>
  <si>
    <t>NON LAURICS - Total</t>
  </si>
  <si>
    <t>CPKO</t>
  </si>
  <si>
    <t>CPKO Local</t>
  </si>
  <si>
    <t>LAURICS - Total</t>
  </si>
  <si>
    <t>VA/Mt</t>
  </si>
  <si>
    <t>EXP CNO</t>
  </si>
  <si>
    <t>SOL CNO</t>
  </si>
  <si>
    <t>VALUE ADDITION</t>
  </si>
  <si>
    <t>TOTAL VALUE</t>
  </si>
  <si>
    <t>Avg Pr</t>
  </si>
  <si>
    <t>VA %</t>
  </si>
  <si>
    <t>CPKO 20% FFA</t>
  </si>
  <si>
    <t>SIVAM TRADERS, ARIYANKUPPAM - PUDUCHERRY</t>
  </si>
  <si>
    <t>NM COCONUT OIL MERCCHANTS, TIRUPUR (T.N)</t>
  </si>
  <si>
    <t>SHREE KUMARAVEL OIL MILL, TIRUPUR (T.N)</t>
  </si>
  <si>
    <t>KUMARAN OIL MILL, TIRUPUR (T.N)</t>
  </si>
  <si>
    <t>KUMARAN OIL PRODUCTS, KANGAYAM (T.N)</t>
  </si>
  <si>
    <t>3F INDUSTRIES LIMITED, TADEPALLIGUDEM (A.P)</t>
  </si>
  <si>
    <t xml:space="preserve">P.K.B OIL MILLS, KANGAYAM - TIRUPUR (T.N) </t>
  </si>
  <si>
    <t xml:space="preserve">PAVITHRA OIL INDUSTRIES, KANGAYAM - TIRUPUR (T.N) </t>
  </si>
  <si>
    <t>GUJARAT AMBUJA EXPORTS LTD., KADI-MEHSANA (GUJARAT)</t>
  </si>
  <si>
    <t>REFINED PALM OIL - LOCAL - PCP</t>
  </si>
  <si>
    <t>SURUCHI REFINERY PRIVATE LTD., PALADAM- COIMBATORE</t>
  </si>
  <si>
    <t>RICE BRAN OIL</t>
  </si>
  <si>
    <t>NOBLE NATURAL RESOURCES INDIA PVT.LTD.KUTCH, GUJARAT</t>
  </si>
  <si>
    <t>SRI VENKATA SRINIVASA OILS PVT. LTD.,GULLAPADU (A.P)</t>
  </si>
  <si>
    <t>DEEPCHAND ARYA INDUSTRIES, GUNTUR (A.P)</t>
  </si>
  <si>
    <t>DEEPCHAND ARYA INDUSTRIES, DADRI (U.P)</t>
  </si>
  <si>
    <t>Sum of GRN QTY</t>
  </si>
  <si>
    <t>ADANI WILMAR LIMITED,KUTCH, GUJARAT</t>
  </si>
  <si>
    <t>S.R.A TRADE LINKS, NEW DELHI</t>
  </si>
  <si>
    <t>SABIC ASIA PACIFIC PTE LTD - SINGAPORE</t>
  </si>
  <si>
    <t>DISTILLED FATTY ACID C1618</t>
  </si>
  <si>
    <t>FOB Fresco</t>
  </si>
  <si>
    <t>FRESCO OIL Selling price/transfer price</t>
  </si>
  <si>
    <t>As per Actuals</t>
  </si>
  <si>
    <t>CPKO (77%)</t>
  </si>
  <si>
    <t>SPKOFA (23%)</t>
  </si>
  <si>
    <t>Logistics and Forwarding costs</t>
  </si>
  <si>
    <t>Actuals based on total sales incl glycerine till YTD Apr to Oct 15</t>
  </si>
  <si>
    <t>Export levy</t>
  </si>
  <si>
    <t>Loading 3 dollar per ton</t>
  </si>
  <si>
    <t>Fresco FOB Price Indonesia</t>
  </si>
  <si>
    <t>Shipping/Ocean  Freight</t>
  </si>
  <si>
    <t>Fresco Oil CIF transfer price</t>
  </si>
  <si>
    <t xml:space="preserve">SPKOFA-COSTING </t>
  </si>
  <si>
    <t>(as per actuals of April-Oct)</t>
  </si>
  <si>
    <t xml:space="preserve">CPKO - Purchases Rate </t>
  </si>
  <si>
    <t>Yield</t>
  </si>
  <si>
    <t>cost of material - oil cost</t>
  </si>
  <si>
    <t>Less : Glycerine Credit</t>
  </si>
  <si>
    <t>Inward freight  to factory</t>
  </si>
  <si>
    <t>handling / other logistics cost</t>
  </si>
  <si>
    <t>production costs</t>
  </si>
  <si>
    <t>Processing cost - ( gas water fuel elec.)</t>
  </si>
  <si>
    <t xml:space="preserve">Direct Overheads </t>
  </si>
  <si>
    <t>Employee costs</t>
  </si>
  <si>
    <t>R&amp;M expense</t>
  </si>
  <si>
    <t>Indirect OH's</t>
  </si>
  <si>
    <t>G&amp;A expenses</t>
  </si>
  <si>
    <t>Depreciation</t>
  </si>
  <si>
    <t>Total Fixed Cost</t>
  </si>
  <si>
    <t>Total cost</t>
  </si>
  <si>
    <t>Interest</t>
  </si>
  <si>
    <t>Total cost of manufacture</t>
  </si>
  <si>
    <t>Add: Export levy of SPKOFA</t>
  </si>
  <si>
    <t>loading</t>
  </si>
  <si>
    <t>SPKOFA PRICE</t>
  </si>
  <si>
    <t>Notes:</t>
  </si>
  <si>
    <t>1) Assumed that CPKO rate is USD 720 per MT</t>
  </si>
  <si>
    <t>2) Crude Glycerine credit is USD 250</t>
  </si>
  <si>
    <t>3) Processing cost is taken on actuals for YTD Oct 15</t>
  </si>
  <si>
    <t>4) All the fixed overheads are consider at actuals based on ABP volume for the period Apr to Oct 15</t>
  </si>
  <si>
    <t>5) Logistics/Packing Cost , Export levy and 3% Margin not considered for 23% SPKOFA as the same is separately considered for FRESCO</t>
  </si>
  <si>
    <t>6) Interest Cost is consider 50% on the actual cost YTD Apr to Oct 15 based on ABP volume</t>
  </si>
  <si>
    <t>7) Margin is consider @ 3 usd per ton</t>
  </si>
  <si>
    <t>Dlvd Baddi</t>
  </si>
  <si>
    <t>Week No</t>
  </si>
  <si>
    <t>Avg of Dlvd Baddi</t>
  </si>
  <si>
    <t>Sum of Avg Price</t>
  </si>
  <si>
    <t>KUMARAN OIL INDUSTRIES, KANGAYAM- TIRPUR (T.N)</t>
  </si>
  <si>
    <t xml:space="preserve">PAVITHRA OIL MILL, KANGAYAM - TIRUPUR (T.N) </t>
  </si>
  <si>
    <t>PKB OIL MILLS, KANGAYAM- TIRPUR (T.N)</t>
  </si>
  <si>
    <t>NAMRATHA OIL REFINERIES PVT.LTD.,TIPTUR-KARNATAKA</t>
  </si>
  <si>
    <t>DEEP CHAND ARYA INDUSTRIES, DELHI</t>
  </si>
  <si>
    <t>Non LAURICS</t>
  </si>
  <si>
    <t>Value</t>
  </si>
  <si>
    <t>LAURICS</t>
  </si>
  <si>
    <t>Qty</t>
  </si>
  <si>
    <t>KABALEESWARAR TRADERS, SULEESWARANPATTI-POLLACHI (T.N)</t>
  </si>
  <si>
    <t>SKM ANIMAL FEEDS AND FOODS(INDIA)PVT LTD,ERODE (T.N).</t>
  </si>
  <si>
    <t>VALUE ADDITION FROM APR'16 TO JAN'17</t>
  </si>
  <si>
    <t>Sum of Avg</t>
  </si>
  <si>
    <t>BHAI GEHLA SINGH JASWANT SINGH, NEW DELHI</t>
  </si>
  <si>
    <t>BALAJI INDUSTRIES,JALGAON - MUMBAI (MAHARATHRA)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</si>
</sst>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 * #,##0_ ;_ * \-#,##0_ ;_ * &quot;-&quot;??_ ;_ @_ "/>
    <numFmt numFmtId="167" formatCode="_(* #,##0_);_(* \(#,##0\);_(* &quot;-&quot;??_);_(@_)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indexed="8"/>
      <name val="Calibri"/>
      <family val="2"/>
    </font>
    <font>
      <u/>
      <sz val="10"/>
      <name val="Cambria"/>
      <family val="1"/>
      <scheme val="major"/>
    </font>
    <font>
      <sz val="11"/>
      <color rgb="FF000000"/>
      <name val="Calibri"/>
      <family val="2"/>
    </font>
    <font>
      <b/>
      <sz val="10"/>
      <color theme="1"/>
      <name val="Cambria"/>
      <family val="1"/>
      <scheme val="major"/>
    </font>
    <font>
      <sz val="10"/>
      <color rgb="FF002060"/>
      <name val="Cambria"/>
      <family val="1"/>
      <scheme val="major"/>
    </font>
    <font>
      <b/>
      <u/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Border="0" applyAlignment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7" fillId="2" borderId="1" xfId="3" applyFont="1" applyFill="1" applyBorder="1" applyAlignment="1">
      <alignment horizontal="left" vertical="center" wrapText="1"/>
    </xf>
    <xf numFmtId="0" fontId="5" fillId="0" borderId="1" xfId="2" applyFont="1" applyFill="1" applyBorder="1" applyAlignment="1"/>
    <xf numFmtId="43" fontId="5" fillId="0" borderId="1" xfId="1" applyFont="1" applyFill="1" applyBorder="1" applyAlignment="1">
      <alignment horizontal="left"/>
    </xf>
    <xf numFmtId="43" fontId="4" fillId="0" borderId="0" xfId="0" applyNumberFormat="1" applyFont="1"/>
    <xf numFmtId="0" fontId="4" fillId="0" borderId="0" xfId="0" pivotButton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pivotButton="1" applyFont="1"/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5" fontId="5" fillId="0" borderId="1" xfId="2" applyNumberFormat="1" applyFont="1" applyBorder="1" applyAlignment="1">
      <alignment vertical="center"/>
    </xf>
    <xf numFmtId="166" fontId="5" fillId="0" borderId="1" xfId="1" applyNumberFormat="1" applyFont="1" applyFill="1" applyBorder="1" applyAlignment="1">
      <alignment vertical="center"/>
    </xf>
    <xf numFmtId="166" fontId="5" fillId="0" borderId="1" xfId="1" applyNumberFormat="1" applyFon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43" fontId="5" fillId="0" borderId="1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43" fontId="4" fillId="0" borderId="0" xfId="0" applyNumberFormat="1" applyFont="1" applyAlignment="1">
      <alignment vertical="center"/>
    </xf>
    <xf numFmtId="43" fontId="4" fillId="0" borderId="0" xfId="1" applyFont="1" applyAlignment="1">
      <alignment vertical="center"/>
    </xf>
    <xf numFmtId="166" fontId="4" fillId="0" borderId="0" xfId="0" applyNumberFormat="1" applyFont="1"/>
    <xf numFmtId="166" fontId="4" fillId="0" borderId="0" xfId="0" applyNumberFormat="1" applyFont="1" applyAlignment="1">
      <alignment vertical="center"/>
    </xf>
    <xf numFmtId="166" fontId="5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Fill="1" applyBorder="1" applyAlignment="1"/>
    <xf numFmtId="2" fontId="10" fillId="0" borderId="1" xfId="0" applyNumberFormat="1" applyFont="1" applyFill="1" applyBorder="1" applyAlignment="1">
      <alignment horizontal="left"/>
    </xf>
    <xf numFmtId="1" fontId="10" fillId="0" borderId="1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2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14" fontId="10" fillId="0" borderId="1" xfId="0" applyNumberFormat="1" applyFont="1" applyFill="1" applyBorder="1" applyAlignment="1">
      <alignment horizontal="left"/>
    </xf>
    <xf numFmtId="0" fontId="9" fillId="0" borderId="1" xfId="0" applyFont="1" applyBorder="1"/>
    <xf numFmtId="164" fontId="9" fillId="0" borderId="1" xfId="4" applyFont="1" applyBorder="1" applyAlignment="1">
      <alignment horizontal="left" vertical="center"/>
    </xf>
    <xf numFmtId="166" fontId="9" fillId="0" borderId="1" xfId="1" applyNumberFormat="1" applyFont="1" applyBorder="1"/>
    <xf numFmtId="0" fontId="9" fillId="0" borderId="3" xfId="0" applyFont="1" applyBorder="1"/>
    <xf numFmtId="168" fontId="9" fillId="0" borderId="1" xfId="14" applyNumberFormat="1" applyFont="1" applyBorder="1"/>
    <xf numFmtId="168" fontId="9" fillId="0" borderId="1" xfId="14" applyNumberFormat="1" applyFont="1" applyBorder="1" applyAlignment="1">
      <alignment horizontal="right" vertical="center"/>
    </xf>
    <xf numFmtId="0" fontId="4" fillId="0" borderId="0" xfId="0" applyFont="1" applyAlignment="1">
      <alignment horizontal="left" indent="1"/>
    </xf>
    <xf numFmtId="166" fontId="5" fillId="0" borderId="1" xfId="1" applyNumberFormat="1" applyFont="1" applyBorder="1" applyAlignment="1">
      <alignment horizontal="left"/>
    </xf>
    <xf numFmtId="43" fontId="5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left" vertical="center" indent="1"/>
    </xf>
    <xf numFmtId="166" fontId="9" fillId="0" borderId="0" xfId="1" applyNumberFormat="1" applyFont="1" applyAlignment="1">
      <alignment vertical="center"/>
    </xf>
    <xf numFmtId="166" fontId="0" fillId="0" borderId="0" xfId="1" applyNumberFormat="1" applyFont="1"/>
    <xf numFmtId="0" fontId="4" fillId="0" borderId="0" xfId="0" applyFont="1" applyBorder="1" applyAlignment="1">
      <alignment horizontal="center" vertical="center"/>
    </xf>
    <xf numFmtId="166" fontId="4" fillId="0" borderId="0" xfId="1" applyNumberFormat="1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Alignment="1">
      <alignment vertical="center"/>
    </xf>
    <xf numFmtId="43" fontId="9" fillId="0" borderId="5" xfId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vertical="center"/>
    </xf>
    <xf numFmtId="9" fontId="4" fillId="0" borderId="1" xfId="14" applyFont="1" applyBorder="1" applyAlignment="1">
      <alignment vertical="center"/>
    </xf>
    <xf numFmtId="2" fontId="4" fillId="0" borderId="6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0" fontId="4" fillId="0" borderId="0" xfId="14" applyNumberFormat="1" applyFont="1" applyAlignment="1">
      <alignment vertical="center"/>
    </xf>
    <xf numFmtId="0" fontId="4" fillId="0" borderId="1" xfId="0" applyFont="1" applyBorder="1"/>
    <xf numFmtId="168" fontId="4" fillId="0" borderId="1" xfId="14" applyNumberFormat="1" applyFont="1" applyBorder="1" applyAlignment="1">
      <alignment horizontal="right" vertical="center"/>
    </xf>
    <xf numFmtId="166" fontId="4" fillId="0" borderId="1" xfId="1" applyNumberFormat="1" applyFont="1" applyBorder="1"/>
    <xf numFmtId="168" fontId="4" fillId="0" borderId="1" xfId="14" applyNumberFormat="1" applyFont="1" applyBorder="1"/>
    <xf numFmtId="1" fontId="4" fillId="0" borderId="1" xfId="0" applyNumberFormat="1" applyFont="1" applyBorder="1"/>
    <xf numFmtId="166" fontId="9" fillId="0" borderId="3" xfId="1" applyNumberFormat="1" applyFont="1" applyBorder="1"/>
    <xf numFmtId="166" fontId="4" fillId="0" borderId="1" xfId="1" applyNumberFormat="1" applyFont="1" applyBorder="1" applyAlignment="1">
      <alignment horizontal="right" vertical="center"/>
    </xf>
    <xf numFmtId="43" fontId="4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68" fontId="9" fillId="0" borderId="1" xfId="14" applyNumberFormat="1" applyFont="1" applyBorder="1" applyAlignment="1">
      <alignment vertical="center"/>
    </xf>
    <xf numFmtId="166" fontId="9" fillId="0" borderId="1" xfId="1" applyNumberFormat="1" applyFont="1" applyBorder="1" applyAlignment="1">
      <alignment vertical="center"/>
    </xf>
    <xf numFmtId="167" fontId="4" fillId="0" borderId="1" xfId="4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" fontId="9" fillId="0" borderId="1" xfId="0" applyNumberFormat="1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6" fontId="0" fillId="0" borderId="0" xfId="1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center" vertical="center"/>
    </xf>
  </cellXfs>
  <cellStyles count="15">
    <cellStyle name="Comma" xfId="1" builtinId="3"/>
    <cellStyle name="Comma 2" xfId="4"/>
    <cellStyle name="Comma 2 2" xfId="8"/>
    <cellStyle name="Comma 3" xfId="6"/>
    <cellStyle name="Comma 4" xfId="12"/>
    <cellStyle name="Comma 7" xfId="7"/>
    <cellStyle name="Currency 2" xfId="9"/>
    <cellStyle name="Hyperlink" xfId="3" builtinId="8"/>
    <cellStyle name="Normal" xfId="0" builtinId="0"/>
    <cellStyle name="Normal 2" xfId="2"/>
    <cellStyle name="Normal 2 2" xfId="5"/>
    <cellStyle name="Normal 3" xfId="11"/>
    <cellStyle name="Percent" xfId="14" builtinId="5"/>
    <cellStyle name="Percent 2" xfId="10"/>
    <cellStyle name="Percent 3" xfId="13"/>
  </cellStyles>
  <dxfs count="252">
    <dxf>
      <numFmt numFmtId="166" formatCode="_ * #,##0_ ;_ * \-#,##0_ ;_ * &quot;-&quot;??_ ;_ @_ "/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sz val="10"/>
      </font>
    </dxf>
    <dxf>
      <alignment vertical="center" indent="0" readingOrder="0"/>
    </dxf>
    <dxf>
      <font>
        <name val="Cambria"/>
        <scheme val="major"/>
      </font>
    </dxf>
    <dxf>
      <numFmt numFmtId="166" formatCode="_ * #,##0_ ;_ * \-#,##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vertical="center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alignment vertical="center" indent="0" readingOrder="0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35" formatCode="_ * #,##0.00_ ;_ * \-#,##0.00_ ;_ * &quot;-&quot;??_ ;_ @_ 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sz val="10"/>
      </font>
    </dxf>
    <dxf>
      <font>
        <name val="Cambria"/>
        <scheme val="major"/>
      </font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pivotCacheDefinition" Target="pivotCache/pivotCacheDefinition1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9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8.xml"/><Relationship Id="rId40" Type="http://schemas.openxmlformats.org/officeDocument/2006/relationships/pivotCacheDefinition" Target="pivotCache/pivotCacheDefinition1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43" Type="http://schemas.openxmlformats.org/officeDocument/2006/relationships/pivotCacheDefinition" Target="pivotCache/pivotCacheDefinition14.xml"/><Relationship Id="rId48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2929629631" createdVersion="4" refreshedVersion="4" minRefreshableVersion="3" recordCount="76">
  <cacheSource type="worksheet">
    <worksheetSource ref="A1:Q77" sheet="GRN Oct"/>
  </cacheSource>
  <cacheFields count="18">
    <cacheField name="NAME OF VENDOR / ADDRESS" numFmtId="0">
      <sharedItems/>
    </cacheField>
    <cacheField name="MATERIAL" numFmtId="0">
      <sharedItems count="6">
        <s v="RBD PALM STEARIN (LOCAL)"/>
        <s v="RICE BRAN FATTY ACIDS- PCP - LOCAL"/>
        <s v="PFAD(LOCAL)-PCP"/>
        <s v="DISTILLED FATTY ACID C1618"/>
        <s v="COCONUT OIL (CRUDE) LOCAL"/>
        <s v="SOLVENT  COCONUT OIL"/>
      </sharedItems>
    </cacheField>
    <cacheField name="GATE ENTRY DATE" numFmtId="14">
      <sharedItems containsSemiMixedTypes="0" containsNonDate="0" containsDate="1" containsString="0" minDate="2016-10-01T00:00:00" maxDate="2016-10-29T00:00:00"/>
    </cacheField>
    <cacheField name="Month" numFmtId="0">
      <sharedItems containsSemiMixedTypes="0" containsString="0" containsNumber="1" containsInteger="1" minValue="10" maxValue="10"/>
    </cacheField>
    <cacheField name="Week" numFmtId="0">
      <sharedItems containsSemiMixedTypes="0" containsString="0" containsNumber="1" containsInteger="1" minValue="40" maxValue="2016" count="6">
        <n v="40"/>
        <n v="41"/>
        <n v="42"/>
        <n v="43"/>
        <n v="44"/>
        <n v="2016" u="1"/>
      </sharedItems>
    </cacheField>
    <cacheField name="GRN QTY" numFmtId="43">
      <sharedItems containsSemiMixedTypes="0" containsString="0" containsNumber="1" minValue="18.14" maxValue="37.54"/>
    </cacheField>
    <cacheField name="RATE" numFmtId="166">
      <sharedItems containsSemiMixedTypes="0" containsString="0" containsNumber="1" minValue="46402.66" maxValue="96323.55"/>
    </cacheField>
    <cacheField name="BASIC VALUE" numFmtId="166">
      <sharedItems containsSemiMixedTypes="0" containsString="0" containsNumber="1" minValue="925269.04040000017" maxValue="3188309.5050000004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48852.5"/>
    </cacheField>
    <cacheField name="ECESS@2%" numFmtId="166">
      <sharedItems containsSemiMixedTypes="0" containsString="0" containsNumber="1" minValue="0" maxValue="2324.7732660000001"/>
    </cacheField>
    <cacheField name="SHE@1%" numFmtId="166">
      <sharedItems containsSemiMixedTypes="0" containsString="0" containsNumber="1" minValue="0" maxValue="1162.3866330000001"/>
    </cacheField>
    <cacheField name="TOTAL" numFmtId="166">
      <sharedItems containsSemiMixedTypes="0" containsString="0" containsNumber="1" minValue="997243" maxValue="3188309.5050000004"/>
    </cacheField>
    <cacheField name="CST 2%" numFmtId="166">
      <sharedItems containsSemiMixedTypes="0" containsString="0" containsNumber="1" minValue="0" maxValue="63766.190100000007"/>
    </cacheField>
    <cacheField name="FREIGHT + ADD. DUTY 4%" numFmtId="166">
      <sharedItems containsSemiMixedTypes="0" containsString="0" containsNumber="1" minValue="0" maxValue="130161.40518396001"/>
    </cacheField>
    <cacheField name="TOTAL INVOICE VALUE" numFmtId="166">
      <sharedItems containsSemiMixedTypes="0" containsString="0" containsNumber="1" minValue="997243" maxValue="3252075.6951000001"/>
    </cacheField>
    <cacheField name="QTY" numFmtId="43">
      <sharedItems containsSemiMixedTypes="0" containsString="0" containsNumber="1" minValue="18.14" maxValue="37.54"/>
    </cacheField>
    <cacheField name="Average" numFmtId="0" formula="'TOTAL INVOICE VALUE'/'GRN Q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2974768515" createdVersion="4" refreshedVersion="4" minRefreshableVersion="3" recordCount="51">
  <cacheSource type="worksheet">
    <worksheetSource ref="A1:Q52" sheet="GRN Sep"/>
  </cacheSource>
  <cacheFields count="18">
    <cacheField name="NAME OF VENDOR / ADDRESS" numFmtId="0">
      <sharedItems/>
    </cacheField>
    <cacheField name="MATERIAL" numFmtId="0">
      <sharedItems count="3">
        <s v="RBD PALM STEARIN (LOCAL)"/>
        <s v="PFAD(LOCAL)-PCP"/>
        <s v="RICE BRAN FATTY ACIDS- PCP - LOCAL"/>
      </sharedItems>
    </cacheField>
    <cacheField name="GATE ENTRY DATE" numFmtId="14">
      <sharedItems containsSemiMixedTypes="0" containsNonDate="0" containsDate="1" containsString="0" minDate="2016-09-01T00:00:00" maxDate="2016-10-01T00:00:00"/>
    </cacheField>
    <cacheField name="Month" numFmtId="0">
      <sharedItems containsSemiMixedTypes="0" containsString="0" containsNumber="1" containsInteger="1" minValue="9" maxValue="9"/>
    </cacheField>
    <cacheField name="Week" numFmtId="0">
      <sharedItems containsSemiMixedTypes="0" containsString="0" containsNumber="1" containsInteger="1" minValue="36" maxValue="40" count="5">
        <n v="36"/>
        <n v="37"/>
        <n v="38"/>
        <n v="39"/>
        <n v="40"/>
      </sharedItems>
    </cacheField>
    <cacheField name="GRN QTY" numFmtId="0">
      <sharedItems containsSemiMixedTypes="0" containsString="0" containsNumber="1" minValue="18.440000000000001" maxValue="35.950000000000003"/>
    </cacheField>
    <cacheField name="RATE" numFmtId="0">
      <sharedItems containsSemiMixedTypes="0" containsString="0" containsNumber="1" minValue="50200" maxValue="57500"/>
    </cacheField>
    <cacheField name="BASIC VALUE" numFmtId="2">
      <sharedItems containsSemiMixedTypes="0" containsString="0" containsNumber="1" minValue="925688.00000000012" maxValue="1935481.133000000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containsInteger="1" minValue="0" maxValue="0"/>
    </cacheField>
    <cacheField name="ECESS@2%" numFmtId="1">
      <sharedItems containsSemiMixedTypes="0" containsString="0" containsNumber="1" containsInteger="1" minValue="0" maxValue="0"/>
    </cacheField>
    <cacheField name="SHE@1%" numFmtId="1">
      <sharedItems containsSemiMixedTypes="0" containsString="0" containsNumber="1" containsInteger="1" minValue="0" maxValue="0"/>
    </cacheField>
    <cacheField name="TOTAL" numFmtId="2">
      <sharedItems containsSemiMixedTypes="0" containsString="0" containsNumber="1" minValue="925688.00000000012" maxValue="1935481.1330000001"/>
    </cacheField>
    <cacheField name="CST 2%" numFmtId="2">
      <sharedItems containsSemiMixedTypes="0" containsString="0" containsNumber="1" minValue="0" maxValue="31314.98832"/>
    </cacheField>
    <cacheField name="FREIGHT + ADD. DUTY 4%" numFmtId="0">
      <sharedItems containsSemiMixedTypes="0" containsString="0" containsNumber="1" containsInteger="1" minValue="0" maxValue="0"/>
    </cacheField>
    <cacheField name="TOTAL INVOICE VALUE" numFmtId="1">
      <sharedItems containsSemiMixedTypes="0" containsString="0" containsNumber="1" minValue="925688.00000000012" maxValue="1935481.1330000001"/>
    </cacheField>
    <cacheField name="QTY" numFmtId="0">
      <sharedItems containsSemiMixedTypes="0" containsString="0" containsNumber="1" minValue="18.440000000000001" maxValue="35.95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07523145" createdVersion="4" refreshedVersion="4" minRefreshableVersion="3" recordCount="43">
  <cacheSource type="worksheet">
    <worksheetSource ref="A1:Q44" sheet="GRN Aug"/>
  </cacheSource>
  <cacheFields count="18">
    <cacheField name="NAME OF VENDOR / ADDRESS" numFmtId="0">
      <sharedItems/>
    </cacheField>
    <cacheField name="MATERIAL" numFmtId="0">
      <sharedItems count="5">
        <s v="RICE BRAN OIL"/>
        <s v="RICE BRAN FATTY ACIDS- PCP - LOCAL"/>
        <s v="PFAD(LOCAL)-PCP"/>
        <s v="RBD PALM STEARIN (LOCAL)"/>
        <s v="PALM KERNEL FATTY ACID DISTILLATE"/>
      </sharedItems>
    </cacheField>
    <cacheField name="GATE ENTRY DATE" numFmtId="14">
      <sharedItems containsSemiMixedTypes="0" containsNonDate="0" containsDate="1" containsString="0" minDate="2016-08-02T00:00:00" maxDate="2016-09-01T00:00:00"/>
    </cacheField>
    <cacheField name="Month" numFmtId="0">
      <sharedItems containsSemiMixedTypes="0" containsString="0" containsNumber="1" containsInteger="1" minValue="8" maxValue="8"/>
    </cacheField>
    <cacheField name="Week" numFmtId="0">
      <sharedItems containsSemiMixedTypes="0" containsString="0" containsNumber="1" containsInteger="1" minValue="32" maxValue="36" count="5">
        <n v="32"/>
        <n v="33"/>
        <n v="34"/>
        <n v="35"/>
        <n v="36"/>
      </sharedItems>
    </cacheField>
    <cacheField name="GRN QTY" numFmtId="0">
      <sharedItems containsSemiMixedTypes="0" containsString="0" containsNumber="1" minValue="19.649999999999999" maxValue="33.21"/>
    </cacheField>
    <cacheField name="RATE" numFmtId="0">
      <sharedItems containsSemiMixedTypes="0" containsString="0" containsNumber="1" minValue="41500" maxValue="57500"/>
    </cacheField>
    <cacheField name="BASIC VALUE" numFmtId="2">
      <sharedItems containsSemiMixedTypes="0" containsString="0" containsNumber="1" minValue="954083.92800000019" maxValue="1722432.7889999999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72276.875"/>
    </cacheField>
    <cacheField name="ECESS@2%" numFmtId="1">
      <sharedItems containsSemiMixedTypes="0" containsString="0" containsNumber="1" minValue="0" maxValue="2626.9880975000001"/>
    </cacheField>
    <cacheField name="SHE@1%" numFmtId="1">
      <sharedItems containsSemiMixedTypes="0" containsString="0" containsNumber="1" minValue="0" maxValue="1313.49404875"/>
    </cacheField>
    <cacheField name="TOTAL" numFmtId="2">
      <sharedItems containsSemiMixedTypes="0" containsString="0" containsNumber="1" minValue="954083.92800000019" maxValue="1722432.7889999999"/>
    </cacheField>
    <cacheField name="CST 2%" numFmtId="2">
      <sharedItems containsSemiMixedTypes="0" containsString="0" containsNumber="1" minValue="0" maxValue="34448.655780000001"/>
    </cacheField>
    <cacheField name="FREIGHT + ADD. DUTY 4%" numFmtId="0">
      <sharedItems containsSemiMixedTypes="0" containsString="0" containsNumber="1" minValue="0" maxValue="124465"/>
    </cacheField>
    <cacheField name="TOTAL INVOICE VALUE" numFmtId="1">
      <sharedItems containsSemiMixedTypes="0" containsString="0" containsNumber="1" minValue="954083.92800000019" maxValue="1756881.4447799998"/>
    </cacheField>
    <cacheField name="QTY" numFmtId="0">
      <sharedItems containsSemiMixedTypes="0" containsString="0" containsNumber="1" minValue="19.63" maxValue="33.18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42361114" createdVersion="4" refreshedVersion="4" minRefreshableVersion="3" recordCount="99">
  <cacheSource type="worksheet">
    <worksheetSource ref="A1:Q100" sheet="GRN Jul"/>
  </cacheSource>
  <cacheFields count="18">
    <cacheField name="NAME OF VENDOR / ADDRESS" numFmtId="0">
      <sharedItems/>
    </cacheField>
    <cacheField name="MATERIAL" numFmtId="0">
      <sharedItems count="7">
        <s v="PFAD(LOCAL)-PCP"/>
        <s v="COCONUT OIL (CRUDE) LOCAL"/>
        <s v="RBD PALM STEARIN (LOCAL)"/>
        <s v="PALM KERNEL FATTY ACID DISTILLATE"/>
        <s v="RICE BRAN FATTY ACIDS- PCP - LOCAL"/>
        <s v="REFINED PALM OIL - LOCAL - PCP"/>
        <s v="RICE BRAN OIL"/>
      </sharedItems>
    </cacheField>
    <cacheField name="GATE ENTRY DATE" numFmtId="14">
      <sharedItems containsSemiMixedTypes="0" containsNonDate="0" containsDate="1" containsString="0" minDate="2016-07-01T00:00:00" maxDate="2016-08-01T00:00:00"/>
    </cacheField>
    <cacheField name="Month" numFmtId="0">
      <sharedItems containsSemiMixedTypes="0" containsString="0" containsNumber="1" containsInteger="1" minValue="7" maxValue="7"/>
    </cacheField>
    <cacheField name="Week" numFmtId="0">
      <sharedItems containsSemiMixedTypes="0" containsString="0" containsNumber="1" containsInteger="1" minValue="27" maxValue="2016" count="7">
        <n v="27"/>
        <n v="28"/>
        <n v="29"/>
        <n v="30"/>
        <n v="31"/>
        <n v="32"/>
        <n v="2016" u="1"/>
      </sharedItems>
    </cacheField>
    <cacheField name="GRN QTY" numFmtId="0">
      <sharedItems containsSemiMixedTypes="0" containsString="0" containsNumber="1" minValue="15.79" maxValue="34.56"/>
    </cacheField>
    <cacheField name="RATE" numFmtId="0">
      <sharedItems containsSemiMixedTypes="0" containsString="0" containsNumber="1" minValue="41500" maxValue="83333"/>
    </cacheField>
    <cacheField name="BASIC VALUE" numFmtId="2">
      <sharedItems containsSemiMixedTypes="0" containsString="0" containsNumber="1" minValue="881947.26570000011" maxValue="2055825.1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66155.625"/>
    </cacheField>
    <cacheField name="ECESS@2%" numFmtId="1">
      <sharedItems containsSemiMixedTypes="0" containsString="0" containsNumber="1" minValue="0" maxValue="2544.3000142500005"/>
    </cacheField>
    <cacheField name="SHE@1%" numFmtId="1">
      <sharedItems containsSemiMixedTypes="0" containsString="0" containsNumber="1" minValue="0" maxValue="1272.1500071250002"/>
    </cacheField>
    <cacheField name="TOTAL" numFmtId="2">
      <sharedItems containsSemiMixedTypes="0" containsString="0" containsNumber="1" minValue="881947.26570000011" maxValue="2055825.11"/>
    </cacheField>
    <cacheField name="CST 2%" numFmtId="2">
      <sharedItems containsSemiMixedTypes="0" containsString="0" containsNumber="1" minValue="0" maxValue="41116.502200000003"/>
    </cacheField>
    <cacheField name="FREIGHT + ADD. DUTY 4%" numFmtId="0">
      <sharedItems containsSemiMixedTypes="0" containsString="0" containsNumber="1" minValue="0" maxValue="125984"/>
    </cacheField>
    <cacheField name="TOTAL INVOICE VALUE" numFmtId="1">
      <sharedItems containsSemiMixedTypes="0" containsString="0" containsNumber="1" minValue="899704" maxValue="2096941.6122000001"/>
    </cacheField>
    <cacheField name="QTY" numFmtId="0">
      <sharedItems containsSemiMixedTypes="0" containsString="0" containsNumber="1" minValue="15.79" maxValue="34.56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85532404" createdVersion="4" refreshedVersion="4" minRefreshableVersion="3" recordCount="153">
  <cacheSource type="worksheet">
    <worksheetSource ref="A1:Q154" sheet="GRN Jun"/>
  </cacheSource>
  <cacheFields count="18">
    <cacheField name="NAME OF VENDOR / ADDRESS" numFmtId="0">
      <sharedItems/>
    </cacheField>
    <cacheField name="MATERIAL" numFmtId="0">
      <sharedItems count="6">
        <s v="PFAD(LOCAL)-PCP"/>
        <s v="RBD PALM STEARIN (LOCAL)"/>
        <s v="RICE BRAN FATTY ACIDS- PCP - LOCAL"/>
        <s v="CRUDE PALM KERNEL OIL FFA 20% MINIMUM"/>
        <s v="PALM KERNEL FATTY ACID DISTILLATE"/>
        <s v="COCONUT OIL (CRUDE) LOCAL"/>
      </sharedItems>
    </cacheField>
    <cacheField name="GATE ENTRY DATE" numFmtId="14">
      <sharedItems containsSemiMixedTypes="0" containsNonDate="0" containsDate="1" containsString="0" minDate="2015-06-05T00:00:00" maxDate="2016-07-01T00:00:00"/>
    </cacheField>
    <cacheField name="Month" numFmtId="0">
      <sharedItems containsSemiMixedTypes="0" containsString="0" containsNumber="1" containsInteger="1" minValue="6" maxValue="6"/>
    </cacheField>
    <cacheField name="Week" numFmtId="0">
      <sharedItems containsSemiMixedTypes="0" containsString="0" containsNumber="1" containsInteger="1" minValue="23" maxValue="27" count="5">
        <n v="23"/>
        <n v="24"/>
        <n v="25"/>
        <n v="26"/>
        <n v="27"/>
      </sharedItems>
    </cacheField>
    <cacheField name="GRN QTY" numFmtId="0">
      <sharedItems containsSemiMixedTypes="0" containsString="0" containsNumber="1" minValue="15.56" maxValue="38.11"/>
    </cacheField>
    <cacheField name="RATE" numFmtId="0">
      <sharedItems containsSemiMixedTypes="0" containsString="0" containsNumber="1" minValue="39500" maxValue="83333"/>
    </cacheField>
    <cacheField name="BASIC VALUE" numFmtId="2">
      <sharedItems containsSemiMixedTypes="0" containsString="0" containsNumber="1" minValue="788815" maxValue="2130444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30520.93776250001"/>
    </cacheField>
    <cacheField name="ECESS@2%" numFmtId="1">
      <sharedItems containsSemiMixedTypes="0" containsString="0" containsNumber="1" minValue="0" maxValue="2610.4187552500002"/>
    </cacheField>
    <cacheField name="SHE@1%" numFmtId="1">
      <sharedItems containsSemiMixedTypes="0" containsString="0" containsNumber="1" minValue="0" maxValue="1305.2093776250001"/>
    </cacheField>
    <cacheField name="TOTAL" numFmtId="2">
      <sharedItems containsSemiMixedTypes="0" containsString="0" containsNumber="1" minValue="887416.875" maxValue="2130444"/>
    </cacheField>
    <cacheField name="CST 2%" numFmtId="2">
      <sharedItems containsSemiMixedTypes="0" containsString="0" containsNumber="1" minValue="0" maxValue="40133.1728"/>
    </cacheField>
    <cacheField name="FREIGHT + ADD. DUTY 4%" numFmtId="0">
      <sharedItems containsSemiMixedTypes="0" containsString="0" containsNumber="1" minValue="0" maxValue="47144.162719815002"/>
    </cacheField>
    <cacheField name="TOTAL INVOICE VALUE" numFmtId="1">
      <sharedItems containsSemiMixedTypes="0" containsString="0" containsNumber="1" minValue="905165.21250000002" maxValue="2130444"/>
    </cacheField>
    <cacheField name="QTY" numFmtId="0">
      <sharedItems containsSemiMixedTypes="0" containsString="0" containsNumber="1" minValue="15.56" maxValue="38.11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122800929" createdVersion="4" refreshedVersion="4" minRefreshableVersion="3" recordCount="109">
  <cacheSource type="worksheet">
    <worksheetSource ref="A1:Q110" sheet="GRN May"/>
  </cacheSource>
  <cacheFields count="18">
    <cacheField name="NAME OF VENDOR / ADDRESS" numFmtId="0">
      <sharedItems/>
    </cacheField>
    <cacheField name="MATERIAL" numFmtId="0">
      <sharedItems count="5">
        <s v="CRUDE PALM KERNEL OIL FFA 20% MINIMUM"/>
        <s v="RBD PALM STEARIN (LOCAL)"/>
        <s v="PFAD(LOCAL)-PCP"/>
        <s v="RICE BRAN FATTY ACIDS- PCP - LOCAL"/>
        <s v="PALM KERNEL FATTY ACID DISTILLATE"/>
      </sharedItems>
    </cacheField>
    <cacheField name="GATE ENTRY DATE" numFmtId="14">
      <sharedItems containsSemiMixedTypes="0" containsNonDate="0" containsDate="1" containsString="0" minDate="2016-05-02T00:00:00" maxDate="2016-06-01T00:00:00"/>
    </cacheField>
    <cacheField name="Month" numFmtId="0">
      <sharedItems containsSemiMixedTypes="0" containsString="0" containsNumber="1" containsInteger="1" minValue="5" maxValue="5"/>
    </cacheField>
    <cacheField name="Week" numFmtId="0">
      <sharedItems containsSemiMixedTypes="0" containsString="0" containsNumber="1" containsInteger="1" minValue="19" maxValue="23" count="5">
        <n v="19"/>
        <n v="20"/>
        <n v="21"/>
        <n v="22"/>
        <n v="23"/>
      </sharedItems>
    </cacheField>
    <cacheField name="GRN QTY" numFmtId="0">
      <sharedItems containsSemiMixedTypes="0" containsString="0" containsNumber="1" minValue="19.2" maxValue="33.340000000000003"/>
    </cacheField>
    <cacheField name="RATE" numFmtId="0">
      <sharedItems containsSemiMixedTypes="0" containsString="0" containsNumber="1" minValue="42230.62" maxValue="77289.149999999994"/>
    </cacheField>
    <cacheField name="BASIC VALUE" numFmtId="2">
      <sharedItems containsSemiMixedTypes="0" containsString="0" containsNumber="1" minValue="887265.32620000013" maxValue="1836529.899200000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0">
      <sharedItems containsSemiMixedTypes="0" containsString="0" containsNumber="1" minValue="0" maxValue="111119.31887500001"/>
    </cacheField>
    <cacheField name="ECESS@2%" numFmtId="1">
      <sharedItems containsSemiMixedTypes="0" containsString="0" containsNumber="1" minValue="0" maxValue="2222.3863775000004"/>
    </cacheField>
    <cacheField name="SHE@1%" numFmtId="1">
      <sharedItems containsSemiMixedTypes="0" containsString="0" containsNumber="1" minValue="0" maxValue="1111.1931887500002"/>
    </cacheField>
    <cacheField name="TOTAL" numFmtId="0">
      <sharedItems containsSemiMixedTypes="0" containsString="0" containsNumber="1" minValue="981919.91999999993" maxValue="1836529.8992000001"/>
    </cacheField>
    <cacheField name="CST 2%" numFmtId="0">
      <sharedItems containsSemiMixedTypes="0" containsString="0" containsNumber="1" containsInteger="1" minValue="0" maxValue="29070"/>
    </cacheField>
    <cacheField name="FREIGHT + ADD. DUTY 4%" numFmtId="0">
      <sharedItems containsSemiMixedTypes="0" containsString="0" containsNumber="1" minValue="0" maxValue="40136.29797765"/>
    </cacheField>
    <cacheField name="TOTAL INVOICE VALUE" numFmtId="1">
      <sharedItems containsSemiMixedTypes="0" containsString="0" containsNumber="1" minValue="981919.91999999993" maxValue="1836529.8992000001"/>
    </cacheField>
    <cacheField name="QTY" numFmtId="0">
      <sharedItems containsSemiMixedTypes="0" containsString="0" containsNumber="1" minValue="19.2" maxValue="33.34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169675929" createdVersion="4" refreshedVersion="4" minRefreshableVersion="3" recordCount="125">
  <cacheSource type="worksheet">
    <worksheetSource ref="A1:Q126" sheet="GRN Apr"/>
  </cacheSource>
  <cacheFields count="18">
    <cacheField name="NAME OF VENDOR / ADDRESS" numFmtId="0">
      <sharedItems/>
    </cacheField>
    <cacheField name="MATERIAL" numFmtId="0">
      <sharedItems count="6">
        <s v="RICE BRAN FATTY ACIDS- PCP - LOCAL"/>
        <s v="RBD PALM STEARIN (LOCAL)"/>
        <s v="PFAD(LOCAL)-PCP"/>
        <s v="COCONUT OIL (CRUDE) LOCAL"/>
        <s v="SOLVENT  COCONUT OIL"/>
        <s v="CRUDE PALM KERNEL OIL FFA 20% MINIMUM"/>
      </sharedItems>
    </cacheField>
    <cacheField name="GATE ENTRY DATE" numFmtId="14">
      <sharedItems containsSemiMixedTypes="0" containsNonDate="0" containsDate="1" containsString="0" minDate="2016-04-01T00:00:00" maxDate="2016-05-01T00:00:00"/>
    </cacheField>
    <cacheField name="Month" numFmtId="0">
      <sharedItems containsSemiMixedTypes="0" containsString="0" containsNumber="1" containsInteger="1" minValue="4" maxValue="4"/>
    </cacheField>
    <cacheField name="Week" numFmtId="0">
      <sharedItems containsSemiMixedTypes="0" containsString="0" containsNumber="1" containsInteger="1" minValue="14" maxValue="18" count="5">
        <n v="14"/>
        <n v="15"/>
        <n v="16"/>
        <n v="17"/>
        <n v="18"/>
      </sharedItems>
    </cacheField>
    <cacheField name="GRN QTY" numFmtId="43">
      <sharedItems containsSemiMixedTypes="0" containsString="0" containsNumber="1" minValue="16.100000000000001" maxValue="35.65"/>
    </cacheField>
    <cacheField name="RATE" numFmtId="43">
      <sharedItems containsSemiMixedTypes="0" containsString="0" containsNumber="1" minValue="30500" maxValue="85290"/>
    </cacheField>
    <cacheField name="BASIC VALUE" numFmtId="166">
      <sharedItems containsSemiMixedTypes="0" containsString="0" containsNumber="1" minValue="620065" maxValue="2345568"/>
    </cacheField>
    <cacheField name="CUSTOM DUTY 3.75%" numFmtId="43">
      <sharedItems containsSemiMixedTypes="0" containsString="0" containsNumber="1" containsInteger="1" minValue="0" maxValue="0"/>
    </cacheField>
    <cacheField name="BASIC EXCISE DUTY 12.5%" numFmtId="43">
      <sharedItems containsSemiMixedTypes="0" containsString="0" containsNumber="1" minValue="0" maxValue="88030.625"/>
    </cacheField>
    <cacheField name="ECESS@2%" numFmtId="43">
      <sharedItems containsSemiMixedTypes="0" containsString="0" containsNumber="1" containsInteger="1" minValue="0" maxValue="4509"/>
    </cacheField>
    <cacheField name="SHE@1%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minValue="697573.125" maxValue="2345568"/>
    </cacheField>
    <cacheField name="CST 2%" numFmtId="43">
      <sharedItems containsSemiMixedTypes="0" containsString="0" containsNumber="1" minValue="0" maxValue="46911.360000000001"/>
    </cacheField>
    <cacheField name="FREIGHT + ADD. DUTY 4%" numFmtId="43">
      <sharedItems containsSemiMixedTypes="0" containsString="0" containsNumber="1" containsInteger="1" minValue="0" maxValue="5605"/>
    </cacheField>
    <cacheField name="TOTAL INVOICE VALUE" numFmtId="43">
      <sharedItems containsSemiMixedTypes="0" containsString="0" containsNumber="1" minValue="711524.58750000002" maxValue="2392479.36"/>
    </cacheField>
    <cacheField name="QTY" numFmtId="43">
      <sharedItems containsSemiMixedTypes="0" containsString="0" containsNumber="1" minValue="16.100000000000001" maxValue="35.65"/>
    </cacheField>
    <cacheField name="Average" numFmtId="0" formula="#NAME?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adhavan Dakshinamurthy" refreshedDate="42704.816354513889" createdVersion="4" refreshedVersion="4" minRefreshableVersion="3" recordCount="196">
  <cacheSource type="worksheet">
    <worksheetSource ref="E1:K197" sheet="Fresco"/>
  </cacheSource>
  <cacheFields count="7">
    <cacheField name="Date" numFmtId="15">
      <sharedItems containsSemiMixedTypes="0" containsNonDate="0" containsDate="1" containsString="0" minDate="2016-01-04T00:00:00" maxDate="2016-10-26T00:00:00"/>
    </cacheField>
    <cacheField name="Week" numFmtId="0">
      <sharedItems containsSemiMixedTypes="0" containsString="0" containsNumber="1" containsInteger="1" minValue="2" maxValue="44" count="43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Month" numFmtId="0">
      <sharedItems containsSemiMixedTypes="0" containsString="0" containsNumber="1" containsInteger="1" minValue="1" maxValue="10"/>
    </cacheField>
    <cacheField name="INR" numFmtId="43">
      <sharedItems containsSemiMixedTypes="0" containsString="0" containsNumber="1" minValue="66.06" maxValue="68.86"/>
    </cacheField>
    <cacheField name="FOB CPKO" numFmtId="166">
      <sharedItems containsSemiMixedTypes="0" containsString="0" containsNumber="1" minValue="850" maxValue="1465"/>
    </cacheField>
    <cacheField name="FOB Fresco" numFmtId="166">
      <sharedItems containsSemiMixedTypes="0" containsString="0" containsNumber="1" minValue="908.1637131243358" maxValue="1532.0325229011687"/>
    </cacheField>
    <cacheField name="Dlvd Baddi" numFmtId="166">
      <sharedItems containsSemiMixedTypes="0" containsString="0" containsNumber="1" minValue="64892.784931212009" maxValue="106555.92862704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adhavan Dakshinamurthy" refreshedDate="42733.710140625" createdVersion="4" refreshedVersion="4" minRefreshableVersion="3" recordCount="119">
  <cacheSource type="worksheet">
    <worksheetSource ref="A1:Q120" sheet="GRN Nov"/>
  </cacheSource>
  <cacheFields count="18">
    <cacheField name="NAME OF VENDOR / ADDRESS" numFmtId="0">
      <sharedItems/>
    </cacheField>
    <cacheField name="MATERIAL" numFmtId="0">
      <sharedItems count="8">
        <s v="PFAD(LOCAL)-PCP"/>
        <s v="RBD PALM STEARIN (LOCAL)"/>
        <s v="SOLVENT  COCONUT OIL"/>
        <s v="COCONUT OIL (CRUDE) LOCAL"/>
        <s v="DISTILLED FATTY ACID C1618"/>
        <s v="RICE BRAN FATTY ACIDS- PCP - LOCAL"/>
        <s v="PALM KERNEL FATTY ACID DISTILLATE"/>
        <s v="REFINED PALM OIL - LOCAL - PCP"/>
      </sharedItems>
    </cacheField>
    <cacheField name="GATE ENTRY DATE" numFmtId="14">
      <sharedItems containsSemiMixedTypes="0" containsNonDate="0" containsDate="1" containsString="0" minDate="2016-11-01T00:00:00" maxDate="2016-12-01T00:00:00"/>
    </cacheField>
    <cacheField name="Month" numFmtId="0">
      <sharedItems containsSemiMixedTypes="0" containsString="0" containsNumber="1" containsInteger="1" minValue="11" maxValue="11"/>
    </cacheField>
    <cacheField name="Week" numFmtId="0">
      <sharedItems containsSemiMixedTypes="0" containsString="0" containsNumber="1" containsInteger="1" minValue="45" maxValue="49" count="5">
        <n v="45"/>
        <n v="46"/>
        <n v="47"/>
        <n v="48"/>
        <n v="49"/>
      </sharedItems>
    </cacheField>
    <cacheField name="GRN QTY" numFmtId="43">
      <sharedItems containsSemiMixedTypes="0" containsString="0" containsNumber="1" minValue="18.75" maxValue="30.71"/>
    </cacheField>
    <cacheField name="RATE" numFmtId="166">
      <sharedItems containsSemiMixedTypes="0" containsString="0" containsNumber="1" minValue="46402.66" maxValue="97549.5"/>
    </cacheField>
    <cacheField name="BASIC VALUE" numFmtId="166">
      <sharedItems containsSemiMixedTypes="0" containsString="0" containsNumber="1" minValue="928053.20000000007" maxValue="2373645.872"/>
    </cacheField>
    <cacheField name="CUSTOM DUTY 3.75%" numFmtId="166">
      <sharedItems containsString="0" containsBlank="1" containsNumber="1" containsInteger="1" minValue="0" maxValue="0"/>
    </cacheField>
    <cacheField name="BASIC EXCISE DUTY 12.5%" numFmtId="166">
      <sharedItems containsSemiMixedTypes="0" containsString="0" containsNumber="1" minValue="0" maxValue="200360.1628125"/>
    </cacheField>
    <cacheField name="ECESS@2%" numFmtId="166">
      <sharedItems containsString="0" containsBlank="1" containsNumber="1" minValue="0" maxValue="4007.2032562499999"/>
    </cacheField>
    <cacheField name="SHE@1%" numFmtId="166">
      <sharedItems containsString="0" containsBlank="1" containsNumber="1" minValue="0" maxValue="2003.6016281249999"/>
    </cacheField>
    <cacheField name="TOTAL" numFmtId="166">
      <sharedItems containsSemiMixedTypes="0" containsString="0" containsNumber="1" minValue="1047540.0495000001" maxValue="2373645.872"/>
    </cacheField>
    <cacheField name="CST 2%" numFmtId="166">
      <sharedItems containsSemiMixedTypes="0" containsString="0" containsNumber="1" minValue="0" maxValue="47472.917439999997"/>
    </cacheField>
    <cacheField name="FREIGHT + ADD. DUTY 4%" numFmtId="166">
      <sharedItems containsString="0" containsBlank="1" containsNumber="1" minValue="0" maxValue="165430.09080787498"/>
    </cacheField>
    <cacheField name="TOTAL INVOICE VALUE" numFmtId="166">
      <sharedItems containsSemiMixedTypes="0" containsString="0" containsNumber="1" minValue="1064234" maxValue="2421118.78944"/>
    </cacheField>
    <cacheField name="QTY" numFmtId="43">
      <sharedItems containsSemiMixedTypes="0" containsString="0" containsNumber="1" minValue="18.75" maxValue="30.71"/>
    </cacheField>
    <cacheField name="Avg Pric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adhavan Dakshinamurthy" refreshedDate="42742.813633449077" createdVersion="4" refreshedVersion="4" minRefreshableVersion="3" recordCount="89">
  <cacheSource type="worksheet">
    <worksheetSource ref="A1:Q90" sheet="GRN Dec"/>
  </cacheSource>
  <cacheFields count="18">
    <cacheField name="NAME OF VENDOR / ADDRESS" numFmtId="0">
      <sharedItems/>
    </cacheField>
    <cacheField name="MATERIAL" numFmtId="0">
      <sharedItems count="6">
        <s v="PFAD(LOCAL)-PCP"/>
        <s v="RBD PALM STEARIN (LOCAL)"/>
        <s v="RICE BRAN FATTY ACIDS- PCP - LOCAL"/>
        <s v="DISTILLED FATTY ACID C1618"/>
        <s v="COCONUT OIL (CRUDE) LOCAL"/>
        <s v="SOLVENT  COCONUT OIL"/>
      </sharedItems>
    </cacheField>
    <cacheField name="GATE ENTRY DATE" numFmtId="14">
      <sharedItems containsSemiMixedTypes="0" containsNonDate="0" containsDate="1" containsString="0" minDate="2016-12-01T00:00:00" maxDate="2016-12-30T00:00:00"/>
    </cacheField>
    <cacheField name="Month" numFmtId="0">
      <sharedItems containsSemiMixedTypes="0" containsString="0" containsNumber="1" containsInteger="1" minValue="12" maxValue="12"/>
    </cacheField>
    <cacheField name="Week" numFmtId="0">
      <sharedItems containsSemiMixedTypes="0" containsString="0" containsNumber="1" containsInteger="1" minValue="49" maxValue="53" count="5">
        <n v="49"/>
        <n v="50"/>
        <n v="52"/>
        <n v="51"/>
        <n v="53"/>
      </sharedItems>
    </cacheField>
    <cacheField name="GRN QTY" numFmtId="43">
      <sharedItems containsSemiMixedTypes="0" containsString="0" containsNumber="1" minValue="17.04" maxValue="34.21"/>
    </cacheField>
    <cacheField name="RATE" numFmtId="166">
      <sharedItems containsSemiMixedTypes="0" containsString="0" containsNumber="1" minValue="46444.36" maxValue="107843.1"/>
    </cacheField>
    <cacheField name="BASIC VALUE" numFmtId="166">
      <sharedItems containsSemiMixedTypes="0" containsString="0" containsNumber="1" minValue="927029.42560000008" maxValue="2784978.495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116227.01089999999"/>
    </cacheField>
    <cacheField name="ECESS@2%" numFmtId="166">
      <sharedItems containsSemiMixedTypes="0" containsString="0" containsNumber="1" minValue="0" maxValue="2324.5402180000001"/>
    </cacheField>
    <cacheField name="SHE@1%" numFmtId="166">
      <sharedItems containsSemiMixedTypes="0" containsString="0" containsNumber="1" minValue="0" maxValue="1162.270109"/>
    </cacheField>
    <cacheField name="TOTAL" numFmtId="166">
      <sharedItems containsSemiMixedTypes="0" containsString="0" containsNumber="1" minValue="944266.65839999996" maxValue="2784978.4959999998"/>
    </cacheField>
    <cacheField name="CST 2%" numFmtId="166">
      <sharedItems containsSemiMixedTypes="0" containsString="0" containsNumber="1" minValue="0" maxValue="55699.569919999994"/>
    </cacheField>
    <cacheField name="FREIGHT + ADD. DUTY 4%" numFmtId="166">
      <sharedItems containsSemiMixedTypes="0" containsString="0" containsNumber="1" minValue="0" maxValue="130157.19633707999"/>
    </cacheField>
    <cacheField name="TOTAL INVOICE VALUE" numFmtId="166">
      <sharedItems containsSemiMixedTypes="0" containsString="0" containsNumber="1" minValue="944266.65839999996" maxValue="2840678.06592"/>
    </cacheField>
    <cacheField name="QTY" numFmtId="43">
      <sharedItems containsSemiMixedTypes="0" containsString="0" containsNumber="1" minValue="17.04" maxValue="34.21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adhavan Dakshinamurthy" refreshedDate="42780.028597222219" createdVersion="4" refreshedVersion="4" minRefreshableVersion="3" recordCount="60">
  <cacheSource type="worksheet">
    <worksheetSource ref="A1:Q61" sheet="GRN Jan"/>
  </cacheSource>
  <cacheFields count="18">
    <cacheField name="NAME OF VENDOR / ADDRESS" numFmtId="0">
      <sharedItems/>
    </cacheField>
    <cacheField name="MATERIAL" numFmtId="0">
      <sharedItems count="7">
        <s v="COCONUT OIL (CRUDE) LOCAL"/>
        <s v="PALM KERNEL FATTY ACID DISTILLATE"/>
        <s v="RBD PALM STEARIN (LOCAL)"/>
        <s v="PFAD(LOCAL)-PCP"/>
        <s v="DISTILLED FATTY ACID C1618"/>
        <s v="RICE BRAN FATTY ACIDS- PCP - LOCAL"/>
        <s v="SOLVENT  COCONUT OIL"/>
      </sharedItems>
    </cacheField>
    <cacheField name="GATE ENTRY DATE" numFmtId="14">
      <sharedItems containsSemiMixedTypes="0" containsNonDate="0" containsDate="1" containsString="0" minDate="2017-01-02T00:00:00" maxDate="2017-01-31T00:00:00"/>
    </cacheField>
    <cacheField name="Month" numFmtId="0">
      <sharedItems containsSemiMixedTypes="0" containsString="0" containsNumber="1" containsInteger="1" minValue="1" maxValue="1"/>
    </cacheField>
    <cacheField name="Week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GRN QTY" numFmtId="43">
      <sharedItems containsSemiMixedTypes="0" containsString="0" containsNumber="1" minValue="19.34" maxValue="35.700000000000003"/>
    </cacheField>
    <cacheField name="RATE" numFmtId="166">
      <sharedItems containsSemiMixedTypes="0" containsString="0" containsNumber="1" minValue="50980.4" maxValue="110784.3"/>
    </cacheField>
    <cacheField name="BASIC VALUE" numFmtId="166">
      <sharedItems containsSemiMixedTypes="0" containsString="0" containsNumber="1" minValue="1094460" maxValue="2784009.458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57920"/>
    </cacheField>
    <cacheField name="ECESS@2%" numFmtId="166">
      <sharedItems containsSemiMixedTypes="0" containsString="0" containsNumber="1" minValue="0" maxValue="3996.5990625000009"/>
    </cacheField>
    <cacheField name="SHE@1%" numFmtId="166">
      <sharedItems containsSemiMixedTypes="0" containsString="0" containsNumber="1" minValue="0" maxValue="1998.2995312500004"/>
    </cacheField>
    <cacheField name="TOTAL" numFmtId="166">
      <sharedItems containsSemiMixedTypes="0" containsString="0" containsNumber="1" minValue="1094460" maxValue="2784009.4589999998"/>
    </cacheField>
    <cacheField name="CST 2%" numFmtId="166">
      <sharedItems containsSemiMixedTypes="0" containsString="0" containsNumber="1" minValue="0" maxValue="55680.189179999994"/>
    </cacheField>
    <cacheField name="FREIGHT + ADD. DUTY 4%" numFmtId="166">
      <sharedItems containsSemiMixedTypes="0" containsString="0" containsNumber="1" minValue="0" maxValue="165678.57906875003"/>
    </cacheField>
    <cacheField name="TOTAL INVOICE VALUE" numFmtId="166">
      <sharedItems containsSemiMixedTypes="0" containsString="0" containsNumber="1" minValue="1094460" maxValue="2839689.64818"/>
    </cacheField>
    <cacheField name="QTY" numFmtId="43">
      <sharedItems containsSemiMixedTypes="0" containsString="0" containsNumber="1" minValue="19.34" maxValue="35.70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adhavan Dakshinamurthy" refreshedDate="42802.614782638891" createdVersion="4" refreshedVersion="4" minRefreshableVersion="3" recordCount="64">
  <cacheSource type="worksheet">
    <worksheetSource ref="A1:Q65" sheet="GRN Feb"/>
  </cacheSource>
  <cacheFields count="18">
    <cacheField name="NAME OF VENDOR / ADDRESS" numFmtId="0">
      <sharedItems/>
    </cacheField>
    <cacheField name="MATERIAL" numFmtId="0">
      <sharedItems count="5">
        <s v="PFAD(LOCAL)-PCP"/>
        <s v="RICE BRAN FATTY ACIDS- PCP - LOCAL"/>
        <s v="RBD PALM STEARIN (LOCAL)"/>
        <s v="SOLVENT  COCONUT OIL"/>
        <s v="DISTILLED FATTY ACID C1618"/>
      </sharedItems>
    </cacheField>
    <cacheField name="GATE ENTRY DATE" numFmtId="14">
      <sharedItems containsSemiMixedTypes="0" containsNonDate="0" containsDate="1" containsString="0" minDate="2017-02-02T00:00:00" maxDate="2017-03-01T00:00:00"/>
    </cacheField>
    <cacheField name="Month" numFmtId="0">
      <sharedItems containsSemiMixedTypes="0" containsString="0" containsNumber="1" containsInteger="1" minValue="2" maxValue="2"/>
    </cacheField>
    <cacheField name="Week" numFmtId="0">
      <sharedItems containsSemiMixedTypes="0" containsString="0" containsNumber="1" containsInteger="1" minValue="5" maxValue="9" count="5">
        <n v="5"/>
        <n v="6"/>
        <n v="7"/>
        <n v="8"/>
        <n v="9"/>
      </sharedItems>
    </cacheField>
    <cacheField name="GRN QTY" numFmtId="43">
      <sharedItems containsSemiMixedTypes="0" containsString="0" containsNumber="1" minValue="19.100000000000001" maxValue="33.08"/>
    </cacheField>
    <cacheField name="RATE" numFmtId="166">
      <sharedItems containsSemiMixedTypes="0" containsString="0" containsNumber="1" minValue="50000" maxValue="90196"/>
    </cacheField>
    <cacheField name="BASIC VALUE" numFmtId="166">
      <sharedItems containsSemiMixedTypes="0" containsString="0" containsNumber="1" minValue="1067536.8319999999" maxValue="2133660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66707.5"/>
    </cacheField>
    <cacheField name="ECESS@2%" numFmtId="166">
      <sharedItems containsSemiMixedTypes="0" containsString="0" containsNumber="1" containsInteger="1" minValue="0" maxValue="0"/>
    </cacheField>
    <cacheField name="SHE@1%" numFmtId="166">
      <sharedItems containsSemiMixedTypes="0" containsString="0" containsNumber="1" containsInteger="1" minValue="0" maxValue="0"/>
    </cacheField>
    <cacheField name="TOTAL" numFmtId="166">
      <sharedItems containsSemiMixedTypes="0" containsString="0" containsNumber="1" minValue="1067536.8319999999" maxValue="2400367.5"/>
    </cacheField>
    <cacheField name="CST 2%" numFmtId="166">
      <sharedItems containsSemiMixedTypes="0" containsString="0" containsNumber="1" minValue="0" maxValue="48007.35"/>
    </cacheField>
    <cacheField name="FREIGHT + ADD. DUTY 4%" numFmtId="166">
      <sharedItems containsSemiMixedTypes="0" containsString="0" containsNumber="1" containsInteger="1" minValue="0" maxValue="99240"/>
    </cacheField>
    <cacheField name="TOTAL INVOICE VALUE" numFmtId="166">
      <sharedItems containsSemiMixedTypes="0" containsString="0" containsNumber="1" minValue="1067536.8319999999" maxValue="2547614.85"/>
    </cacheField>
    <cacheField name="QTY" numFmtId="43">
      <sharedItems containsSemiMixedTypes="0" containsString="0" containsNumber="1" minValue="19.100000000000001" maxValue="33.08"/>
    </cacheField>
    <cacheField name="Avg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451041667" createdVersion="4" refreshedVersion="4" minRefreshableVersion="3" recordCount="244">
  <cacheSource type="worksheet">
    <worksheetSource ref="A1:Q245" sheet="Daily Rates"/>
  </cacheSource>
  <cacheFields count="17">
    <cacheField name="Date" numFmtId="15">
      <sharedItems containsSemiMixedTypes="0" containsNonDate="0" containsDate="1" containsString="0" minDate="2016-02-01T00:00:00" maxDate="2017-02-04T00:00:00"/>
    </cacheField>
    <cacheField name="Week" numFmtId="0">
      <sharedItems containsSemiMixedTypes="0" containsString="0" containsNumber="1" containsInteger="1" minValue="1" maxValue="53" count="53"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</sharedItems>
    </cacheField>
    <cacheField name="Month" numFmtId="0">
      <sharedItems containsSemiMixedTypes="0" containsString="0" containsNumber="1" containsInteger="1" minValue="1" maxValue="12"/>
    </cacheField>
    <cacheField name="INR" numFmtId="43">
      <sharedItems containsSemiMixedTypes="0" containsString="0" containsNumber="1" minValue="66.06" maxValue="68.86"/>
    </cacheField>
    <cacheField name="PS Guj" numFmtId="166">
      <sharedItems containsSemiMixedTypes="0" containsString="0" containsNumber="1" containsInteger="1" minValue="340" maxValue="575"/>
    </cacheField>
    <cacheField name="PFAD Guj" numFmtId="166">
      <sharedItems containsSemiMixedTypes="0" containsString="0" containsNumber="1" containsInteger="1" minValue="340" maxValue="480"/>
    </cacheField>
    <cacheField name="PS Tr" numFmtId="166">
      <sharedItems containsSemiMixedTypes="0" containsString="0" containsNumber="1" containsInteger="1" minValue="400" maxValue="595"/>
    </cacheField>
    <cacheField name="PFAD Tr" numFmtId="166">
      <sharedItems containsSemiMixedTypes="0" containsString="0" containsNumber="1" containsInteger="1" minValue="430" maxValue="585"/>
    </cacheField>
    <cacheField name="RBFAD" numFmtId="166">
      <sharedItems containsSemiMixedTypes="0" containsString="0" containsNumber="1" containsInteger="1" minValue="430" maxValue="560"/>
    </cacheField>
    <cacheField name="RPO" numFmtId="166">
      <sharedItems containsSemiMixedTypes="0" containsString="0" containsNumber="1" containsInteger="1" minValue="513" maxValue="656"/>
    </cacheField>
    <cacheField name="PS Guj2" numFmtId="166">
      <sharedItems containsSemiMixedTypes="0" containsString="0" containsNumber="1" minValue="422.15000000000003" maxValue="691.8125"/>
    </cacheField>
    <cacheField name="PFAD Guj2" numFmtId="166">
      <sharedItems containsSemiMixedTypes="0" containsString="0" containsNumber="1" minValue="422.15000000000003" maxValue="582.80000000000007"/>
    </cacheField>
    <cacheField name="FOB CPKO" numFmtId="166">
      <sharedItems containsSemiMixedTypes="0" containsString="0" containsNumber="1" minValue="880" maxValue="1820"/>
    </cacheField>
    <cacheField name="CPKO-EG" numFmtId="166">
      <sharedItems containsSemiMixedTypes="0" containsString="0" containsNumber="1" minValue="76823.986250000002" maxValue="149189.616125"/>
    </cacheField>
    <cacheField name="CNO " numFmtId="166">
      <sharedItems containsSemiMixedTypes="0" containsString="0" containsNumber="1" minValue="6900" maxValue="13733"/>
    </cacheField>
    <cacheField name="Exp CNO" numFmtId="166">
      <sharedItems containsSemiMixedTypes="0" containsString="0" containsNumber="1" minValue="79382.271845100506" maxValue="152860.44120879352"/>
    </cacheField>
    <cacheField name="PKFAD" numFmtId="166">
      <sharedItems containsSemiMixedTypes="0" containsString="0" containsNumber="1" minValue="53160.401690000006" maxValue="128290.882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5503587962" createdVersion="4" refreshedVersion="4" minRefreshableVersion="3" recordCount="39">
  <cacheSource type="worksheet">
    <worksheetSource ref="A248:Q287" sheet="Daily Rates"/>
  </cacheSource>
  <cacheFields count="17">
    <cacheField name="Date" numFmtId="15">
      <sharedItems containsSemiMixedTypes="0" containsNonDate="0" containsDate="1" containsString="0" minDate="2017-02-01T00:00:00" maxDate="2017-04-01T00:00:00"/>
    </cacheField>
    <cacheField name="Week" numFmtId="0">
      <sharedItems containsSemiMixedTypes="0" containsString="0" containsNumber="1" containsInteger="1" minValue="5" maxValue="13" count="9">
        <n v="5"/>
        <n v="6"/>
        <n v="7"/>
        <n v="8"/>
        <n v="9"/>
        <n v="10"/>
        <n v="11"/>
        <n v="12"/>
        <n v="13"/>
      </sharedItems>
    </cacheField>
    <cacheField name="Month" numFmtId="0">
      <sharedItems containsSemiMixedTypes="0" containsString="0" containsNumber="1" containsInteger="1" minValue="2" maxValue="3"/>
    </cacheField>
    <cacheField name="INR" numFmtId="43">
      <sharedItems containsSemiMixedTypes="0" containsString="0" containsNumber="1" minValue="64.84" maxValue="68.930000000000007"/>
    </cacheField>
    <cacheField name="PS Guj" numFmtId="166">
      <sharedItems containsSemiMixedTypes="0" containsString="0" containsNumber="1" containsInteger="1" minValue="490" maxValue="570"/>
    </cacheField>
    <cacheField name="PFAD Guj" numFmtId="166">
      <sharedItems containsSemiMixedTypes="0" containsString="0" containsNumber="1" containsInteger="1" minValue="453" maxValue="485"/>
    </cacheField>
    <cacheField name="PS Tr" numFmtId="166">
      <sharedItems containsSemiMixedTypes="0" containsString="0" containsNumber="1" containsInteger="1" minValue="545" maxValue="595"/>
    </cacheField>
    <cacheField name="PFAD Tr" numFmtId="166">
      <sharedItems containsSemiMixedTypes="0" containsString="0" containsNumber="1" containsInteger="1" minValue="550" maxValue="585"/>
    </cacheField>
    <cacheField name="RBFAD" numFmtId="166">
      <sharedItems containsSemiMixedTypes="0" containsString="0" containsNumber="1" containsInteger="1" minValue="510" maxValue="615"/>
    </cacheField>
    <cacheField name="RPO" numFmtId="166">
      <sharedItems containsSemiMixedTypes="0" containsString="0" containsNumber="1" containsInteger="1" minValue="588" maxValue="651"/>
    </cacheField>
    <cacheField name="PS Guj2" numFmtId="166">
      <sharedItems containsSemiMixedTypes="0" containsString="0" containsNumber="1" minValue="594.27499999999998" maxValue="686.07499999999993"/>
    </cacheField>
    <cacheField name="PFAD Guj2" numFmtId="166">
      <sharedItems containsSemiMixedTypes="0" containsString="0" containsNumber="1" minValue="551.8175" maxValue="588.53750000000002"/>
    </cacheField>
    <cacheField name="FOB CPKO" numFmtId="166">
      <sharedItems containsSemiMixedTypes="0" containsString="0" containsNumber="1" containsInteger="1" minValue="1150" maxValue="1820"/>
    </cacheField>
    <cacheField name="CPKO-EG" numFmtId="166">
      <sharedItems containsSemiMixedTypes="0" containsString="0" containsNumber="1" minValue="93689.542999999991" maxValue="148357.6145"/>
    </cacheField>
    <cacheField name="CNO " numFmtId="166">
      <sharedItems containsSemiMixedTypes="0" containsString="0" containsNumber="1" containsInteger="1" minValue="11267" maxValue="13667"/>
    </cacheField>
    <cacheField name="Exp CNO" numFmtId="166">
      <sharedItems containsSemiMixedTypes="0" containsString="0" containsNumber="1" minValue="126838.00954734339" maxValue="152163.97710106615"/>
    </cacheField>
    <cacheField name="PKFAD" numFmtId="166">
      <sharedItems containsSemiMixedTypes="0" containsString="0" containsNumber="1" minValue="71762.373259999993" maxValue="127578.9704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634259259" createdVersion="4" refreshedVersion="4" minRefreshableVersion="3" recordCount="105">
  <cacheSource type="worksheet">
    <worksheetSource ref="A1:Q106" sheet="GRN Mar"/>
  </cacheSource>
  <cacheFields count="18">
    <cacheField name="NAME OF VENDOR / ADDRESS" numFmtId="0">
      <sharedItems/>
    </cacheField>
    <cacheField name="MATERIAL" numFmtId="0">
      <sharedItems count="6">
        <s v="RBD PALM STEARIN (LOCAL)"/>
        <s v="RICE BRAN FATTY ACIDS- PCP - LOCAL"/>
        <s v="PFAD(LOCAL)-PCP"/>
        <s v="DISTILLED FATTY ACID C1618"/>
        <s v="SOLVENT  COCONUT OIL"/>
        <s v="COCONUT OIL (CRUDE) LOCAL"/>
      </sharedItems>
    </cacheField>
    <cacheField name="GATE ENTRY DATE" numFmtId="14">
      <sharedItems containsSemiMixedTypes="0" containsNonDate="0" containsDate="1" containsString="0" minDate="2017-03-01T00:00:00" maxDate="2017-03-30T00:00:00"/>
    </cacheField>
    <cacheField name="Month" numFmtId="166">
      <sharedItems containsSemiMixedTypes="0" containsString="0" containsNumber="1" containsInteger="1" minValue="3" maxValue="3"/>
    </cacheField>
    <cacheField name="Week" numFmtId="166">
      <sharedItems containsSemiMixedTypes="0" containsString="0" containsNumber="1" containsInteger="1" minValue="9" maxValue="13" count="5">
        <n v="9"/>
        <n v="10"/>
        <n v="11"/>
        <n v="12"/>
        <n v="13"/>
      </sharedItems>
    </cacheField>
    <cacheField name="GRN QTY" numFmtId="43">
      <sharedItems containsSemiMixedTypes="0" containsString="0" containsNumber="1" minValue="0" maxValue="36.51"/>
    </cacheField>
    <cacheField name="RATE" numFmtId="166">
      <sharedItems containsSemiMixedTypes="0" containsString="0" containsNumber="1" minValue="0" maxValue="111250"/>
    </cacheField>
    <cacheField name="BASIC VALUE" numFmtId="166">
      <sharedItems containsSemiMixedTypes="0" containsString="0" containsNumber="1" minValue="0" maxValue="2267871.319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65175.625"/>
    </cacheField>
    <cacheField name="ECESS@2%" numFmtId="166">
      <sharedItems containsSemiMixedTypes="0" containsString="0" containsNumber="1" containsInteger="1" minValue="0" maxValue="0"/>
    </cacheField>
    <cacheField name="SHE@1%" numFmtId="166">
      <sharedItems containsSemiMixedTypes="0" containsString="0" containsNumber="1" containsInteger="1" minValue="0" maxValue="0"/>
    </cacheField>
    <cacheField name="TOTAL" numFmtId="166">
      <sharedItems containsSemiMixedTypes="0" containsString="0" containsNumber="1" minValue="0" maxValue="2386580.625"/>
    </cacheField>
    <cacheField name="CST 2%" numFmtId="166">
      <sharedItems containsSemiMixedTypes="0" containsString="0" containsNumber="1" minValue="0" maxValue="47731.612500000003"/>
    </cacheField>
    <cacheField name="FREIGHT + ADD. DUTY 4%" numFmtId="166">
      <sharedItems containsSemiMixedTypes="0" containsString="0" containsNumber="1" containsInteger="1" minValue="0" maxValue="0"/>
    </cacheField>
    <cacheField name="TOTAL INVOICE VALUE" numFmtId="166">
      <sharedItems containsSemiMixedTypes="0" containsString="0" containsNumber="1" minValue="0" maxValue="2434312.2374999998"/>
    </cacheField>
    <cacheField name="QTY" numFmtId="43">
      <sharedItems containsSemiMixedTypes="0" containsString="0" containsNumber="1" minValue="0" maxValue="36.51"/>
    </cacheField>
    <cacheField name="Avg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s v="DEEPCHAND ARYA INDUSTRIES, DELHI"/>
    <x v="0"/>
    <d v="2016-10-01T00:00:00"/>
    <n v="10"/>
    <x v="0"/>
    <n v="26.89"/>
    <n v="57500"/>
    <n v="1546175"/>
    <n v="0"/>
    <n v="0"/>
    <n v="0"/>
    <n v="0"/>
    <n v="1546175"/>
    <n v="0"/>
    <n v="0"/>
    <n v="1546175"/>
    <n v="26.89"/>
  </r>
  <r>
    <s v="RICELA HEALTH FOODS LIMITED, DHURI (P.B)"/>
    <x v="1"/>
    <d v="2016-10-03T00:00:00"/>
    <n v="10"/>
    <x v="1"/>
    <n v="28.43"/>
    <n v="52622.45"/>
    <n v="1496056.2534999999"/>
    <n v="0"/>
    <n v="0"/>
    <n v="0"/>
    <n v="0"/>
    <n v="1496056.2534999999"/>
    <n v="29921.125069999998"/>
    <n v="0"/>
    <n v="1525977.3785699999"/>
    <n v="28.43"/>
  </r>
  <r>
    <s v="DEEPCHAND ARYA INDUSTRIES, DADRI (U.P)"/>
    <x v="2"/>
    <d v="2016-10-03T00:00:00"/>
    <n v="10"/>
    <x v="1"/>
    <n v="25.83"/>
    <n v="57000"/>
    <n v="1472310"/>
    <n v="0"/>
    <n v="0"/>
    <n v="0"/>
    <n v="0"/>
    <n v="1472310"/>
    <n v="0"/>
    <n v="0"/>
    <n v="1472310"/>
    <n v="25.84"/>
  </r>
  <r>
    <s v="DEEPCHAND ARYA INDUSTRIES, DADRI (U.P)"/>
    <x v="2"/>
    <d v="2016-10-03T00:00:00"/>
    <n v="10"/>
    <x v="1"/>
    <n v="25.19"/>
    <n v="57000"/>
    <n v="1435830"/>
    <n v="0"/>
    <n v="0"/>
    <n v="0"/>
    <n v="0"/>
    <n v="1435830"/>
    <n v="0"/>
    <n v="0"/>
    <n v="1435830"/>
    <n v="25.21"/>
  </r>
  <r>
    <s v="DEEPCHAND ARYA INDUSTRIES, DELHI"/>
    <x v="0"/>
    <d v="2016-10-03T00:00:00"/>
    <n v="10"/>
    <x v="1"/>
    <n v="24.86"/>
    <n v="58500"/>
    <n v="1454310"/>
    <n v="0"/>
    <n v="0"/>
    <n v="0"/>
    <n v="0"/>
    <n v="1454310"/>
    <n v="0"/>
    <n v="0"/>
    <n v="1454310"/>
    <n v="24.86"/>
  </r>
  <r>
    <s v="HARKARAN DASS VEDPAL, LUDHIANA (P.B)"/>
    <x v="0"/>
    <d v="2016-10-03T00:00:00"/>
    <n v="10"/>
    <x v="1"/>
    <n v="28.94"/>
    <n v="57584.02"/>
    <n v="1666481.5388"/>
    <n v="0"/>
    <n v="0"/>
    <n v="0"/>
    <n v="0"/>
    <n v="1666481.5388"/>
    <n v="0"/>
    <n v="0"/>
    <n v="1666481.5388"/>
    <n v="28.94"/>
  </r>
  <r>
    <s v="DEEPCHAND ARYA INDUSTRIES, DADRI (U.P)"/>
    <x v="2"/>
    <d v="2016-10-03T00:00:00"/>
    <n v="10"/>
    <x v="1"/>
    <n v="25.88"/>
    <n v="55496.91"/>
    <n v="1436260.0308000001"/>
    <n v="0"/>
    <n v="0"/>
    <n v="0"/>
    <n v="0"/>
    <n v="1436260.0308000001"/>
    <n v="0"/>
    <n v="0"/>
    <n v="1436260.0308000001"/>
    <n v="25.88"/>
  </r>
  <r>
    <s v="DEEPCHAND ARYA INDUSTRIES, DELHI"/>
    <x v="2"/>
    <d v="2016-10-03T00:00:00"/>
    <n v="10"/>
    <x v="1"/>
    <n v="25.59"/>
    <n v="56684.86"/>
    <n v="1450565.5674000001"/>
    <n v="0"/>
    <n v="0"/>
    <n v="0"/>
    <n v="0"/>
    <n v="1450565.5674000001"/>
    <n v="0"/>
    <n v="0"/>
    <n v="1450565.5674000001"/>
    <n v="25.59"/>
  </r>
  <r>
    <s v="HINDUSTAN OIL TRADERS, AMRITSAR (P.B) "/>
    <x v="2"/>
    <d v="2016-10-04T00:00:00"/>
    <n v="10"/>
    <x v="1"/>
    <n v="20.83"/>
    <n v="57000"/>
    <n v="1187310"/>
    <n v="0"/>
    <n v="0"/>
    <n v="0"/>
    <n v="0"/>
    <n v="1187310"/>
    <n v="0"/>
    <n v="0"/>
    <n v="1187310"/>
    <n v="20.83"/>
  </r>
  <r>
    <s v="HINDUSTAN OIL TRADERS, AMRITSAR (P.B) "/>
    <x v="0"/>
    <d v="2016-10-05T00:00:00"/>
    <n v="10"/>
    <x v="1"/>
    <n v="18.73"/>
    <n v="57500"/>
    <n v="1076975"/>
    <n v="0"/>
    <n v="0"/>
    <n v="0"/>
    <n v="0"/>
    <n v="1076975"/>
    <n v="0"/>
    <n v="0"/>
    <n v="1076975"/>
    <n v="18.73"/>
  </r>
  <r>
    <s v="HINDUSTAN OIL TRADERS, AMRITSAR (P.B) "/>
    <x v="0"/>
    <d v="2016-10-05T00:00:00"/>
    <n v="10"/>
    <x v="1"/>
    <n v="27.75"/>
    <n v="57500"/>
    <n v="1595625"/>
    <n v="0"/>
    <n v="0"/>
    <n v="0"/>
    <n v="0"/>
    <n v="1595625"/>
    <n v="0"/>
    <n v="0"/>
    <n v="1595625"/>
    <n v="27.75"/>
  </r>
  <r>
    <s v="PUNJAB OILS, AMRITSAR (P.B) "/>
    <x v="0"/>
    <d v="2016-10-05T00:00:00"/>
    <n v="10"/>
    <x v="1"/>
    <n v="27.81"/>
    <n v="58500"/>
    <n v="1626885"/>
    <n v="0"/>
    <n v="0"/>
    <n v="0"/>
    <n v="0"/>
    <n v="1626885"/>
    <n v="0"/>
    <n v="0"/>
    <n v="1626885"/>
    <n v="27.81"/>
  </r>
  <r>
    <s v="DEEPCHAND ARYA INDUSTRIES, DELHI"/>
    <x v="0"/>
    <d v="2016-10-05T00:00:00"/>
    <n v="10"/>
    <x v="1"/>
    <n v="27.93"/>
    <n v="58115.35"/>
    <n v="1623161.7254999999"/>
    <n v="0"/>
    <n v="0"/>
    <n v="0"/>
    <n v="0"/>
    <n v="1623161.7254999999"/>
    <n v="0"/>
    <n v="0"/>
    <n v="1623161.7254999999"/>
    <n v="27.93"/>
  </r>
  <r>
    <s v="JAI BHAGWATI AGRO OILS , LUDHIANA (P.B)"/>
    <x v="0"/>
    <d v="2016-10-05T00:00:00"/>
    <n v="10"/>
    <x v="1"/>
    <n v="28.46"/>
    <n v="57500"/>
    <n v="1636450"/>
    <n v="0"/>
    <n v="0"/>
    <n v="0"/>
    <n v="0"/>
    <n v="1636450"/>
    <n v="0"/>
    <n v="0"/>
    <n v="1636450"/>
    <n v="28.46"/>
  </r>
  <r>
    <s v="PUNJAB OILS, AMRITSAR (P.B) "/>
    <x v="0"/>
    <d v="2016-10-06T00:00:00"/>
    <n v="10"/>
    <x v="1"/>
    <n v="19.07"/>
    <n v="57500"/>
    <n v="1096525"/>
    <n v="0"/>
    <n v="0"/>
    <n v="0"/>
    <n v="0"/>
    <n v="1096525"/>
    <n v="0"/>
    <n v="0"/>
    <n v="1096525"/>
    <n v="19.07"/>
  </r>
  <r>
    <s v="RICELA HEALTH FOODS LIMITED, DHURI (P.B)"/>
    <x v="1"/>
    <d v="2016-10-06T00:00:00"/>
    <n v="10"/>
    <x v="1"/>
    <n v="28.41"/>
    <n v="52451"/>
    <n v="1490132.91"/>
    <n v="0"/>
    <n v="0"/>
    <n v="0"/>
    <n v="0"/>
    <n v="1490132.91"/>
    <n v="29802.658199999998"/>
    <n v="0"/>
    <n v="1519935.5681999999"/>
    <n v="28.41"/>
  </r>
  <r>
    <s v="HARKARAN DASS VEDPAL, LUDHIANA (P.B)"/>
    <x v="0"/>
    <d v="2016-10-07T00:00:00"/>
    <n v="10"/>
    <x v="1"/>
    <n v="29.27"/>
    <n v="58500"/>
    <n v="1712295"/>
    <n v="0"/>
    <n v="0"/>
    <n v="0"/>
    <n v="0"/>
    <n v="1712295"/>
    <n v="0"/>
    <n v="0"/>
    <n v="1712295"/>
    <n v="29.27"/>
  </r>
  <r>
    <s v="ADANI WILMAR LIMITED,KUTCH, GUJARAT"/>
    <x v="3"/>
    <d v="2016-10-07T00:00:00"/>
    <n v="10"/>
    <x v="1"/>
    <n v="30.64"/>
    <n v="62000"/>
    <n v="1899680"/>
    <n v="0"/>
    <n v="237460"/>
    <n v="0"/>
    <n v="0"/>
    <n v="2137140"/>
    <n v="42742.8"/>
    <n v="98048"/>
    <n v="2277930.7999999998"/>
    <n v="30.64"/>
  </r>
  <r>
    <s v="ADANI WILMAR LIMITED,KUTCH, GUJARAT"/>
    <x v="3"/>
    <d v="2016-10-08T00:00:00"/>
    <n v="10"/>
    <x v="1"/>
    <n v="26.7"/>
    <n v="62000"/>
    <n v="1655400"/>
    <n v="0"/>
    <n v="206925"/>
    <n v="0"/>
    <n v="0"/>
    <n v="1862325"/>
    <n v="37246.5"/>
    <n v="85440"/>
    <n v="1985011.5"/>
    <n v="26.7"/>
  </r>
  <r>
    <s v="ADANI WILMAR LIMITED,KUTCH, GUJARAT"/>
    <x v="3"/>
    <d v="2016-10-08T00:00:00"/>
    <n v="10"/>
    <x v="1"/>
    <n v="27.03"/>
    <n v="62000"/>
    <n v="1675860"/>
    <n v="0"/>
    <n v="209482.5"/>
    <n v="0"/>
    <n v="0"/>
    <n v="1885342.5"/>
    <n v="37706.85"/>
    <n v="86496"/>
    <n v="2009545.35"/>
    <n v="27.03"/>
  </r>
  <r>
    <s v="RICELA HEALTH FOODS LIMITED, DHURI (P.B)"/>
    <x v="1"/>
    <d v="2016-10-08T00:00:00"/>
    <n v="10"/>
    <x v="1"/>
    <n v="27.48"/>
    <n v="52451"/>
    <n v="1441353.48"/>
    <n v="0"/>
    <n v="0"/>
    <n v="0"/>
    <n v="0"/>
    <n v="1441353.48"/>
    <n v="28827.069599999999"/>
    <n v="0"/>
    <n v="1470180.5496"/>
    <n v="27.48"/>
  </r>
  <r>
    <s v="HARKARAN DASS VEDPAL, NOIDA (U.P)"/>
    <x v="2"/>
    <d v="2016-10-09T00:00:00"/>
    <n v="10"/>
    <x v="2"/>
    <n v="24.06"/>
    <n v="56100"/>
    <n v="1349766"/>
    <n v="0"/>
    <n v="0"/>
    <n v="0"/>
    <n v="0"/>
    <n v="1349766"/>
    <n v="0"/>
    <n v="0"/>
    <n v="1349766"/>
    <n v="24.06"/>
  </r>
  <r>
    <s v="M.D. TRADING CO., LUDHIANA (P.B)"/>
    <x v="0"/>
    <d v="2016-10-10T00:00:00"/>
    <n v="10"/>
    <x v="2"/>
    <n v="28.27"/>
    <n v="56500"/>
    <n v="1597255"/>
    <n v="0"/>
    <n v="0"/>
    <n v="0"/>
    <n v="0"/>
    <n v="1597255"/>
    <n v="0"/>
    <n v="0"/>
    <n v="1597255"/>
    <n v="28.27"/>
  </r>
  <r>
    <s v="RICELA HEALTH FOODS LIMITED, DHURI (P.B)"/>
    <x v="1"/>
    <d v="2016-10-10T00:00:00"/>
    <n v="10"/>
    <x v="2"/>
    <n v="28.25"/>
    <n v="52451"/>
    <n v="1481740.75"/>
    <n v="0"/>
    <n v="0"/>
    <n v="0"/>
    <n v="0"/>
    <n v="1481740.75"/>
    <n v="29634.815000000002"/>
    <n v="0"/>
    <n v="1511375.5649999999"/>
    <n v="28.25"/>
  </r>
  <r>
    <s v="ADANI WILMAR LIMITED,KUTCH, GUJARAT"/>
    <x v="3"/>
    <d v="2016-10-10T00:00:00"/>
    <n v="10"/>
    <x v="2"/>
    <n v="26.72"/>
    <n v="62000"/>
    <n v="1656640"/>
    <n v="0"/>
    <n v="207080"/>
    <n v="0"/>
    <n v="0"/>
    <n v="1863720"/>
    <n v="37274.400000000001"/>
    <n v="85504"/>
    <n v="1986498.4"/>
    <n v="26.72"/>
  </r>
  <r>
    <s v="ADANI WILMAR LIMITED,KUTCH, GUJARAT"/>
    <x v="3"/>
    <d v="2016-10-12T00:00:00"/>
    <n v="10"/>
    <x v="2"/>
    <n v="32.11"/>
    <n v="62000"/>
    <n v="1990820"/>
    <n v="0"/>
    <n v="248852.5"/>
    <n v="0"/>
    <n v="0"/>
    <n v="2239672.5"/>
    <n v="44793.450000000004"/>
    <n v="102752"/>
    <n v="2387217.9500000002"/>
    <n v="32.11"/>
  </r>
  <r>
    <s v="KUMARAN OIL MILL, TIRUPUR (T.N)"/>
    <x v="4"/>
    <d v="2016-10-13T00:00:00"/>
    <n v="10"/>
    <x v="2"/>
    <n v="21.04"/>
    <n v="96078.41"/>
    <n v="2021489.7464000001"/>
    <n v="0"/>
    <n v="0"/>
    <n v="0"/>
    <n v="0"/>
    <n v="2021489.7464000001"/>
    <n v="40429.794928000003"/>
    <n v="0"/>
    <n v="2061919.5413280001"/>
    <n v="21.04"/>
  </r>
  <r>
    <s v="KUMARAN OIL MILL, TIRUPUR (T.N)"/>
    <x v="4"/>
    <d v="2016-10-13T00:00:00"/>
    <n v="10"/>
    <x v="2"/>
    <n v="20.45"/>
    <n v="96078.41"/>
    <n v="1964803.4845"/>
    <n v="0"/>
    <n v="0"/>
    <n v="0"/>
    <n v="0"/>
    <n v="1964803.4845"/>
    <n v="39296.069690000004"/>
    <n v="0"/>
    <n v="2004099.5541900001"/>
    <n v="20.45"/>
  </r>
  <r>
    <s v="KUMARAN OIL MILL, TIRUPUR (T.N)"/>
    <x v="4"/>
    <d v="2016-10-15T00:00:00"/>
    <n v="10"/>
    <x v="2"/>
    <n v="20.18"/>
    <n v="96078.41"/>
    <n v="1938862.3138000001"/>
    <n v="0"/>
    <n v="0"/>
    <n v="0"/>
    <n v="0"/>
    <n v="1938862.3138000001"/>
    <n v="38777.246276000005"/>
    <n v="0"/>
    <n v="1977639.5600760002"/>
    <n v="20.18"/>
  </r>
  <r>
    <s v="KUMARAN OIL MILL, TIRUPUR (T.N)"/>
    <x v="4"/>
    <d v="2016-10-15T00:00:00"/>
    <n v="10"/>
    <x v="2"/>
    <n v="20.21"/>
    <n v="96078.41"/>
    <n v="1941744.6661000003"/>
    <n v="0"/>
    <n v="0"/>
    <n v="0"/>
    <n v="0"/>
    <n v="1941744.6661000003"/>
    <n v="38834.893322000004"/>
    <n v="0"/>
    <n v="1980579.5594220003"/>
    <n v="20.21"/>
  </r>
  <r>
    <s v="RICELA HEALTH FOODS LIMITED, DHURI (P.B)"/>
    <x v="1"/>
    <d v="2016-10-15T00:00:00"/>
    <n v="10"/>
    <x v="2"/>
    <n v="28.39"/>
    <n v="52451"/>
    <n v="1489083.8900000001"/>
    <n v="0"/>
    <n v="0"/>
    <n v="0"/>
    <n v="0"/>
    <n v="1489083.8900000001"/>
    <n v="29781.677800000005"/>
    <n v="0"/>
    <n v="1518865.5678000001"/>
    <n v="28.39"/>
  </r>
  <r>
    <s v="HARKARAN DASS VEDPAL, LUDHIANA (P.B)"/>
    <x v="0"/>
    <d v="2016-10-15T00:00:00"/>
    <n v="10"/>
    <x v="2"/>
    <n v="29.64"/>
    <n v="58453.4"/>
    <n v="1732558.7760000001"/>
    <n v="0"/>
    <n v="0"/>
    <n v="0"/>
    <n v="0"/>
    <n v="1732558.7760000001"/>
    <n v="0"/>
    <n v="0"/>
    <n v="1732558.7760000001"/>
    <n v="29.64"/>
  </r>
  <r>
    <s v="HINDUSTAN OIL TRADERS, AMRITSAR (P.B) "/>
    <x v="0"/>
    <d v="2016-10-15T00:00:00"/>
    <n v="10"/>
    <x v="2"/>
    <n v="18.54"/>
    <n v="58264.07"/>
    <n v="1080215.8577999999"/>
    <n v="0"/>
    <n v="0"/>
    <n v="0"/>
    <n v="0"/>
    <n v="1080215.8577999999"/>
    <n v="0"/>
    <n v="0"/>
    <n v="1080215.8577999999"/>
    <n v="18.54"/>
  </r>
  <r>
    <s v="PUNJAB OILS, AMRITSAR (P.B) "/>
    <x v="2"/>
    <d v="2016-10-15T00:00:00"/>
    <n v="10"/>
    <x v="2"/>
    <n v="19.899999999999999"/>
    <n v="57000"/>
    <n v="1134300"/>
    <n v="0"/>
    <n v="0"/>
    <n v="0"/>
    <n v="0"/>
    <n v="1134300"/>
    <n v="0"/>
    <n v="0"/>
    <n v="1134300"/>
    <n v="19.899999999999999"/>
  </r>
  <r>
    <s v="SIVAM TRADERS, ARIYANKUPPAM - PUDUCHERRY"/>
    <x v="4"/>
    <d v="2016-10-17T00:00:00"/>
    <n v="10"/>
    <x v="3"/>
    <n v="19.91"/>
    <n v="92650"/>
    <n v="1844661.5"/>
    <n v="0"/>
    <n v="0"/>
    <n v="0"/>
    <n v="0"/>
    <n v="1844661.5"/>
    <n v="36893.230000000003"/>
    <n v="0"/>
    <n v="1881554.73"/>
    <n v="19.91"/>
  </r>
  <r>
    <s v="DEEPCHAND ARYA INDUSTRIES, DELHI"/>
    <x v="0"/>
    <d v="2016-10-17T00:00:00"/>
    <n v="10"/>
    <x v="3"/>
    <n v="30.35"/>
    <n v="58124.68"/>
    <n v="1764084.0380000002"/>
    <n v="0"/>
    <n v="0"/>
    <n v="0"/>
    <n v="0"/>
    <n v="1764084.0380000002"/>
    <n v="0"/>
    <n v="0"/>
    <n v="1764084.0380000002"/>
    <n v="30.35"/>
  </r>
  <r>
    <s v="SIVAM TRADERS, ARIYANKUPPAM - PUDUCHERRY"/>
    <x v="4"/>
    <d v="2016-10-17T00:00:00"/>
    <n v="10"/>
    <x v="3"/>
    <n v="20.25"/>
    <n v="92650"/>
    <n v="1876162.5"/>
    <n v="0"/>
    <n v="0"/>
    <n v="0"/>
    <n v="0"/>
    <n v="1876162.5"/>
    <n v="37523.25"/>
    <n v="0"/>
    <n v="1913685.75"/>
    <n v="20.25"/>
  </r>
  <r>
    <s v="SIVAM TRADERS, ARIYANKUPPAM - PUDUCHERRY"/>
    <x v="4"/>
    <d v="2016-10-17T00:00:00"/>
    <n v="10"/>
    <x v="3"/>
    <n v="19.97"/>
    <n v="92650"/>
    <n v="1850220.5"/>
    <n v="0"/>
    <n v="0"/>
    <n v="0"/>
    <n v="0"/>
    <n v="1850220.5"/>
    <n v="37004.410000000003"/>
    <n v="0"/>
    <n v="1887224.91"/>
    <n v="19.97"/>
  </r>
  <r>
    <s v="PUNJAB OILS, AMRITSAR (P.B) "/>
    <x v="2"/>
    <d v="2016-10-19T00:00:00"/>
    <n v="10"/>
    <x v="3"/>
    <n v="20.23"/>
    <n v="57129.919999999998"/>
    <n v="1155738.2816000001"/>
    <n v="0"/>
    <n v="0"/>
    <n v="0"/>
    <n v="0"/>
    <n v="1155738.2816000001"/>
    <n v="0"/>
    <n v="0"/>
    <n v="1155738.2816000001"/>
    <n v="20.23"/>
  </r>
  <r>
    <s v="AMRITSAR OIL TRADERS, AMRITSAR (P.B) "/>
    <x v="2"/>
    <d v="2016-10-19T00:00:00"/>
    <n v="10"/>
    <x v="3"/>
    <n v="19.920000000000002"/>
    <n v="56100"/>
    <n v="1117512"/>
    <n v="0"/>
    <n v="0"/>
    <n v="0"/>
    <n v="0"/>
    <n v="1117512"/>
    <n v="0"/>
    <n v="0"/>
    <n v="1117512"/>
    <n v="19.940000000000001"/>
  </r>
  <r>
    <s v="AMRITSAR OIL TRADERS, AMRITSAR (P.B) "/>
    <x v="2"/>
    <d v="2016-10-19T00:00:00"/>
    <n v="10"/>
    <x v="3"/>
    <n v="31.56"/>
    <n v="56855.14"/>
    <n v="1794348.2183999999"/>
    <n v="0"/>
    <n v="0"/>
    <n v="0"/>
    <n v="0"/>
    <n v="1794348.2183999999"/>
    <n v="0"/>
    <n v="0"/>
    <n v="1794348.2183999999"/>
    <n v="31.56"/>
  </r>
  <r>
    <s v="HARKARAN DASS VEDPAL, NOIDA (U.P)"/>
    <x v="2"/>
    <d v="2016-10-19T00:00:00"/>
    <n v="10"/>
    <x v="3"/>
    <n v="20.93"/>
    <n v="56100"/>
    <n v="1174173"/>
    <n v="0"/>
    <n v="0"/>
    <n v="0"/>
    <n v="0"/>
    <n v="1174173"/>
    <n v="0"/>
    <n v="0"/>
    <n v="1174173"/>
    <n v="20.93"/>
  </r>
  <r>
    <s v="RICELA HEALTH FOODS LIMITED, DHURI (P.B)"/>
    <x v="1"/>
    <d v="2016-10-20T00:00:00"/>
    <n v="10"/>
    <x v="3"/>
    <n v="28.23"/>
    <n v="50057.97"/>
    <n v="1413136.4931000001"/>
    <n v="0"/>
    <n v="0"/>
    <n v="0"/>
    <n v="0"/>
    <n v="1413136.4931000001"/>
    <n v="28262.729862000004"/>
    <n v="0"/>
    <n v="1441399.2229620002"/>
    <n v="28.23"/>
  </r>
  <r>
    <s v="SIVAM TRADERS, ARIYANKUPPAM - PUDUCHERRY"/>
    <x v="4"/>
    <d v="2016-10-21T00:00:00"/>
    <n v="10"/>
    <x v="3"/>
    <n v="19.97"/>
    <n v="92650"/>
    <n v="1850220.5"/>
    <n v="0"/>
    <n v="0"/>
    <n v="0"/>
    <n v="0"/>
    <n v="1850220.5"/>
    <n v="37004.410000000003"/>
    <n v="0"/>
    <n v="1887224.91"/>
    <n v="19.97"/>
  </r>
  <r>
    <s v="SIVAM TRADERS, ARIYANKUPPAM - PUDUCHERRY"/>
    <x v="4"/>
    <d v="2016-10-21T00:00:00"/>
    <n v="10"/>
    <x v="3"/>
    <n v="19.940000000000001"/>
    <n v="92650"/>
    <n v="1847441.0000000002"/>
    <n v="0"/>
    <n v="0"/>
    <n v="0"/>
    <n v="0"/>
    <n v="1847441.0000000002"/>
    <n v="36948.820000000007"/>
    <n v="0"/>
    <n v="1884389.8200000003"/>
    <n v="19.940000000000001"/>
  </r>
  <r>
    <s v="SIVAM TRADERS, ARIYANKUPPAM - PUDUCHERRY"/>
    <x v="4"/>
    <d v="2016-10-22T00:00:00"/>
    <n v="10"/>
    <x v="3"/>
    <n v="20.07"/>
    <n v="93140"/>
    <n v="1869319.8"/>
    <n v="0"/>
    <n v="0"/>
    <n v="0"/>
    <n v="0"/>
    <n v="1869319.8"/>
    <n v="37386.396000000001"/>
    <n v="0"/>
    <n v="1906706.196"/>
    <n v="20.07"/>
  </r>
  <r>
    <s v="AMARJIT OIL TRADERS, AMRITSAR (P.B) "/>
    <x v="0"/>
    <d v="2016-10-23T00:00:00"/>
    <n v="10"/>
    <x v="4"/>
    <n v="20.57"/>
    <n v="50900"/>
    <n v="1047013"/>
    <n v="0"/>
    <n v="0"/>
    <n v="0"/>
    <n v="0"/>
    <n v="1047013"/>
    <n v="0"/>
    <n v="0"/>
    <n v="1047013"/>
    <n v="20.57"/>
  </r>
  <r>
    <s v="SIVAM TRADERS, ARIYANKUPPAM - PUDUCHERRY"/>
    <x v="4"/>
    <d v="2016-10-23T00:00:00"/>
    <n v="10"/>
    <x v="4"/>
    <n v="20.29"/>
    <n v="93140"/>
    <n v="1889810.5999999999"/>
    <n v="0"/>
    <n v="0"/>
    <n v="0"/>
    <n v="0"/>
    <n v="1889810.5999999999"/>
    <n v="37796.212"/>
    <n v="0"/>
    <n v="1927606.8119999999"/>
    <n v="20.29"/>
  </r>
  <r>
    <s v="KUMARAN OIL PRODUCTS, KANGAYAM (T.N)"/>
    <x v="4"/>
    <d v="2016-10-24T00:00:00"/>
    <n v="10"/>
    <x v="4"/>
    <n v="32.99"/>
    <n v="96323.55"/>
    <n v="3177713.9145000004"/>
    <n v="0"/>
    <n v="0"/>
    <n v="0"/>
    <n v="0"/>
    <n v="3177713.9145000004"/>
    <n v="63554.278290000009"/>
    <n v="0"/>
    <n v="3241268.1927900002"/>
    <n v="32.99"/>
  </r>
  <r>
    <s v="SIVAM TRADERS, ARIYANKUPPAM - PUDUCHERRY"/>
    <x v="4"/>
    <d v="2016-10-24T00:00:00"/>
    <n v="10"/>
    <x v="4"/>
    <n v="19.989999999999998"/>
    <n v="93140"/>
    <n v="1861868.5999999999"/>
    <n v="0"/>
    <n v="0"/>
    <n v="0"/>
    <n v="0"/>
    <n v="1861868.5999999999"/>
    <n v="37237.371999999996"/>
    <n v="0"/>
    <n v="1899105.9719999998"/>
    <n v="19.989999999999998"/>
  </r>
  <r>
    <s v="KUMARAN OIL PRODUCTS, KANGAYAM (T.N)"/>
    <x v="4"/>
    <d v="2016-10-24T00:00:00"/>
    <n v="10"/>
    <x v="4"/>
    <n v="33.1"/>
    <n v="96323.55"/>
    <n v="3188309.5050000004"/>
    <n v="0"/>
    <n v="0"/>
    <n v="0"/>
    <n v="0"/>
    <n v="3188309.5050000004"/>
    <n v="63766.190100000007"/>
    <n v="0"/>
    <n v="3252075.6951000001"/>
    <n v="33.1"/>
  </r>
  <r>
    <s v="KUMARAN OIL MILL, TIRUPUR (T.N)"/>
    <x v="4"/>
    <d v="2016-10-24T00:00:00"/>
    <n v="10"/>
    <x v="4"/>
    <n v="20.11"/>
    <n v="96078.45"/>
    <n v="1932137.6294999998"/>
    <n v="0"/>
    <n v="0"/>
    <n v="0"/>
    <n v="0"/>
    <n v="1932137.6294999998"/>
    <n v="38642.752589999996"/>
    <n v="0"/>
    <n v="1970780.3820899997"/>
    <n v="20.11"/>
  </r>
  <r>
    <s v="SIVAM TRADERS, ARIYANKUPPAM - PUDUCHERRY"/>
    <x v="4"/>
    <d v="2016-10-24T00:00:00"/>
    <n v="10"/>
    <x v="4"/>
    <n v="19.55"/>
    <n v="93140"/>
    <n v="1820887"/>
    <n v="0"/>
    <n v="0"/>
    <n v="0"/>
    <n v="0"/>
    <n v="1820887"/>
    <n v="36417.74"/>
    <n v="0"/>
    <n v="1857304.74"/>
    <n v="19.55"/>
  </r>
  <r>
    <s v="HARKARAN DASS VEDPAL, NOIDA (U.P)"/>
    <x v="2"/>
    <d v="2016-10-25T00:00:00"/>
    <n v="10"/>
    <x v="4"/>
    <n v="27.64"/>
    <n v="56839.97"/>
    <n v="1571056.7708000001"/>
    <n v="0"/>
    <n v="0"/>
    <n v="0"/>
    <n v="0"/>
    <n v="1571056.7708000001"/>
    <n v="0"/>
    <n v="0"/>
    <n v="1571056.7708000001"/>
    <n v="27.64"/>
  </r>
  <r>
    <s v="KUMARAN OIL PRODUCTS, KANGAYAM (T.N)"/>
    <x v="4"/>
    <d v="2016-10-26T00:00:00"/>
    <n v="10"/>
    <x v="4"/>
    <n v="25.27"/>
    <n v="96323.55"/>
    <n v="2434096.1085000001"/>
    <n v="0"/>
    <n v="0"/>
    <n v="0"/>
    <n v="0"/>
    <n v="2434096.1085000001"/>
    <n v="48681.922170000005"/>
    <n v="0"/>
    <n v="2482778.0306700002"/>
    <n v="25.27"/>
  </r>
  <r>
    <s v="PUNJAB OILS, AMRITSAR (P.B) "/>
    <x v="0"/>
    <d v="2016-10-26T00:00:00"/>
    <n v="10"/>
    <x v="4"/>
    <n v="28.17"/>
    <n v="58500"/>
    <n v="1647945"/>
    <n v="0"/>
    <n v="0"/>
    <n v="0"/>
    <n v="0"/>
    <n v="1647945"/>
    <n v="0"/>
    <n v="0"/>
    <n v="1647945"/>
    <n v="28.17"/>
  </r>
  <r>
    <s v="AMARJIT OIL TRADERS, AMRITSAR (P.B) "/>
    <x v="0"/>
    <d v="2016-10-26T00:00:00"/>
    <n v="10"/>
    <x v="4"/>
    <n v="31.54"/>
    <n v="50900"/>
    <n v="1605386"/>
    <n v="0"/>
    <n v="0"/>
    <n v="0"/>
    <n v="0"/>
    <n v="1605386"/>
    <n v="0"/>
    <n v="0"/>
    <n v="1605386"/>
    <n v="31.54"/>
  </r>
  <r>
    <s v="HINDUSTAN OIL TRADERS, AMRITSAR (P.B) "/>
    <x v="2"/>
    <d v="2016-10-27T00:00:00"/>
    <n v="10"/>
    <x v="4"/>
    <n v="18.14"/>
    <n v="57078.02"/>
    <n v="1035395.2827999999"/>
    <n v="0"/>
    <n v="0"/>
    <n v="0"/>
    <n v="0"/>
    <n v="1035395.2827999999"/>
    <n v="0"/>
    <n v="0"/>
    <n v="1035395.2827999999"/>
    <n v="18.14"/>
  </r>
  <r>
    <s v="AMRITSAR OIL TRADERS, AMRITSAR (P.B) "/>
    <x v="2"/>
    <d v="2016-10-27T00:00:00"/>
    <n v="10"/>
    <x v="4"/>
    <n v="18.88"/>
    <n v="53300"/>
    <n v="1006304"/>
    <n v="0"/>
    <n v="0"/>
    <n v="0"/>
    <n v="0"/>
    <n v="1006304"/>
    <n v="0"/>
    <n v="0"/>
    <n v="1006304"/>
    <n v="18.88"/>
  </r>
  <r>
    <s v="AMRITSAR OIL TRADERS, AMRITSAR (P.B) "/>
    <x v="2"/>
    <d v="2016-10-27T00:00:00"/>
    <n v="10"/>
    <x v="4"/>
    <n v="18.71"/>
    <n v="53300"/>
    <n v="997243"/>
    <n v="0"/>
    <n v="0"/>
    <n v="0"/>
    <n v="0"/>
    <n v="997243"/>
    <n v="0"/>
    <n v="0"/>
    <n v="997243"/>
    <n v="18.71"/>
  </r>
  <r>
    <s v="S.R.A TRADE LINKS, NEW DELHI"/>
    <x v="2"/>
    <d v="2016-10-27T00:00:00"/>
    <n v="10"/>
    <x v="4"/>
    <n v="27.84"/>
    <n v="56100"/>
    <n v="1561824"/>
    <n v="0"/>
    <n v="0"/>
    <n v="0"/>
    <n v="0"/>
    <n v="1561824"/>
    <n v="0"/>
    <n v="0"/>
    <n v="1561824"/>
    <n v="27.84"/>
  </r>
  <r>
    <s v="SIVAM TRADERS, ARIYANKUPPAM - PUDUCHERRY"/>
    <x v="4"/>
    <d v="2016-10-27T00:00:00"/>
    <n v="10"/>
    <x v="4"/>
    <n v="20.22"/>
    <n v="93140"/>
    <n v="1883290.7999999998"/>
    <n v="0"/>
    <n v="0"/>
    <n v="0"/>
    <n v="0"/>
    <n v="1883290.7999999998"/>
    <n v="37665.815999999999"/>
    <n v="0"/>
    <n v="1920956.6159999999"/>
    <n v="20.23"/>
  </r>
  <r>
    <s v="KUMARAN OIL PRODUCTS, KANGAYAM (T.N)"/>
    <x v="4"/>
    <d v="2016-10-27T00:00:00"/>
    <n v="10"/>
    <x v="4"/>
    <n v="25.57"/>
    <n v="96164.14"/>
    <n v="2458917.0597999999"/>
    <n v="0"/>
    <n v="0"/>
    <n v="0"/>
    <n v="0"/>
    <n v="2458917.0597999999"/>
    <n v="49178.341196000001"/>
    <n v="0"/>
    <n v="2508095.400996"/>
    <n v="25.57"/>
  </r>
  <r>
    <s v="S.R.A TRADE LINKS, NEW DELHI"/>
    <x v="2"/>
    <d v="2016-10-27T00:00:00"/>
    <n v="10"/>
    <x v="4"/>
    <n v="28.41"/>
    <n v="55500"/>
    <n v="1576755"/>
    <n v="0"/>
    <n v="0"/>
    <n v="0"/>
    <n v="0"/>
    <n v="1576755"/>
    <n v="0"/>
    <n v="0"/>
    <n v="1576755"/>
    <n v="28.41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3"/>
    <d v="2016-10-28T00:00:00"/>
    <n v="10"/>
    <x v="4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2"/>
  </r>
  <r>
    <s v="SABIC ASIA PACIFIC PTE LTD - SINGAPORE"/>
    <x v="3"/>
    <d v="2016-10-28T00:00:00"/>
    <n v="10"/>
    <x v="4"/>
    <n v="19.940000000000001"/>
    <n v="46402.66"/>
    <n v="925269.04040000017"/>
    <n v="0"/>
    <n v="115658.63005000002"/>
    <n v="2313.1726010000007"/>
    <n v="1156.5863005000003"/>
    <n v="1044397.4293515002"/>
    <n v="0"/>
    <n v="129511.89717406001"/>
    <n v="1173909.3265255603"/>
    <n v="20.05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2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19.989999999999998"/>
  </r>
  <r>
    <s v="RAHA OIL PVT LTD. NAMAKKAL , TAMIL NAIDU"/>
    <x v="4"/>
    <d v="2016-10-28T00:00:00"/>
    <n v="10"/>
    <x v="4"/>
    <n v="24.8"/>
    <n v="93140"/>
    <n v="2309872"/>
    <n v="0"/>
    <n v="0"/>
    <n v="0"/>
    <n v="0"/>
    <n v="2309872"/>
    <n v="46197.440000000002"/>
    <n v="0"/>
    <n v="2356069.44"/>
    <n v="24.8"/>
  </r>
  <r>
    <s v="KUMARAN OIL PRODUCTS, KANGAYAM (T.N)"/>
    <x v="4"/>
    <d v="2016-10-28T00:00:00"/>
    <n v="10"/>
    <x v="4"/>
    <n v="20.22"/>
    <n v="94117.6"/>
    <n v="1903057.872"/>
    <n v="0"/>
    <n v="0"/>
    <n v="0"/>
    <n v="0"/>
    <n v="1903057.872"/>
    <n v="38061.157440000003"/>
    <n v="0"/>
    <n v="1941119.02944"/>
    <n v="20.22"/>
  </r>
  <r>
    <s v="KUMARAN OIL PRODUCTS, KANGAYAM (T.N)"/>
    <x v="4"/>
    <d v="2016-10-28T00:00:00"/>
    <n v="10"/>
    <x v="4"/>
    <n v="20.28"/>
    <n v="94117.6"/>
    <n v="1908704.9280000003"/>
    <n v="0"/>
    <n v="0"/>
    <n v="0"/>
    <n v="0"/>
    <n v="1908704.9280000003"/>
    <n v="38174.098560000006"/>
    <n v="0"/>
    <n v="1946879.0265600004"/>
    <n v="20.28"/>
  </r>
  <r>
    <s v="HARKARAN DASS VEDPAL, NOIDA (U.P)"/>
    <x v="2"/>
    <d v="2016-10-28T00:00:00"/>
    <n v="10"/>
    <x v="4"/>
    <n v="37.54"/>
    <n v="57002.54"/>
    <n v="2139875.3516000002"/>
    <n v="0"/>
    <n v="0"/>
    <n v="0"/>
    <n v="0"/>
    <n v="2139875.3516000002"/>
    <n v="0"/>
    <n v="0"/>
    <n v="2139875.3516000002"/>
    <n v="37.54"/>
  </r>
  <r>
    <s v="PUNJAB OILS, AMRITSAR (P.B) "/>
    <x v="2"/>
    <d v="2016-10-28T00:00:00"/>
    <n v="10"/>
    <x v="4"/>
    <n v="19.579999999999998"/>
    <n v="57200"/>
    <n v="1119976"/>
    <n v="0"/>
    <n v="0"/>
    <n v="0"/>
    <n v="0"/>
    <n v="1119976"/>
    <n v="0"/>
    <n v="0"/>
    <n v="1119976"/>
    <n v="19.579999999999998"/>
  </r>
  <r>
    <s v="HINDUSTAN OIL TRADERS, AMRITSAR (P.B) "/>
    <x v="0"/>
    <d v="2016-10-28T00:00:00"/>
    <n v="10"/>
    <x v="4"/>
    <n v="28.3"/>
    <n v="58500"/>
    <n v="1655550"/>
    <n v="0"/>
    <n v="0"/>
    <n v="0"/>
    <n v="0"/>
    <n v="1655550"/>
    <n v="0"/>
    <n v="0"/>
    <n v="1655550"/>
    <n v="28.3"/>
  </r>
  <r>
    <s v="SURUCHI REFINERY PRIVATE LTD., PALADAM- COIMBATORE"/>
    <x v="5"/>
    <d v="2016-10-28T00:00:00"/>
    <n v="10"/>
    <x v="4"/>
    <n v="20.170000000000002"/>
    <n v="90196"/>
    <n v="1819253.32"/>
    <n v="0"/>
    <n v="0"/>
    <n v="0"/>
    <n v="0"/>
    <n v="1819253.32"/>
    <n v="36385.066400000003"/>
    <n v="0"/>
    <n v="1855638.3864"/>
    <n v="20.1700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s v="AMRITSAR OIL TRADERS, AMRITSAR (P.B) "/>
    <x v="0"/>
    <d v="2016-09-01T00:00:00"/>
    <n v="9"/>
    <x v="0"/>
    <n v="20.32"/>
    <n v="50700"/>
    <n v="1030224"/>
    <n v="0"/>
    <n v="0"/>
    <n v="0"/>
    <n v="0"/>
    <n v="1030224"/>
    <n v="0"/>
    <n v="0"/>
    <n v="1030224"/>
    <n v="20.32"/>
  </r>
  <r>
    <s v="DEEPCHAND ARYA INDUSTRIES, DELHI"/>
    <x v="0"/>
    <d v="2016-09-01T00:00:00"/>
    <n v="9"/>
    <x v="0"/>
    <n v="27.05"/>
    <n v="50750.35"/>
    <n v="1372796.9675"/>
    <n v="0"/>
    <n v="0"/>
    <n v="0"/>
    <n v="0"/>
    <n v="1372796.9675"/>
    <n v="0"/>
    <n v="0"/>
    <n v="1372796.9675"/>
    <n v="27.05"/>
  </r>
  <r>
    <s v="AMRITSAR OIL TRADERS, AMRITSAR (P.B) "/>
    <x v="1"/>
    <d v="2016-09-03T00:00:00"/>
    <n v="9"/>
    <x v="0"/>
    <n v="32.9"/>
    <n v="56500"/>
    <n v="1858850"/>
    <n v="0"/>
    <n v="0"/>
    <n v="0"/>
    <n v="0"/>
    <n v="1858850"/>
    <n v="0"/>
    <n v="0"/>
    <n v="1858850"/>
    <n v="32.9"/>
  </r>
  <r>
    <s v="RICELA HEALTH FOODS LIMITED, DHURI (P.B)"/>
    <x v="2"/>
    <d v="2016-09-04T00:00:00"/>
    <n v="9"/>
    <x v="1"/>
    <n v="28.67"/>
    <n v="54215.7"/>
    <n v="1554364.1189999999"/>
    <n v="0"/>
    <n v="0"/>
    <n v="0"/>
    <n v="0"/>
    <n v="1554364.1189999999"/>
    <n v="31087.282380000001"/>
    <n v="0"/>
    <n v="1585451.4013799999"/>
    <n v="28.67"/>
  </r>
  <r>
    <s v="PUNJAB OILS, AMRITSAR (P.B) "/>
    <x v="0"/>
    <d v="2016-09-04T00:00:00"/>
    <n v="9"/>
    <x v="1"/>
    <n v="28.9"/>
    <n v="57000"/>
    <n v="1647300"/>
    <n v="0"/>
    <n v="0"/>
    <n v="0"/>
    <n v="0"/>
    <n v="1647300"/>
    <n v="0"/>
    <n v="0"/>
    <n v="1647300"/>
    <n v="28.9"/>
  </r>
  <r>
    <s v="M.D. TRADING CO., LUDHIANA (P.B)"/>
    <x v="0"/>
    <d v="2016-09-04T00:00:00"/>
    <n v="9"/>
    <x v="1"/>
    <n v="31.45"/>
    <n v="54600"/>
    <n v="1717170"/>
    <n v="0"/>
    <n v="0"/>
    <n v="0"/>
    <n v="0"/>
    <n v="1717170"/>
    <n v="0"/>
    <n v="0"/>
    <n v="1717170"/>
    <n v="31.45"/>
  </r>
  <r>
    <s v="HARKARAN DASS VEDPAL, LUDHIANA (P.B)"/>
    <x v="0"/>
    <d v="2016-09-05T00:00:00"/>
    <n v="9"/>
    <x v="1"/>
    <n v="24.58"/>
    <n v="50900"/>
    <n v="1251122"/>
    <n v="0"/>
    <n v="0"/>
    <n v="0"/>
    <n v="0"/>
    <n v="1251122"/>
    <n v="0"/>
    <n v="0"/>
    <n v="1251122"/>
    <n v="24.58"/>
  </r>
  <r>
    <s v="HARKARAN DASS VEDPAL, LUDHIANA (P.B)"/>
    <x v="0"/>
    <d v="2016-09-05T00:00:00"/>
    <n v="9"/>
    <x v="1"/>
    <n v="21.27"/>
    <n v="50700"/>
    <n v="1078389"/>
    <n v="0"/>
    <n v="0"/>
    <n v="0"/>
    <n v="0"/>
    <n v="1078389"/>
    <n v="0"/>
    <n v="0"/>
    <n v="1078389"/>
    <n v="21.27"/>
  </r>
  <r>
    <s v="RICELA HEALTH FOODS LIMITED, DHURI (P.B)"/>
    <x v="2"/>
    <d v="2016-09-06T00:00:00"/>
    <n v="9"/>
    <x v="1"/>
    <n v="28.88"/>
    <n v="54215.7"/>
    <n v="1565749.416"/>
    <n v="0"/>
    <n v="0"/>
    <n v="0"/>
    <n v="0"/>
    <n v="1565749.416"/>
    <n v="31314.98832"/>
    <n v="0"/>
    <n v="1597064.40432"/>
    <n v="28.88"/>
  </r>
  <r>
    <s v="RICELA HEALTH FOODS LIMITED, DHURI (P.B)"/>
    <x v="2"/>
    <d v="2016-09-06T00:00:00"/>
    <n v="9"/>
    <x v="1"/>
    <n v="27.83"/>
    <n v="54215.7"/>
    <n v="1508822.9309999999"/>
    <n v="0"/>
    <n v="0"/>
    <n v="0"/>
    <n v="0"/>
    <n v="1508822.9309999999"/>
    <n v="30176.458619999998"/>
    <n v="0"/>
    <n v="1538999.3896199998"/>
    <n v="27.83"/>
  </r>
  <r>
    <s v="DEEPCHAND ARYA INDUSTRIES, DELHI"/>
    <x v="0"/>
    <d v="2016-09-06T00:00:00"/>
    <n v="9"/>
    <x v="1"/>
    <n v="22.58"/>
    <n v="50700"/>
    <n v="1144806"/>
    <n v="0"/>
    <n v="0"/>
    <n v="0"/>
    <n v="0"/>
    <n v="1144806"/>
    <n v="0"/>
    <n v="0"/>
    <n v="1144806"/>
    <n v="22.58"/>
  </r>
  <r>
    <s v="J.D TRADING CO., LUDHIANA (P.B)"/>
    <x v="0"/>
    <d v="2016-09-07T00:00:00"/>
    <n v="9"/>
    <x v="1"/>
    <n v="23.56"/>
    <n v="55561.61"/>
    <n v="1309031.5315999999"/>
    <n v="0"/>
    <n v="0"/>
    <n v="0"/>
    <n v="0"/>
    <n v="1309031.5315999999"/>
    <n v="0"/>
    <n v="0"/>
    <n v="1309031.5315999999"/>
    <n v="23.56"/>
  </r>
  <r>
    <s v="HINDUSTAN OIL TRADERS, AMRITSAR (P.B) "/>
    <x v="0"/>
    <d v="2016-09-07T00:00:00"/>
    <n v="9"/>
    <x v="1"/>
    <n v="27.23"/>
    <n v="53100.87"/>
    <n v="1445936.6901"/>
    <n v="0"/>
    <n v="0"/>
    <n v="0"/>
    <n v="0"/>
    <n v="1445936.6901"/>
    <n v="0"/>
    <n v="0"/>
    <n v="1445936.6901"/>
    <n v="27.23"/>
  </r>
  <r>
    <s v="AMARJIT OIL TRADERS, AMRITSAR (P.B) "/>
    <x v="0"/>
    <d v="2016-09-08T00:00:00"/>
    <n v="9"/>
    <x v="1"/>
    <n v="19.899999999999999"/>
    <n v="50700"/>
    <n v="1008929.9999999999"/>
    <n v="0"/>
    <n v="0"/>
    <n v="0"/>
    <n v="0"/>
    <n v="1008929.9999999999"/>
    <n v="0"/>
    <n v="0"/>
    <n v="1008929.9999999999"/>
    <n v="19.899999999999999"/>
  </r>
  <r>
    <s v="AMARJIT OIL TRADERS, AMRITSAR (P.B) "/>
    <x v="0"/>
    <d v="2016-09-10T00:00:00"/>
    <n v="9"/>
    <x v="1"/>
    <n v="19.89"/>
    <n v="50700"/>
    <n v="1008423"/>
    <n v="0"/>
    <n v="0"/>
    <n v="0"/>
    <n v="0"/>
    <n v="1008423"/>
    <n v="0"/>
    <n v="0"/>
    <n v="1008423"/>
    <n v="19.89"/>
  </r>
  <r>
    <s v="HARKARAN DASS VEDPAL, LUDHIANA (P.B)"/>
    <x v="1"/>
    <d v="2016-09-12T00:00:00"/>
    <n v="9"/>
    <x v="2"/>
    <n v="23.2"/>
    <n v="56500"/>
    <n v="1310800"/>
    <n v="0"/>
    <n v="0"/>
    <n v="0"/>
    <n v="0"/>
    <n v="1310800"/>
    <n v="0"/>
    <n v="0"/>
    <n v="1310800"/>
    <n v="23.22"/>
  </r>
  <r>
    <s v="HARKARAN DASS VEDPAL, LUDHIANA (P.B)"/>
    <x v="0"/>
    <d v="2016-09-15T00:00:00"/>
    <n v="9"/>
    <x v="2"/>
    <n v="26.7"/>
    <n v="57000"/>
    <n v="1521900"/>
    <n v="0"/>
    <n v="0"/>
    <n v="0"/>
    <n v="0"/>
    <n v="1521900"/>
    <n v="0"/>
    <n v="0"/>
    <n v="1521900"/>
    <n v="26.7"/>
  </r>
  <r>
    <s v="HARKARAN DASS VEDPAL, LUDHIANA (P.B)"/>
    <x v="0"/>
    <d v="2016-09-15T00:00:00"/>
    <n v="9"/>
    <x v="2"/>
    <n v="19.739999999999998"/>
    <n v="53877"/>
    <n v="1063531.98"/>
    <n v="0"/>
    <n v="0"/>
    <n v="0"/>
    <n v="0"/>
    <n v="1063531.98"/>
    <n v="0"/>
    <n v="0"/>
    <n v="1063531.98"/>
    <n v="19.739999999999998"/>
  </r>
  <r>
    <s v="DEEPCHAND ARYA INDUSTRIES, DELHI"/>
    <x v="0"/>
    <d v="2016-09-16T00:00:00"/>
    <n v="9"/>
    <x v="2"/>
    <n v="29.38"/>
    <n v="53916.15"/>
    <n v="1584056.487"/>
    <n v="0"/>
    <n v="0"/>
    <n v="0"/>
    <n v="0"/>
    <n v="1584056.487"/>
    <n v="0"/>
    <n v="0"/>
    <n v="1584056.487"/>
    <n v="29.38"/>
  </r>
  <r>
    <s v="HARKARAN DASS VEDPAL, LUDHIANA (P.B)"/>
    <x v="1"/>
    <d v="2016-09-17T00:00:00"/>
    <n v="9"/>
    <x v="2"/>
    <n v="18.440000000000001"/>
    <n v="50200"/>
    <n v="925688.00000000012"/>
    <n v="0"/>
    <n v="0"/>
    <n v="0"/>
    <n v="0"/>
    <n v="925688.00000000012"/>
    <n v="0"/>
    <n v="0"/>
    <n v="925688.00000000012"/>
    <n v="18.440000000000001"/>
  </r>
  <r>
    <s v="HARKARAN DASS VEDPAL, LUDHIANA (P.B)"/>
    <x v="0"/>
    <d v="2016-09-17T00:00:00"/>
    <n v="9"/>
    <x v="2"/>
    <n v="19.21"/>
    <n v="57000"/>
    <n v="1094970"/>
    <n v="0"/>
    <n v="0"/>
    <n v="0"/>
    <n v="0"/>
    <n v="1094970"/>
    <n v="0"/>
    <n v="0"/>
    <n v="1094970"/>
    <n v="19.21"/>
  </r>
  <r>
    <s v="AMARJIT OIL TRADERS, AMRITSAR (P.B) "/>
    <x v="0"/>
    <d v="2016-09-18T00:00:00"/>
    <n v="9"/>
    <x v="3"/>
    <n v="19.71"/>
    <n v="50722.42"/>
    <n v="999738.89820000005"/>
    <n v="0"/>
    <n v="0"/>
    <n v="0"/>
    <n v="0"/>
    <n v="999738.89820000005"/>
    <n v="0"/>
    <n v="0"/>
    <n v="999738.89820000005"/>
    <n v="19.78"/>
  </r>
  <r>
    <s v="J.D TRADING CO., LUDHIANA (P.B)"/>
    <x v="0"/>
    <d v="2016-09-19T00:00:00"/>
    <n v="9"/>
    <x v="3"/>
    <n v="29.03"/>
    <n v="54600"/>
    <n v="1585038"/>
    <n v="0"/>
    <n v="0"/>
    <n v="0"/>
    <n v="0"/>
    <n v="1585038"/>
    <n v="0"/>
    <n v="0"/>
    <n v="1585038"/>
    <n v="29.03"/>
  </r>
  <r>
    <s v="HARKARAN DASS VEDPAL, LUDHIANA (P.B)"/>
    <x v="0"/>
    <d v="2016-09-20T00:00:00"/>
    <n v="9"/>
    <x v="3"/>
    <n v="19.95"/>
    <n v="57374.68"/>
    <n v="1144624.8659999999"/>
    <n v="0"/>
    <n v="0"/>
    <n v="0"/>
    <n v="0"/>
    <n v="1144624.8659999999"/>
    <n v="0"/>
    <n v="0"/>
    <n v="1144624.8659999999"/>
    <n v="20.010000000000002"/>
  </r>
  <r>
    <s v="HARKARAN DASS VEDPAL, LUDHIANA (P.B)"/>
    <x v="1"/>
    <d v="2016-09-20T00:00:00"/>
    <n v="9"/>
    <x v="3"/>
    <n v="28.11"/>
    <n v="56500"/>
    <n v="1588215"/>
    <n v="0"/>
    <n v="0"/>
    <n v="0"/>
    <n v="0"/>
    <n v="1588215"/>
    <n v="0"/>
    <n v="0"/>
    <n v="1588215"/>
    <n v="28.11"/>
  </r>
  <r>
    <s v="DEEPCHAND ARYA INDUSTRIES, DELHI"/>
    <x v="1"/>
    <d v="2016-09-21T00:00:00"/>
    <n v="9"/>
    <x v="3"/>
    <n v="35.950000000000003"/>
    <n v="53838.14"/>
    <n v="1935481.1330000001"/>
    <n v="0"/>
    <n v="0"/>
    <n v="0"/>
    <n v="0"/>
    <n v="1935481.1330000001"/>
    <n v="0"/>
    <n v="0"/>
    <n v="1935481.1330000001"/>
    <n v="35.950000000000003"/>
  </r>
  <r>
    <s v="PUNJAB OILS, AMRITSAR (P.B) "/>
    <x v="1"/>
    <d v="2016-09-21T00:00:00"/>
    <n v="9"/>
    <x v="3"/>
    <n v="18.84"/>
    <n v="56500"/>
    <n v="1064460"/>
    <n v="0"/>
    <n v="0"/>
    <n v="0"/>
    <n v="0"/>
    <n v="1064460"/>
    <n v="0"/>
    <n v="0"/>
    <n v="1064460"/>
    <n v="18.84"/>
  </r>
  <r>
    <s v="DEEPCHAND ARYA INDUSTRIES, DELHI"/>
    <x v="0"/>
    <d v="2016-09-21T00:00:00"/>
    <n v="9"/>
    <x v="3"/>
    <n v="28.97"/>
    <n v="57000"/>
    <n v="1651290"/>
    <n v="0"/>
    <n v="0"/>
    <n v="0"/>
    <n v="0"/>
    <n v="1651290"/>
    <n v="0"/>
    <n v="0"/>
    <n v="1651290"/>
    <n v="28.97"/>
  </r>
  <r>
    <s v="M.D. TRADING CO., LUDHIANA (P.B)"/>
    <x v="0"/>
    <d v="2016-09-23T00:00:00"/>
    <n v="9"/>
    <x v="3"/>
    <n v="29.23"/>
    <n v="56500"/>
    <n v="1651495"/>
    <n v="0"/>
    <n v="0"/>
    <n v="0"/>
    <n v="0"/>
    <n v="1651495"/>
    <n v="0"/>
    <n v="0"/>
    <n v="1651495"/>
    <n v="29.23"/>
  </r>
  <r>
    <s v="DEEPCHAND ARYA INDUSTRIES, DELHI"/>
    <x v="0"/>
    <d v="2016-09-23T00:00:00"/>
    <n v="9"/>
    <x v="3"/>
    <n v="19.41"/>
    <n v="57070.69"/>
    <n v="1107742.0929"/>
    <n v="0"/>
    <n v="0"/>
    <n v="0"/>
    <n v="0"/>
    <n v="1107742.0929"/>
    <n v="0"/>
    <n v="0"/>
    <n v="1107742.0929"/>
    <n v="19.41"/>
  </r>
  <r>
    <s v="JAI BHAGWATI AGRO OILS , LUDHIANA (P.B)"/>
    <x v="0"/>
    <d v="2016-09-24T00:00:00"/>
    <n v="9"/>
    <x v="3"/>
    <n v="27.14"/>
    <n v="57500"/>
    <n v="1560550"/>
    <n v="0"/>
    <n v="0"/>
    <n v="0"/>
    <n v="0"/>
    <n v="1560550"/>
    <n v="0"/>
    <n v="0"/>
    <n v="1560550"/>
    <n v="27.14"/>
  </r>
  <r>
    <s v="DEEPCHAND ARYA INDUSTRIES, DELHI"/>
    <x v="0"/>
    <d v="2016-09-25T00:00:00"/>
    <n v="9"/>
    <x v="4"/>
    <n v="29.13"/>
    <n v="57500"/>
    <n v="1674975"/>
    <n v="0"/>
    <n v="0"/>
    <n v="0"/>
    <n v="0"/>
    <n v="1674975"/>
    <n v="0"/>
    <n v="0"/>
    <n v="1674975"/>
    <n v="29.13"/>
  </r>
  <r>
    <s v="PUNJAB OILS, AMRITSAR (P.B) "/>
    <x v="0"/>
    <d v="2016-09-25T00:00:00"/>
    <n v="9"/>
    <x v="4"/>
    <n v="27.66"/>
    <n v="57000"/>
    <n v="1576620"/>
    <n v="0"/>
    <n v="0"/>
    <n v="0"/>
    <n v="0"/>
    <n v="1576620"/>
    <n v="0"/>
    <n v="0"/>
    <n v="1576620"/>
    <n v="27.66"/>
  </r>
  <r>
    <s v="PUNJAB OILS, AMRITSAR (P.B) "/>
    <x v="1"/>
    <d v="2016-09-25T00:00:00"/>
    <n v="9"/>
    <x v="4"/>
    <n v="27.62"/>
    <n v="56751.519999999997"/>
    <n v="1567476.9823999999"/>
    <n v="0"/>
    <n v="0"/>
    <n v="0"/>
    <n v="0"/>
    <n v="1567476.9823999999"/>
    <n v="0"/>
    <n v="0"/>
    <n v="1567476.9823999999"/>
    <n v="27.62"/>
  </r>
  <r>
    <s v="HINDUSTAN OIL TRADERS, AMRITSAR (P.B) "/>
    <x v="1"/>
    <d v="2016-09-26T00:00:00"/>
    <n v="9"/>
    <x v="4"/>
    <n v="27.68"/>
    <n v="57000"/>
    <n v="1577760"/>
    <n v="0"/>
    <n v="0"/>
    <n v="0"/>
    <n v="0"/>
    <n v="1577760"/>
    <n v="0"/>
    <n v="0"/>
    <n v="1577760"/>
    <n v="27.68"/>
  </r>
  <r>
    <s v="HARKARAN DASS VEDPAL, LUDHIANA (P.B)"/>
    <x v="0"/>
    <d v="2016-09-26T00:00:00"/>
    <n v="9"/>
    <x v="4"/>
    <n v="29.29"/>
    <n v="57275.58"/>
    <n v="1677601.7382"/>
    <n v="0"/>
    <n v="0"/>
    <n v="0"/>
    <n v="0"/>
    <n v="1677601.7382"/>
    <n v="0"/>
    <n v="0"/>
    <n v="1677601.7382"/>
    <n v="29.29"/>
  </r>
  <r>
    <s v="RICELA HEALTH FOODS LIMITED, DHURI (P.B)"/>
    <x v="2"/>
    <d v="2016-09-26T00:00:00"/>
    <n v="9"/>
    <x v="4"/>
    <n v="28.22"/>
    <n v="53431.4"/>
    <n v="1507834.108"/>
    <n v="0"/>
    <n v="0"/>
    <n v="0"/>
    <n v="0"/>
    <n v="1507834.108"/>
    <n v="30156.68216"/>
    <n v="0"/>
    <n v="1537990.7901600001"/>
    <n v="28.22"/>
  </r>
  <r>
    <s v="RICELA HEALTH FOODS LIMITED, DHURI (P.B)"/>
    <x v="2"/>
    <d v="2016-09-26T00:00:00"/>
    <n v="9"/>
    <x v="4"/>
    <n v="28.47"/>
    <n v="53431.4"/>
    <n v="1521191.9579999999"/>
    <n v="0"/>
    <n v="0"/>
    <n v="0"/>
    <n v="0"/>
    <n v="1521191.9579999999"/>
    <n v="30423.83916"/>
    <n v="0"/>
    <n v="1551615.7971599998"/>
    <n v="28.47"/>
  </r>
  <r>
    <s v="PUNJAB OILS, AMRITSAR (P.B) "/>
    <x v="0"/>
    <d v="2016-09-27T00:00:00"/>
    <n v="9"/>
    <x v="4"/>
    <n v="28.93"/>
    <n v="57361.63"/>
    <n v="1659471.9558999999"/>
    <n v="0"/>
    <n v="0"/>
    <n v="0"/>
    <n v="0"/>
    <n v="1659471.9558999999"/>
    <n v="0"/>
    <n v="0"/>
    <n v="1659471.9558999999"/>
    <n v="28.93"/>
  </r>
  <r>
    <s v="AMRITSAR OIL TRADERS, AMRITSAR (P.B) "/>
    <x v="1"/>
    <d v="2016-09-28T00:00:00"/>
    <n v="9"/>
    <x v="4"/>
    <n v="20.149999999999999"/>
    <n v="56100"/>
    <n v="1130415"/>
    <n v="0"/>
    <n v="0"/>
    <n v="0"/>
    <n v="0"/>
    <n v="1130415"/>
    <n v="0"/>
    <n v="0"/>
    <n v="1130415"/>
    <n v="20.16"/>
  </r>
  <r>
    <s v="PUNJAB OILS, AMRITSAR (P.B) "/>
    <x v="0"/>
    <d v="2016-09-29T00:00:00"/>
    <n v="9"/>
    <x v="4"/>
    <n v="20.260000000000002"/>
    <n v="57500"/>
    <n v="1164950"/>
    <n v="0"/>
    <n v="0"/>
    <n v="0"/>
    <n v="0"/>
    <n v="1164950"/>
    <n v="0"/>
    <n v="0"/>
    <n v="1164950"/>
    <n v="20.260000000000002"/>
  </r>
  <r>
    <s v="PUNJAB OILS, AMRITSAR (P.B) "/>
    <x v="0"/>
    <d v="2016-09-29T00:00:00"/>
    <n v="9"/>
    <x v="4"/>
    <n v="19.670000000000002"/>
    <n v="57500"/>
    <n v="1131025"/>
    <n v="0"/>
    <n v="0"/>
    <n v="0"/>
    <n v="0"/>
    <n v="1131025"/>
    <n v="0"/>
    <n v="0"/>
    <n v="1131025"/>
    <n v="19.670000000000002"/>
  </r>
  <r>
    <s v="HINDUSTAN OIL TRADERS, AMRITSAR (P.B) "/>
    <x v="0"/>
    <d v="2016-09-29T00:00:00"/>
    <n v="9"/>
    <x v="4"/>
    <n v="19.38"/>
    <n v="57500"/>
    <n v="1114350"/>
    <n v="0"/>
    <n v="0"/>
    <n v="0"/>
    <n v="0"/>
    <n v="1114350"/>
    <n v="0"/>
    <n v="0"/>
    <n v="1114350"/>
    <n v="19.38"/>
  </r>
  <r>
    <s v="HINDUSTAN OIL TRADERS, AMRITSAR (P.B) "/>
    <x v="0"/>
    <d v="2016-09-29T00:00:00"/>
    <n v="9"/>
    <x v="4"/>
    <n v="19.399999999999999"/>
    <n v="57500"/>
    <n v="1115500"/>
    <n v="0"/>
    <n v="0"/>
    <n v="0"/>
    <n v="0"/>
    <n v="1115500"/>
    <n v="0"/>
    <n v="0"/>
    <n v="1115500"/>
    <n v="19.399999999999999"/>
  </r>
  <r>
    <s v="DEEPCHAND ARYA INDUSTRIES, DADRI (U.P)"/>
    <x v="1"/>
    <d v="2016-09-29T00:00:00"/>
    <n v="9"/>
    <x v="4"/>
    <n v="27.57"/>
    <n v="56100"/>
    <n v="1546677"/>
    <n v="0"/>
    <n v="0"/>
    <n v="0"/>
    <n v="0"/>
    <n v="1546677"/>
    <n v="0"/>
    <n v="0"/>
    <n v="1546677"/>
    <n v="27.57"/>
  </r>
  <r>
    <s v="DEEPCHAND ARYA INDUSTRIES, DADRI (U.P)"/>
    <x v="1"/>
    <d v="2016-09-29T00:00:00"/>
    <n v="9"/>
    <x v="4"/>
    <n v="21.42"/>
    <n v="56912.6"/>
    <n v="1219067.892"/>
    <n v="0"/>
    <n v="0"/>
    <n v="0"/>
    <n v="0"/>
    <n v="1219067.892"/>
    <n v="0"/>
    <n v="0"/>
    <n v="1219067.892"/>
    <n v="21.43"/>
  </r>
  <r>
    <s v="DEEPCHAND ARYA INDUSTRIES, DADRI (U.P)"/>
    <x v="1"/>
    <d v="2016-09-29T00:00:00"/>
    <n v="9"/>
    <x v="4"/>
    <n v="20.29"/>
    <n v="56100"/>
    <n v="1138269"/>
    <n v="0"/>
    <n v="0"/>
    <n v="0"/>
    <n v="0"/>
    <n v="1138269"/>
    <n v="0"/>
    <n v="0"/>
    <n v="1138269"/>
    <n v="20.3"/>
  </r>
  <r>
    <s v="JAI BHAGWATI AGRO OILS , LUDHIANA (P.B)"/>
    <x v="0"/>
    <d v="2016-09-30T00:00:00"/>
    <n v="9"/>
    <x v="4"/>
    <n v="26.75"/>
    <n v="57500"/>
    <n v="1538125"/>
    <n v="0"/>
    <n v="0"/>
    <n v="0"/>
    <n v="0"/>
    <n v="1538125"/>
    <n v="0"/>
    <n v="0"/>
    <n v="1538125"/>
    <n v="26.75"/>
  </r>
  <r>
    <s v="RICELA HEALTH FOODS LIMITED, DHURI (P.B)"/>
    <x v="2"/>
    <d v="2016-09-30T00:00:00"/>
    <n v="9"/>
    <x v="4"/>
    <n v="27.97"/>
    <n v="53431.4"/>
    <n v="1494476.2579999999"/>
    <n v="0"/>
    <n v="0"/>
    <n v="0"/>
    <n v="0"/>
    <n v="1494476.2579999999"/>
    <n v="29889.525159999997"/>
    <n v="0"/>
    <n v="1524365.7831599999"/>
    <n v="27.97"/>
  </r>
  <r>
    <s v="RICELA HEALTH FOODS LIMITED, DHURI (P.B)"/>
    <x v="2"/>
    <d v="2016-09-30T00:00:00"/>
    <n v="9"/>
    <x v="4"/>
    <n v="28.06"/>
    <n v="53431.4"/>
    <n v="1499285.084"/>
    <n v="0"/>
    <n v="0"/>
    <n v="0"/>
    <n v="0"/>
    <n v="1499285.084"/>
    <n v="29985.701680000002"/>
    <n v="0"/>
    <n v="1529270.78568"/>
    <n v="28.06"/>
  </r>
  <r>
    <s v="RICELA HEALTH FOODS LIMITED, DHURI (P.B)"/>
    <x v="2"/>
    <d v="2016-09-30T00:00:00"/>
    <n v="9"/>
    <x v="4"/>
    <n v="28.31"/>
    <n v="53431.4"/>
    <n v="1512642.9339999999"/>
    <n v="0"/>
    <n v="0"/>
    <n v="0"/>
    <n v="0"/>
    <n v="1512642.9339999999"/>
    <n v="30252.858679999998"/>
    <n v="0"/>
    <n v="1542895.79268"/>
    <n v="28.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">
  <r>
    <s v="SRI VENKATA SRINIVASA OILS PVT. LTD.,GULLAPADU (A.P)"/>
    <x v="0"/>
    <d v="2016-08-02T00:00:00"/>
    <n v="8"/>
    <x v="0"/>
    <n v="20.074999999999999"/>
    <n v="47647.07"/>
    <n v="956514.93024999998"/>
    <n v="0"/>
    <n v="0"/>
    <n v="0"/>
    <n v="0"/>
    <n v="956514.93024999998"/>
    <n v="19130.298605"/>
    <n v="124465"/>
    <n v="1100110.2288549999"/>
    <n v="20.059999999999999"/>
  </r>
  <r>
    <s v="RICELA HEALTH FOODS LIMITED, DHURI (P.B)"/>
    <x v="1"/>
    <d v="2016-08-02T00:00:00"/>
    <n v="8"/>
    <x v="0"/>
    <n v="27.72"/>
    <n v="53431.4"/>
    <n v="1481118.4080000001"/>
    <n v="0"/>
    <n v="0"/>
    <n v="0"/>
    <n v="0"/>
    <n v="1481118.4080000001"/>
    <n v="29622.368160000002"/>
    <n v="0"/>
    <n v="1510740.7761600001"/>
    <n v="27.65"/>
  </r>
  <r>
    <s v="DEEPCHAND ARYA INDUSTRIES, GUNTUR (A.P)"/>
    <x v="2"/>
    <d v="2016-08-02T00:00:00"/>
    <n v="8"/>
    <x v="0"/>
    <n v="20.56"/>
    <n v="49019.6"/>
    <n v="1007842.9759999999"/>
    <n v="0"/>
    <n v="0"/>
    <n v="0"/>
    <n v="0"/>
    <n v="1007842.9759999999"/>
    <n v="20156.859519999998"/>
    <n v="0"/>
    <n v="1027999.83552"/>
    <n v="20.56"/>
  </r>
  <r>
    <s v="DEEPCHAND ARYA INDUSTRIES, GUNTUR (A.P)"/>
    <x v="2"/>
    <d v="2016-08-02T00:00:00"/>
    <n v="8"/>
    <x v="0"/>
    <n v="33.04"/>
    <n v="49019.6"/>
    <n v="1619607.5839999998"/>
    <n v="0"/>
    <n v="0"/>
    <n v="0"/>
    <n v="0"/>
    <n v="1619607.5839999998"/>
    <n v="32392.151679999995"/>
    <n v="0"/>
    <n v="1651999.7356799997"/>
    <n v="32.92"/>
  </r>
  <r>
    <s v="M.D. TRADING CO., LUDHIANA (P.B)"/>
    <x v="2"/>
    <d v="2016-08-03T00:00:00"/>
    <n v="8"/>
    <x v="0"/>
    <n v="31.01"/>
    <n v="51200"/>
    <n v="1587712"/>
    <n v="0"/>
    <n v="0"/>
    <n v="0"/>
    <n v="0"/>
    <n v="1587712"/>
    <n v="0"/>
    <n v="0"/>
    <n v="1587712"/>
    <n v="30.95"/>
  </r>
  <r>
    <s v="HORIZON OIL INDUSTRIES, LUDHIANA (P.B)"/>
    <x v="2"/>
    <d v="2016-08-03T00:00:00"/>
    <n v="8"/>
    <x v="0"/>
    <n v="29.63"/>
    <n v="50500"/>
    <n v="1496315"/>
    <n v="0"/>
    <n v="0"/>
    <n v="0"/>
    <n v="0"/>
    <n v="1496315"/>
    <n v="0"/>
    <n v="0"/>
    <n v="1496315"/>
    <n v="29.49"/>
  </r>
  <r>
    <s v="AMRITSAR OIL TRADERS, AMRITSAR (P.B) "/>
    <x v="3"/>
    <d v="2016-08-03T00:00:00"/>
    <n v="8"/>
    <x v="0"/>
    <n v="20.95"/>
    <n v="50900"/>
    <n v="1066355"/>
    <n v="0"/>
    <n v="0"/>
    <n v="0"/>
    <n v="0"/>
    <n v="1066355"/>
    <n v="0"/>
    <n v="0"/>
    <n v="1066355"/>
    <n v="20.85"/>
  </r>
  <r>
    <s v="HINDUSTAN OIL TRADERS, AMRITSAR (P.B) "/>
    <x v="3"/>
    <d v="2016-08-03T00:00:00"/>
    <n v="8"/>
    <x v="0"/>
    <n v="29.98"/>
    <n v="51928.15"/>
    <n v="1556805.9370000002"/>
    <n v="0"/>
    <n v="0"/>
    <n v="0"/>
    <n v="0"/>
    <n v="1556805.9370000002"/>
    <n v="0"/>
    <n v="0"/>
    <n v="1556805.9370000002"/>
    <n v="29.91"/>
  </r>
  <r>
    <s v="AMRITSAR OIL TRADERS, AMRITSAR (P.B) "/>
    <x v="3"/>
    <d v="2016-08-03T00:00:00"/>
    <n v="8"/>
    <x v="0"/>
    <n v="21"/>
    <n v="50900"/>
    <n v="1068900"/>
    <n v="0"/>
    <n v="0"/>
    <n v="0"/>
    <n v="0"/>
    <n v="1068900"/>
    <n v="0"/>
    <n v="0"/>
    <n v="1068900"/>
    <n v="20.94"/>
  </r>
  <r>
    <s v="HINDUSTAN OIL TRADERS, AMRITSAR (P.B) "/>
    <x v="3"/>
    <d v="2016-08-03T00:00:00"/>
    <n v="8"/>
    <x v="0"/>
    <n v="30.35"/>
    <n v="53500"/>
    <n v="1623725"/>
    <n v="0"/>
    <n v="0"/>
    <n v="0"/>
    <n v="0"/>
    <n v="1623725"/>
    <n v="0"/>
    <n v="0"/>
    <n v="1623725"/>
    <n v="30.17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97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20.02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989999999999998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850000000000001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20.02"/>
  </r>
  <r>
    <s v="SHREE GANPATI ENTERPRISES, AMRITSAR (P.B) "/>
    <x v="2"/>
    <d v="2016-08-04T00:00:00"/>
    <n v="8"/>
    <x v="0"/>
    <n v="25.43"/>
    <n v="49000"/>
    <n v="1246070"/>
    <n v="0"/>
    <n v="0"/>
    <n v="0"/>
    <n v="0"/>
    <n v="1246070"/>
    <n v="0"/>
    <n v="0"/>
    <n v="1246070"/>
    <n v="25.38"/>
  </r>
  <r>
    <s v="M.D. TRADING CO., LUDHIANA (P.B)"/>
    <x v="3"/>
    <d v="2016-08-05T00:00:00"/>
    <n v="8"/>
    <x v="0"/>
    <n v="31.085000000000001"/>
    <n v="54789.15"/>
    <n v="1703120.7277500001"/>
    <n v="0"/>
    <n v="0"/>
    <n v="0"/>
    <n v="0"/>
    <n v="1703120.7277500001"/>
    <n v="0"/>
    <n v="0"/>
    <n v="1703120.7277500001"/>
    <n v="31"/>
  </r>
  <r>
    <s v="PUNJAB OILS, AMRITSAR (P.B) "/>
    <x v="2"/>
    <d v="2016-08-05T00:00:00"/>
    <n v="8"/>
    <x v="0"/>
    <n v="28.33"/>
    <n v="49000"/>
    <n v="1388170"/>
    <n v="0"/>
    <n v="0"/>
    <n v="0"/>
    <n v="0"/>
    <n v="1388170"/>
    <n v="0"/>
    <n v="0"/>
    <n v="1388170"/>
    <n v="28.27"/>
  </r>
  <r>
    <s v="AMARJIT OIL TRADERS, AMRITSAR (P.B) "/>
    <x v="3"/>
    <d v="2016-08-06T00:00:00"/>
    <n v="8"/>
    <x v="0"/>
    <n v="20.420000000000002"/>
    <n v="50808.03"/>
    <n v="1037499.9726000001"/>
    <n v="0"/>
    <n v="0"/>
    <n v="0"/>
    <n v="0"/>
    <n v="1037499.9726000001"/>
    <n v="0"/>
    <n v="0"/>
    <n v="1037499.9726000001"/>
    <n v="20.350000000000001"/>
  </r>
  <r>
    <s v="ASIAN FOOD INGREDIENTS SDN.BHD.,MALAYSIA"/>
    <x v="4"/>
    <d v="2016-08-08T00:00:00"/>
    <n v="8"/>
    <x v="1"/>
    <n v="20"/>
    <n v="50935.3"/>
    <n v="1018706"/>
    <n v="0"/>
    <n v="127338.25"/>
    <n v="2546.7649999999999"/>
    <n v="1273.3824999999999"/>
    <n v="1149864.3975"/>
    <n v="0"/>
    <n v="77994.575899999996"/>
    <n v="1227858.9734"/>
    <n v="19.86"/>
  </r>
  <r>
    <s v="ASIAN FOOD INGREDIENTS SDN.BHD.,MALAYSIA"/>
    <x v="4"/>
    <d v="2016-08-08T00:00:00"/>
    <n v="8"/>
    <x v="1"/>
    <n v="20.63"/>
    <n v="50935.3"/>
    <n v="1050795.2390000001"/>
    <n v="0"/>
    <n v="131349.40487500001"/>
    <n v="2626.9880975000001"/>
    <n v="1313.49404875"/>
    <n v="1186085.1260212502"/>
    <n v="0"/>
    <n v="80451.405040850004"/>
    <n v="1266536.5310621001"/>
    <n v="20.66"/>
  </r>
  <r>
    <s v="ASIAN FOOD INGREDIENTS SDN.BHD.,MALAYSIA"/>
    <x v="4"/>
    <d v="2016-08-08T00:00:00"/>
    <n v="8"/>
    <x v="1"/>
    <n v="20.190000000000001"/>
    <n v="50935.3"/>
    <n v="1028383.7070000002"/>
    <n v="0"/>
    <n v="128547.96337500002"/>
    <n v="2570.9592675000004"/>
    <n v="1285.4796337500002"/>
    <n v="1160788.1092762502"/>
    <n v="0"/>
    <n v="78735.524371050007"/>
    <n v="1239523.6336473003"/>
    <n v="20.239999999999998"/>
  </r>
  <r>
    <s v="ASIAN FOOD INGREDIENTS SDN.BHD.,MALAYSIA"/>
    <x v="4"/>
    <d v="2016-08-08T00:00:00"/>
    <n v="8"/>
    <x v="1"/>
    <n v="19.75"/>
    <n v="50935.3"/>
    <n v="1005972.175"/>
    <n v="0"/>
    <n v="125746.52187500001"/>
    <n v="2514.9304375000002"/>
    <n v="1257.4652187500001"/>
    <n v="1135491.0925312501"/>
    <n v="0"/>
    <n v="77019.643701249996"/>
    <n v="1212510.7362325001"/>
    <n v="19.84"/>
  </r>
  <r>
    <s v="ASIAN FOOD INGREDIENTS SDN.BHD.,MALAYSIA"/>
    <x v="4"/>
    <d v="2016-08-08T00:00:00"/>
    <n v="8"/>
    <x v="1"/>
    <n v="19.75"/>
    <n v="50935.3"/>
    <n v="1005972.175"/>
    <n v="0"/>
    <n v="125746.52187500001"/>
    <n v="2514.9304375000002"/>
    <n v="1257.4652187500001"/>
    <n v="1135491.0925312501"/>
    <n v="0"/>
    <n v="77019.643701249996"/>
    <n v="1212510.7362325001"/>
    <n v="19.63"/>
  </r>
  <r>
    <s v="RICELA HEALTH FOODS LIMITED, DHURI (P.B)"/>
    <x v="1"/>
    <d v="2016-08-08T00:00:00"/>
    <n v="8"/>
    <x v="1"/>
    <n v="25.18"/>
    <n v="53431.4"/>
    <n v="1345402.652"/>
    <n v="0"/>
    <n v="0"/>
    <n v="0"/>
    <n v="0"/>
    <n v="1345402.652"/>
    <n v="26908.053039999999"/>
    <n v="0"/>
    <n v="1372310.7050399999"/>
    <n v="25.04"/>
  </r>
  <r>
    <s v="NOBLE NATURAL RESOURCES INDIA PVT.LTD.KUTCH, GUJARAT"/>
    <x v="2"/>
    <d v="2016-08-10T00:00:00"/>
    <n v="8"/>
    <x v="1"/>
    <n v="33.21"/>
    <n v="41500"/>
    <n v="1378215"/>
    <n v="0"/>
    <n v="172276.875"/>
    <n v="0"/>
    <n v="0"/>
    <n v="1550491.875"/>
    <n v="31009.837500000001"/>
    <n v="106272"/>
    <n v="1687773.7124999999"/>
    <n v="33.18"/>
  </r>
  <r>
    <s v="NOBLE NATURAL RESOURCES INDIA PVT.LTD.KUTCH, GUJARAT"/>
    <x v="2"/>
    <d v="2016-08-11T00:00:00"/>
    <n v="8"/>
    <x v="1"/>
    <n v="31.69"/>
    <n v="41500"/>
    <n v="1315135"/>
    <n v="0"/>
    <n v="164391.875"/>
    <n v="0"/>
    <n v="0"/>
    <n v="1479526.875"/>
    <n v="29590.537500000002"/>
    <n v="101408"/>
    <n v="1610525.4125000001"/>
    <n v="31.6"/>
  </r>
  <r>
    <s v="RICELA HEALTH FOODS LIMITED, DHURI (P.B)"/>
    <x v="1"/>
    <d v="2016-08-11T00:00:00"/>
    <n v="8"/>
    <x v="1"/>
    <n v="27.85"/>
    <n v="53431.4"/>
    <n v="1488064.4900000002"/>
    <n v="0"/>
    <n v="0"/>
    <n v="0"/>
    <n v="0"/>
    <n v="1488064.4900000002"/>
    <n v="29761.289800000006"/>
    <n v="0"/>
    <n v="1517825.7798000001"/>
    <n v="27.71"/>
  </r>
  <r>
    <s v="AMRITSAR OIL TRADERS, AMRITSAR (P.B) "/>
    <x v="3"/>
    <d v="2016-08-11T00:00:00"/>
    <n v="8"/>
    <x v="1"/>
    <n v="19.649999999999999"/>
    <n v="50855.21"/>
    <n v="999304.8764999999"/>
    <n v="0"/>
    <n v="0"/>
    <n v="0"/>
    <n v="0"/>
    <n v="999304.8764999999"/>
    <n v="0"/>
    <n v="0"/>
    <n v="999304.8764999999"/>
    <n v="19.64"/>
  </r>
  <r>
    <s v="HINDUSTAN OIL TRADERS, AMRITSAR (P.B) "/>
    <x v="3"/>
    <d v="2016-08-11T00:00:00"/>
    <n v="8"/>
    <x v="1"/>
    <n v="20.170000000000002"/>
    <n v="50700"/>
    <n v="1022619.0000000001"/>
    <n v="0"/>
    <n v="0"/>
    <n v="0"/>
    <n v="0"/>
    <n v="1022619.0000000001"/>
    <n v="0"/>
    <n v="0"/>
    <n v="1022619.0000000001"/>
    <n v="20.2"/>
  </r>
  <r>
    <s v="NOBLE NATURAL RESOURCES INDIA PVT.LTD.KUTCH, GUJARAT"/>
    <x v="2"/>
    <d v="2016-08-16T00:00:00"/>
    <n v="8"/>
    <x v="2"/>
    <n v="33.090000000000003"/>
    <n v="41500"/>
    <n v="1373235.0000000002"/>
    <n v="0"/>
    <n v="171654.37500000003"/>
    <n v="0"/>
    <n v="0"/>
    <n v="1544889.3750000002"/>
    <n v="30897.787500000006"/>
    <n v="105888.00000000001"/>
    <n v="1681675.1625000003"/>
    <n v="33.06"/>
  </r>
  <r>
    <s v="NOBLE NATURAL RESOURCES INDIA PVT.LTD.KUTCH, GUJARAT"/>
    <x v="2"/>
    <d v="2016-08-16T00:00:00"/>
    <n v="8"/>
    <x v="2"/>
    <n v="31.75"/>
    <n v="41500"/>
    <n v="1317625"/>
    <n v="0"/>
    <n v="164703.125"/>
    <n v="0"/>
    <n v="0"/>
    <n v="1482328.125"/>
    <n v="29646.5625"/>
    <n v="101600"/>
    <n v="1613574.6875"/>
    <n v="31.69"/>
  </r>
  <r>
    <s v="HORIZON OIL INDUSTRIES, LUDHIANA (P.B)"/>
    <x v="2"/>
    <d v="2016-08-16T00:00:00"/>
    <n v="8"/>
    <x v="2"/>
    <n v="31.29"/>
    <n v="50500"/>
    <n v="1580145"/>
    <n v="0"/>
    <n v="0"/>
    <n v="0"/>
    <n v="0"/>
    <n v="1580145"/>
    <n v="0"/>
    <n v="0"/>
    <n v="1580145"/>
    <n v="31.16"/>
  </r>
  <r>
    <s v="SHREE GANPATI ENTERPRISES, AMRITSAR (P.B) "/>
    <x v="3"/>
    <d v="2016-08-17T00:00:00"/>
    <n v="8"/>
    <x v="2"/>
    <n v="20.76"/>
    <n v="45957.8"/>
    <n v="954083.92800000019"/>
    <n v="0"/>
    <n v="0"/>
    <n v="0"/>
    <n v="0"/>
    <n v="954083.92800000019"/>
    <n v="0"/>
    <n v="0"/>
    <n v="954083.92800000019"/>
    <n v="20.91"/>
  </r>
  <r>
    <s v="AMRITSAR OIL TRADERS, AMRITSAR (P.B) "/>
    <x v="3"/>
    <d v="2016-08-20T00:00:00"/>
    <n v="8"/>
    <x v="2"/>
    <n v="25.52"/>
    <n v="50700"/>
    <n v="1293864"/>
    <n v="0"/>
    <n v="0"/>
    <n v="0"/>
    <n v="0"/>
    <n v="1293864"/>
    <n v="0"/>
    <n v="0"/>
    <n v="1293864"/>
    <n v="25.49"/>
  </r>
  <r>
    <s v="HARKARAN DASS VEDPAL, LUDHIANA (P.B)"/>
    <x v="3"/>
    <d v="2016-08-21T00:00:00"/>
    <n v="8"/>
    <x v="3"/>
    <n v="26.43"/>
    <n v="50700"/>
    <n v="1340001"/>
    <n v="0"/>
    <n v="0"/>
    <n v="0"/>
    <n v="0"/>
    <n v="1340001"/>
    <n v="0"/>
    <n v="0"/>
    <n v="1340001"/>
    <n v="26.59"/>
  </r>
  <r>
    <s v="RICELA HEALTH FOODS LIMITED, DHURI (P.B)"/>
    <x v="1"/>
    <d v="2016-08-30T00:00:00"/>
    <n v="8"/>
    <x v="4"/>
    <n v="29.91"/>
    <n v="54215.7"/>
    <n v="1621591.5869999998"/>
    <n v="0"/>
    <n v="0"/>
    <n v="0"/>
    <n v="0"/>
    <n v="1621591.5869999998"/>
    <n v="32431.831739999998"/>
    <n v="0"/>
    <n v="1654023.4187399999"/>
    <n v="29.79"/>
  </r>
  <r>
    <s v="RICELA HEALTH FOODS LIMITED, DHURI (P.B)"/>
    <x v="1"/>
    <d v="2016-08-26T00:00:00"/>
    <n v="8"/>
    <x v="3"/>
    <n v="28.79"/>
    <n v="54215.7"/>
    <n v="1560870.0029999998"/>
    <n v="0"/>
    <n v="0"/>
    <n v="0"/>
    <n v="0"/>
    <n v="1560870.0029999998"/>
    <n v="31217.400059999996"/>
    <n v="0"/>
    <n v="1592087.4030599997"/>
    <n v="28.69"/>
  </r>
  <r>
    <s v="RICELA HEALTH FOODS LIMITED, DHURI (P.B)"/>
    <x v="1"/>
    <d v="2016-08-27T00:00:00"/>
    <n v="8"/>
    <x v="3"/>
    <n v="31.77"/>
    <n v="54215.7"/>
    <n v="1722432.7889999999"/>
    <n v="0"/>
    <n v="0"/>
    <n v="0"/>
    <n v="0"/>
    <n v="1722432.7889999999"/>
    <n v="34448.655780000001"/>
    <n v="0"/>
    <n v="1756881.4447799998"/>
    <n v="31.61"/>
  </r>
  <r>
    <s v="SIDDHARTH OILS, LUDHIANA (P.B)"/>
    <x v="3"/>
    <d v="2016-08-28T00:00:00"/>
    <n v="8"/>
    <x v="4"/>
    <n v="27.45"/>
    <n v="50900"/>
    <n v="1397205"/>
    <n v="0"/>
    <n v="0"/>
    <n v="0"/>
    <n v="0"/>
    <n v="1397205"/>
    <n v="0"/>
    <n v="0"/>
    <n v="1397205"/>
    <n v="27.34"/>
  </r>
  <r>
    <s v="PUNJAB OILS, AMRITSAR (P.B) "/>
    <x v="2"/>
    <d v="2016-08-25T00:00:00"/>
    <n v="8"/>
    <x v="3"/>
    <n v="27.63"/>
    <n v="49700"/>
    <n v="1373211"/>
    <n v="0"/>
    <n v="0"/>
    <n v="0"/>
    <n v="0"/>
    <n v="1373211"/>
    <n v="0"/>
    <n v="0"/>
    <n v="1373211"/>
    <n v="27.5"/>
  </r>
  <r>
    <s v="DEEPCHAND ARYA INDUSTRIES, DELHI"/>
    <x v="3"/>
    <d v="2016-08-31T00:00:00"/>
    <n v="8"/>
    <x v="4"/>
    <n v="29.04"/>
    <n v="50900"/>
    <n v="1478136"/>
    <n v="0"/>
    <n v="0"/>
    <n v="0"/>
    <n v="0"/>
    <n v="1478136"/>
    <n v="0"/>
    <n v="0"/>
    <n v="1478136"/>
    <n v="28.86"/>
  </r>
  <r>
    <s v="SIDDHARTH OILS, LUDHIANA (P.B)"/>
    <x v="3"/>
    <d v="2016-08-31T00:00:00"/>
    <n v="8"/>
    <x v="4"/>
    <n v="26.85"/>
    <n v="57500"/>
    <n v="1543875"/>
    <n v="0"/>
    <n v="0"/>
    <n v="0"/>
    <n v="0"/>
    <n v="1543875"/>
    <n v="0"/>
    <n v="0"/>
    <n v="1543875"/>
    <n v="26.8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9">
  <r>
    <s v="HINDUSTAN OIL TRADERS, AMRITSAR (P.B) "/>
    <x v="0"/>
    <d v="2016-07-01T00:00:00"/>
    <n v="7"/>
    <x v="0"/>
    <n v="26.67"/>
    <n v="50300"/>
    <n v="1341501"/>
    <n v="0"/>
    <n v="0"/>
    <n v="0"/>
    <n v="0"/>
    <n v="1341501"/>
    <n v="0"/>
    <n v="0"/>
    <n v="1341501"/>
    <n v="26.67"/>
  </r>
  <r>
    <s v="KUMARAN OIL PRODUCTS, KANGAYAM (T.N)"/>
    <x v="1"/>
    <d v="2016-07-02T00:00:00"/>
    <n v="7"/>
    <x v="0"/>
    <n v="24.67"/>
    <n v="83333"/>
    <n v="2055825.11"/>
    <n v="0"/>
    <n v="0"/>
    <n v="0"/>
    <n v="0"/>
    <n v="2055825.11"/>
    <n v="41116.502200000003"/>
    <n v="0"/>
    <n v="2096941.6122000001"/>
    <n v="24.67"/>
  </r>
  <r>
    <s v="DEEPCHAND ARYA INDUSTRIES, DELHI"/>
    <x v="2"/>
    <d v="2016-07-02T00:00:00"/>
    <n v="7"/>
    <x v="0"/>
    <n v="28.33"/>
    <n v="52900"/>
    <n v="1498657"/>
    <n v="0"/>
    <n v="0"/>
    <n v="0"/>
    <n v="0"/>
    <n v="1498657"/>
    <n v="0"/>
    <n v="0"/>
    <n v="1498657"/>
    <n v="28.33"/>
  </r>
  <r>
    <s v="PUNJAB OILS, AMRITSAR (P.B) "/>
    <x v="2"/>
    <d v="2016-07-02T00:00:00"/>
    <n v="7"/>
    <x v="0"/>
    <n v="27.43"/>
    <n v="53300"/>
    <n v="1462019"/>
    <n v="0"/>
    <n v="0"/>
    <n v="0"/>
    <n v="0"/>
    <n v="1462019"/>
    <n v="0"/>
    <n v="0"/>
    <n v="1462019"/>
    <n v="27.43"/>
  </r>
  <r>
    <s v="KUMARAN OIL PRODUCTS, KANGAYAM (T.N)"/>
    <x v="1"/>
    <d v="2016-07-02T00:00:00"/>
    <n v="7"/>
    <x v="0"/>
    <n v="15.79"/>
    <n v="83333"/>
    <n v="1315828.0699999998"/>
    <n v="0"/>
    <n v="0"/>
    <n v="0"/>
    <n v="0"/>
    <n v="1315828.0699999998"/>
    <n v="26316.561399999999"/>
    <n v="0"/>
    <n v="1342144.6313999998"/>
    <n v="15.79"/>
  </r>
  <r>
    <s v="KUMARAN OIL PRODUCTS, KANGAYAM (T.N)"/>
    <x v="1"/>
    <d v="2016-07-02T00:00:00"/>
    <n v="7"/>
    <x v="0"/>
    <n v="15.81"/>
    <n v="83333"/>
    <n v="1317494.73"/>
    <n v="0"/>
    <n v="0"/>
    <n v="0"/>
    <n v="0"/>
    <n v="1317494.73"/>
    <n v="26349.8946"/>
    <n v="0"/>
    <n v="1343844.6246"/>
    <n v="15.81"/>
  </r>
  <r>
    <s v="HARKARAN DASS VEDPAL, LUDHIANA (P.B)"/>
    <x v="2"/>
    <d v="2016-07-02T00:00:00"/>
    <n v="7"/>
    <x v="0"/>
    <n v="29.23"/>
    <n v="53300"/>
    <n v="1557959"/>
    <n v="0"/>
    <n v="0"/>
    <n v="0"/>
    <n v="0"/>
    <n v="1557959"/>
    <n v="0"/>
    <n v="0"/>
    <n v="1561423"/>
    <n v="29.23"/>
  </r>
  <r>
    <s v="PUNJAB OILS, AMRITSAR (P.B) "/>
    <x v="2"/>
    <d v="2016-07-03T00:00:00"/>
    <n v="7"/>
    <x v="1"/>
    <n v="28"/>
    <n v="53249.87"/>
    <n v="1490996.36"/>
    <n v="0"/>
    <n v="0"/>
    <n v="0"/>
    <n v="0"/>
    <n v="1490996.36"/>
    <n v="0"/>
    <n v="0"/>
    <n v="1490996.36"/>
    <n v="28"/>
  </r>
  <r>
    <s v="AMARJIT OIL TRADERS, AMRITSAR (P.B) "/>
    <x v="2"/>
    <d v="2016-07-03T00:00:00"/>
    <n v="7"/>
    <x v="1"/>
    <n v="32.01"/>
    <n v="52954.720000000001"/>
    <n v="1695080.5872"/>
    <n v="0"/>
    <n v="0"/>
    <n v="0"/>
    <n v="0"/>
    <n v="1695080.5872"/>
    <n v="0"/>
    <n v="0"/>
    <n v="1695080.5872"/>
    <n v="32.01"/>
  </r>
  <r>
    <s v="AMRITSAR OIL TRADERS, AMRITSAR (P.B) "/>
    <x v="0"/>
    <d v="2016-07-04T00:00:00"/>
    <n v="7"/>
    <x v="1"/>
    <n v="27.08"/>
    <n v="49607.85"/>
    <n v="1343380.578"/>
    <n v="0"/>
    <n v="0"/>
    <n v="0"/>
    <n v="0"/>
    <n v="1343380.578"/>
    <n v="0"/>
    <n v="0"/>
    <n v="1343380.578"/>
    <n v="27.08"/>
  </r>
  <r>
    <s v="ASIAN FOOD INGREDIENTS SDN.BHD.,MALAYSIA"/>
    <x v="3"/>
    <d v="2016-07-05T00:00:00"/>
    <n v="7"/>
    <x v="1"/>
    <n v="20"/>
    <n v="50860.57"/>
    <n v="1017211.4"/>
    <n v="0"/>
    <n v="127151.425"/>
    <n v="2543.0284999999999"/>
    <n v="1271.5142499999999"/>
    <n v="1148177.36775"/>
    <n v="0"/>
    <n v="45927.094709999998"/>
    <n v="1194104.4624600001"/>
    <n v="20"/>
  </r>
  <r>
    <s v="ASIAN FOOD INGREDIENTS SDN.BHD.,MALAYSIA"/>
    <x v="3"/>
    <d v="2016-07-05T00:00:00"/>
    <n v="7"/>
    <x v="1"/>
    <n v="19.98"/>
    <n v="50860.57"/>
    <n v="1016194.1886"/>
    <n v="0"/>
    <n v="127024.273575"/>
    <n v="2540.4854715000001"/>
    <n v="1270.2427357500001"/>
    <n v="1147029.1903822501"/>
    <n v="0"/>
    <n v="45881.167615290004"/>
    <n v="1192910.3579975402"/>
    <n v="19.98"/>
  </r>
  <r>
    <s v="ASIAN FOOD INGREDIENTS SDN.BHD.,MALAYSIA"/>
    <x v="3"/>
    <d v="2016-07-05T00:00:00"/>
    <n v="7"/>
    <x v="1"/>
    <n v="20.010000000000002"/>
    <n v="50860.57"/>
    <n v="1017720.0057000001"/>
    <n v="0"/>
    <n v="127215.00071250001"/>
    <n v="2544.3000142500005"/>
    <n v="1272.1500071250002"/>
    <n v="1148751.456433875"/>
    <n v="0"/>
    <n v="45950.058257354998"/>
    <n v="1194701.5146912299"/>
    <n v="20.010000000000002"/>
  </r>
  <r>
    <s v="ASIAN FOOD INGREDIENTS SDN.BHD.,MALAYSIA"/>
    <x v="3"/>
    <d v="2016-07-05T00:00:00"/>
    <n v="7"/>
    <x v="1"/>
    <n v="20"/>
    <n v="50860.57"/>
    <n v="1017211.4"/>
    <n v="0"/>
    <n v="127151.425"/>
    <n v="2543.0284999999999"/>
    <n v="1271.5142499999999"/>
    <n v="1148177.36775"/>
    <n v="0"/>
    <n v="45927.094709999998"/>
    <n v="1194104.4624600001"/>
    <n v="20"/>
  </r>
  <r>
    <s v="ASIAN FOOD INGREDIENTS SDN.BHD.,MALAYSIA"/>
    <x v="3"/>
    <d v="2016-07-05T00:00:00"/>
    <n v="7"/>
    <x v="1"/>
    <n v="20.010000000000002"/>
    <n v="50860.57"/>
    <n v="1017720.0057000001"/>
    <n v="0"/>
    <n v="127215.00071250001"/>
    <n v="2544.3000142500005"/>
    <n v="1272.1500071250002"/>
    <n v="1148751.456433875"/>
    <n v="0"/>
    <n v="45950.058257354998"/>
    <n v="1194701.5146912299"/>
    <n v="20.010000000000002"/>
  </r>
  <r>
    <s v="HARKARAN DASS VEDPAL, NOIDA (U.P)"/>
    <x v="0"/>
    <d v="2016-07-05T00:00:00"/>
    <n v="7"/>
    <x v="1"/>
    <n v="26.21"/>
    <n v="50000"/>
    <n v="1310500"/>
    <n v="0"/>
    <n v="0"/>
    <n v="0"/>
    <n v="0"/>
    <n v="1310500"/>
    <n v="0"/>
    <n v="0"/>
    <n v="1310500"/>
    <n v="26.21"/>
  </r>
  <r>
    <s v="AMARJIT OIL TRADERS, AMRITSAR (P.B) "/>
    <x v="2"/>
    <d v="2016-07-05T00:00:00"/>
    <n v="7"/>
    <x v="1"/>
    <n v="20.27"/>
    <n v="53000"/>
    <n v="1074310"/>
    <n v="0"/>
    <n v="0"/>
    <n v="0"/>
    <n v="0"/>
    <n v="1074310"/>
    <n v="0"/>
    <n v="0"/>
    <n v="1074310"/>
    <n v="20.27"/>
  </r>
  <r>
    <s v="HARKARAN DASS VEDPAL, LUDHIANA (P.B)"/>
    <x v="2"/>
    <d v="2016-07-06T00:00:00"/>
    <n v="7"/>
    <x v="1"/>
    <n v="29.03"/>
    <n v="53348.959999999999"/>
    <n v="1548720.3088"/>
    <n v="0"/>
    <n v="0"/>
    <n v="0"/>
    <n v="0"/>
    <n v="1548720.3088"/>
    <n v="0"/>
    <n v="0"/>
    <n v="1548720.3088"/>
    <n v="29.03"/>
  </r>
  <r>
    <s v="DEEPCHAND ARYA INDUSTRIES, DELHI"/>
    <x v="2"/>
    <d v="2016-07-06T00:00:00"/>
    <n v="7"/>
    <x v="1"/>
    <n v="31.6"/>
    <n v="53300"/>
    <n v="1684280"/>
    <n v="0"/>
    <n v="0"/>
    <n v="0"/>
    <n v="0"/>
    <n v="1684280"/>
    <n v="0"/>
    <n v="0"/>
    <n v="1684280"/>
    <n v="31.6"/>
  </r>
  <r>
    <s v="SIDDHARTH OILS, LUDHIANA (P.B)"/>
    <x v="0"/>
    <d v="2016-07-07T00:00:00"/>
    <n v="7"/>
    <x v="1"/>
    <n v="28.74"/>
    <n v="49694.32"/>
    <n v="1428214.7567999999"/>
    <n v="0"/>
    <n v="0"/>
    <n v="0"/>
    <n v="0"/>
    <n v="1428214.7567999999"/>
    <n v="0"/>
    <n v="0"/>
    <n v="1428214.7567999999"/>
    <n v="28.74"/>
  </r>
  <r>
    <s v="DEEPCHAND ARYA INDUSTRIES, DELHI"/>
    <x v="0"/>
    <d v="2016-07-08T00:00:00"/>
    <n v="7"/>
    <x v="1"/>
    <n v="27.5"/>
    <n v="50300"/>
    <n v="1383250"/>
    <n v="0"/>
    <n v="0"/>
    <n v="0"/>
    <n v="0"/>
    <n v="1383250"/>
    <n v="0"/>
    <n v="0"/>
    <n v="1383250"/>
    <n v="27.5"/>
  </r>
  <r>
    <s v="J.D TRADING CO., LUDHIANA (P.B)"/>
    <x v="2"/>
    <d v="2016-07-08T00:00:00"/>
    <n v="7"/>
    <x v="1"/>
    <n v="31.01"/>
    <n v="54500"/>
    <n v="1690045"/>
    <n v="0"/>
    <n v="0"/>
    <n v="0"/>
    <n v="0"/>
    <n v="1690045"/>
    <n v="0"/>
    <n v="0"/>
    <n v="1690045"/>
    <n v="31.01"/>
  </r>
  <r>
    <s v="DEEPCHAND ARYA INDUSTRIES, DELHI"/>
    <x v="2"/>
    <d v="2016-07-08T00:00:00"/>
    <n v="7"/>
    <x v="1"/>
    <n v="30.99"/>
    <n v="53243.08"/>
    <n v="1650003.0492"/>
    <n v="0"/>
    <n v="0"/>
    <n v="0"/>
    <n v="0"/>
    <n v="1650003.0492"/>
    <n v="0"/>
    <n v="0"/>
    <n v="1650003.0492"/>
    <n v="30.99"/>
  </r>
  <r>
    <s v="HARKARAN DASS VEDPAL, LUDHIANA (P.B)"/>
    <x v="2"/>
    <d v="2016-07-08T00:00:00"/>
    <n v="7"/>
    <x v="1"/>
    <n v="29.36"/>
    <n v="53500"/>
    <n v="1570760"/>
    <n v="0"/>
    <n v="0"/>
    <n v="0"/>
    <n v="0"/>
    <n v="1570760"/>
    <n v="0"/>
    <n v="0"/>
    <n v="1570760"/>
    <n v="29.36"/>
  </r>
  <r>
    <s v="DEEPCHAND ARYA INDUSTRIES, DELHI"/>
    <x v="2"/>
    <d v="2016-07-08T00:00:00"/>
    <n v="7"/>
    <x v="1"/>
    <n v="27.37"/>
    <n v="52900"/>
    <n v="1447873"/>
    <n v="0"/>
    <n v="0"/>
    <n v="0"/>
    <n v="0"/>
    <n v="1447873"/>
    <n v="0"/>
    <n v="0"/>
    <n v="1447873"/>
    <n v="27.37"/>
  </r>
  <r>
    <s v="PUNJAB OILS, AMRITSAR (P.B) "/>
    <x v="0"/>
    <d v="2016-07-09T00:00:00"/>
    <n v="7"/>
    <x v="1"/>
    <n v="27.49"/>
    <n v="49356.94"/>
    <n v="1356822.2805999999"/>
    <n v="0"/>
    <n v="0"/>
    <n v="0"/>
    <n v="0"/>
    <n v="1356822.2805999999"/>
    <n v="0"/>
    <n v="0"/>
    <n v="1356822.2805999999"/>
    <n v="27.49"/>
  </r>
  <r>
    <s v="LOK NATH VARINDER KUMAR IMPEX LTD, LUDHIANA (P.B)"/>
    <x v="0"/>
    <d v="2016-07-09T00:00:00"/>
    <n v="7"/>
    <x v="1"/>
    <n v="28.57"/>
    <n v="50000"/>
    <n v="1428500"/>
    <n v="0"/>
    <n v="0"/>
    <n v="0"/>
    <n v="0"/>
    <n v="1428500"/>
    <n v="0"/>
    <n v="0"/>
    <n v="1428500"/>
    <n v="28.57"/>
  </r>
  <r>
    <s v="AMARJIT OIL TRADERS, AMRITSAR (P.B) "/>
    <x v="2"/>
    <d v="2016-07-09T00:00:00"/>
    <n v="7"/>
    <x v="1"/>
    <n v="28.83"/>
    <n v="52900"/>
    <n v="1525107"/>
    <n v="0"/>
    <n v="0"/>
    <n v="0"/>
    <n v="0"/>
    <n v="1525107"/>
    <n v="0"/>
    <n v="0"/>
    <n v="1525107"/>
    <n v="28.83"/>
  </r>
  <r>
    <s v="J.D TRADING CO., LUDHIANA (P.B)"/>
    <x v="2"/>
    <d v="2016-07-09T00:00:00"/>
    <n v="7"/>
    <x v="1"/>
    <n v="34.33"/>
    <n v="54897.35"/>
    <n v="1884626.0254999998"/>
    <n v="0"/>
    <n v="0"/>
    <n v="0"/>
    <n v="0"/>
    <n v="1884626.0254999998"/>
    <n v="0"/>
    <n v="0"/>
    <n v="1884626.0254999998"/>
    <n v="34.33"/>
  </r>
  <r>
    <s v="M.D. TRADING CO., LUDHIANA (P.B)"/>
    <x v="2"/>
    <d v="2016-07-09T00:00:00"/>
    <n v="7"/>
    <x v="1"/>
    <n v="31"/>
    <n v="55800"/>
    <n v="1729800"/>
    <n v="0"/>
    <n v="0"/>
    <n v="0"/>
    <n v="0"/>
    <n v="1729800"/>
    <n v="0"/>
    <n v="0"/>
    <n v="1729800"/>
    <n v="31"/>
  </r>
  <r>
    <s v="AMRITSAR OIL TRADERS, AMRITSAR (P.B) "/>
    <x v="2"/>
    <d v="2016-07-09T00:00:00"/>
    <n v="7"/>
    <x v="1"/>
    <n v="27.74"/>
    <n v="53235.13"/>
    <n v="1476742.5061999999"/>
    <n v="0"/>
    <n v="0"/>
    <n v="0"/>
    <n v="0"/>
    <n v="1476742.5061999999"/>
    <n v="0"/>
    <n v="0"/>
    <n v="1476742.5061999999"/>
    <n v="27.74"/>
  </r>
  <r>
    <s v="RICELA HEALTH FOODS LIMITED, DHURI (P.B)"/>
    <x v="4"/>
    <d v="2016-07-09T00:00:00"/>
    <n v="7"/>
    <x v="1"/>
    <n v="26.89"/>
    <n v="53431.4"/>
    <n v="1436770.3460000001"/>
    <n v="0"/>
    <n v="0"/>
    <n v="0"/>
    <n v="0"/>
    <n v="1436770.3460000001"/>
    <n v="28735.406920000005"/>
    <n v="0"/>
    <n v="1465505.7529200001"/>
    <n v="26.89"/>
  </r>
  <r>
    <s v="S.R.A. TRADE LINKS, DELHI"/>
    <x v="0"/>
    <d v="2016-07-09T00:00:00"/>
    <n v="7"/>
    <x v="1"/>
    <n v="24.37"/>
    <n v="49000"/>
    <n v="1194130"/>
    <n v="0"/>
    <n v="0"/>
    <n v="0"/>
    <n v="0"/>
    <n v="1194130"/>
    <n v="0"/>
    <n v="0"/>
    <n v="1194130"/>
    <n v="24.37"/>
  </r>
  <r>
    <s v="SIDDHARTH OILS, LUDHIANA (P.B)"/>
    <x v="2"/>
    <d v="2016-07-10T00:00:00"/>
    <n v="7"/>
    <x v="2"/>
    <n v="27.83"/>
    <n v="53000"/>
    <n v="1474990"/>
    <n v="0"/>
    <n v="0"/>
    <n v="0"/>
    <n v="0"/>
    <n v="1474990"/>
    <n v="0"/>
    <n v="0"/>
    <n v="1474990"/>
    <n v="27.83"/>
  </r>
  <r>
    <s v="SIDDHARTH OILS, LUDHIANA (P.B)"/>
    <x v="2"/>
    <d v="2016-07-10T00:00:00"/>
    <n v="7"/>
    <x v="2"/>
    <n v="27.1"/>
    <n v="52942.36"/>
    <n v="1434737.956"/>
    <n v="0"/>
    <n v="0"/>
    <n v="0"/>
    <n v="0"/>
    <n v="1434737.956"/>
    <n v="0"/>
    <n v="0"/>
    <n v="1434737.956"/>
    <n v="27.1"/>
  </r>
  <r>
    <s v="DEEPCHAND ARYA INDUSTRIES, DELHI"/>
    <x v="0"/>
    <d v="2016-07-11T00:00:00"/>
    <n v="7"/>
    <x v="2"/>
    <n v="26.46"/>
    <n v="50300"/>
    <n v="1330938"/>
    <n v="0"/>
    <n v="0"/>
    <n v="0"/>
    <n v="0"/>
    <n v="1330938"/>
    <n v="0"/>
    <n v="0"/>
    <n v="1330938"/>
    <n v="26.46"/>
  </r>
  <r>
    <s v="AMARJIT OIL TRADERS, AMRITSAR (P.B) "/>
    <x v="0"/>
    <d v="2016-07-12T00:00:00"/>
    <n v="7"/>
    <x v="2"/>
    <n v="30.36"/>
    <n v="50000"/>
    <n v="1518000"/>
    <n v="0"/>
    <n v="0"/>
    <n v="0"/>
    <n v="0"/>
    <n v="1518000"/>
    <n v="0"/>
    <n v="0"/>
    <n v="1518000"/>
    <n v="30.36"/>
  </r>
  <r>
    <s v="AMARJIT OIL TRADERS, AMRITSAR (P.B) "/>
    <x v="0"/>
    <d v="2016-07-12T00:00:00"/>
    <n v="7"/>
    <x v="2"/>
    <n v="29.38"/>
    <n v="50000"/>
    <n v="1469000"/>
    <n v="0"/>
    <n v="0"/>
    <n v="0"/>
    <n v="0"/>
    <n v="1469000"/>
    <n v="0"/>
    <n v="0"/>
    <n v="1469000"/>
    <n v="29.38"/>
  </r>
  <r>
    <s v="GUJARAT AMBUJA EXPORTS LTD., KADI-MEHSANA (GUJARAT)"/>
    <x v="5"/>
    <d v="2016-07-12T00:00:00"/>
    <n v="7"/>
    <x v="2"/>
    <n v="34.56"/>
    <n v="54200"/>
    <n v="1873152.0000000002"/>
    <n v="0"/>
    <n v="0"/>
    <n v="0"/>
    <n v="0"/>
    <n v="1873152.0000000002"/>
    <n v="37463.040000000008"/>
    <n v="110592"/>
    <n v="2021207.0400000003"/>
    <n v="34.56"/>
  </r>
  <r>
    <s v="SIDDHARTH OILS, LUDHIANA (P.B)"/>
    <x v="2"/>
    <d v="2016-07-12T00:00:00"/>
    <n v="7"/>
    <x v="2"/>
    <n v="24.87"/>
    <n v="53051.72"/>
    <n v="1319396.2764000001"/>
    <n v="0"/>
    <n v="0"/>
    <n v="0"/>
    <n v="0"/>
    <n v="1319396.2764000001"/>
    <n v="0"/>
    <n v="0"/>
    <n v="1319396.2764000001"/>
    <n v="24.87"/>
  </r>
  <r>
    <s v="RICELA HEALTH FOODS LIMITED, DHURI (P.B)"/>
    <x v="4"/>
    <d v="2016-07-13T00:00:00"/>
    <n v="7"/>
    <x v="2"/>
    <n v="27.81"/>
    <n v="53431.4"/>
    <n v="1485927.2339999999"/>
    <n v="0"/>
    <n v="0"/>
    <n v="0"/>
    <n v="0"/>
    <n v="1485927.2339999999"/>
    <n v="29718.544679999999"/>
    <n v="0"/>
    <n v="1515645.77868"/>
    <n v="27.81"/>
  </r>
  <r>
    <s v="JAI BHAGWATI AGRO OILS , LUDHIANA (P.B)"/>
    <x v="0"/>
    <d v="2016-07-13T00:00:00"/>
    <n v="7"/>
    <x v="2"/>
    <n v="28.16"/>
    <n v="49000"/>
    <n v="1379840"/>
    <n v="0"/>
    <n v="0"/>
    <n v="0"/>
    <n v="0"/>
    <n v="1379840"/>
    <n v="0"/>
    <n v="0"/>
    <n v="1379840"/>
    <n v="28.16"/>
  </r>
  <r>
    <s v="M.D. TRADING CO., LUDHIANA (P.B)"/>
    <x v="2"/>
    <d v="2016-07-14T00:00:00"/>
    <n v="7"/>
    <x v="2"/>
    <n v="29.05"/>
    <n v="55800"/>
    <n v="1620990"/>
    <n v="0"/>
    <n v="0"/>
    <n v="0"/>
    <n v="0"/>
    <n v="1620990"/>
    <n v="0"/>
    <n v="0"/>
    <n v="1620990"/>
    <n v="29.05"/>
  </r>
  <r>
    <s v="RICELA HEALTH FOODS LIMITED, DHURI (P.B)"/>
    <x v="4"/>
    <d v="2016-07-14T00:00:00"/>
    <n v="7"/>
    <x v="2"/>
    <n v="25.62"/>
    <n v="53431.4"/>
    <n v="1368912.4680000001"/>
    <n v="0"/>
    <n v="0"/>
    <n v="0"/>
    <n v="0"/>
    <n v="1368912.4680000001"/>
    <n v="27378.249360000002"/>
    <n v="0"/>
    <n v="1396290.7173600001"/>
    <n v="25.62"/>
  </r>
  <r>
    <s v="KUMARAN OIL MILL, TIRUPUR (T.N)"/>
    <x v="1"/>
    <d v="2016-07-14T00:00:00"/>
    <n v="7"/>
    <x v="2"/>
    <n v="20.25"/>
    <n v="82352"/>
    <n v="1667628"/>
    <n v="0"/>
    <n v="0"/>
    <n v="0"/>
    <n v="0"/>
    <n v="1667628"/>
    <n v="33352.559999999998"/>
    <n v="0"/>
    <n v="1700980.56"/>
    <n v="20.25"/>
  </r>
  <r>
    <s v="KUMARAN OIL MILL, TIRUPUR (T.N)"/>
    <x v="1"/>
    <d v="2016-07-14T00:00:00"/>
    <n v="7"/>
    <x v="2"/>
    <n v="20.04"/>
    <n v="82352"/>
    <n v="1650334.0799999998"/>
    <n v="0"/>
    <n v="0"/>
    <n v="0"/>
    <n v="0"/>
    <n v="1650334.0799999998"/>
    <n v="33006.681599999996"/>
    <n v="0"/>
    <n v="1683340.7615999999"/>
    <n v="20.04"/>
  </r>
  <r>
    <s v="GUJARAT AMBUJA EXPORTS LTD., KADI-MEHSANA (GUJARAT)"/>
    <x v="5"/>
    <d v="2016-07-15T00:00:00"/>
    <n v="7"/>
    <x v="2"/>
    <n v="28.4"/>
    <n v="54200"/>
    <n v="1539280"/>
    <n v="0"/>
    <n v="0"/>
    <n v="0"/>
    <n v="0"/>
    <n v="1539280"/>
    <n v="30785.600000000002"/>
    <n v="90880"/>
    <n v="1660945.6"/>
    <n v="28.4"/>
  </r>
  <r>
    <s v="SURUCHI REFINERY PRIVATE LTD., PALADAM- COIMBATORE"/>
    <x v="1"/>
    <d v="2016-07-17T00:00:00"/>
    <n v="7"/>
    <x v="3"/>
    <n v="20.440000000000001"/>
    <n v="79411.7"/>
    <n v="1623175.148"/>
    <n v="0"/>
    <n v="0"/>
    <n v="0"/>
    <n v="0"/>
    <n v="1623175.148"/>
    <n v="32463.502960000002"/>
    <n v="0"/>
    <n v="1655638.65096"/>
    <n v="20.440000000000001"/>
  </r>
  <r>
    <s v="SIDDHARTH OILS, LUDHIANA (P.B)"/>
    <x v="2"/>
    <d v="2016-07-17T00:00:00"/>
    <n v="7"/>
    <x v="3"/>
    <n v="20.149999999999999"/>
    <n v="53300"/>
    <n v="1073995"/>
    <n v="0"/>
    <n v="0"/>
    <n v="0"/>
    <n v="0"/>
    <n v="1073995"/>
    <n v="0"/>
    <n v="0"/>
    <n v="1073995"/>
    <n v="20.149999999999999"/>
  </r>
  <r>
    <s v="AMARJIT OIL TRADERS, AMRITSAR (P.B) "/>
    <x v="2"/>
    <d v="2016-07-17T00:00:00"/>
    <n v="7"/>
    <x v="3"/>
    <n v="28.48"/>
    <n v="53068.58"/>
    <n v="1511393.1584000001"/>
    <n v="0"/>
    <n v="0"/>
    <n v="0"/>
    <n v="0"/>
    <n v="1511393.1584000001"/>
    <n v="0"/>
    <n v="0"/>
    <n v="1511393.1584000001"/>
    <n v="28.48"/>
  </r>
  <r>
    <s v="SIDDHARTH OILS, LUDHIANA (P.B)"/>
    <x v="2"/>
    <d v="2016-07-17T00:00:00"/>
    <n v="7"/>
    <x v="3"/>
    <n v="26.78"/>
    <n v="53300"/>
    <n v="1427374"/>
    <n v="0"/>
    <n v="0"/>
    <n v="0"/>
    <n v="0"/>
    <n v="1427374"/>
    <n v="0"/>
    <n v="0"/>
    <n v="1427374"/>
    <n v="26.78"/>
  </r>
  <r>
    <s v="DEEPCHAND ARYA INDUSTRIES, DELHI"/>
    <x v="2"/>
    <d v="2016-07-17T00:00:00"/>
    <n v="7"/>
    <x v="3"/>
    <n v="26.65"/>
    <n v="53500"/>
    <n v="1425775"/>
    <n v="0"/>
    <n v="0"/>
    <n v="0"/>
    <n v="0"/>
    <n v="1425775"/>
    <n v="0"/>
    <n v="0"/>
    <n v="1425775"/>
    <n v="26.65"/>
  </r>
  <r>
    <s v="AMARJIT OIL TRADERS, AMRITSAR (P.B) "/>
    <x v="2"/>
    <d v="2016-07-17T00:00:00"/>
    <n v="7"/>
    <x v="3"/>
    <n v="28.56"/>
    <n v="53300"/>
    <n v="1522248"/>
    <n v="0"/>
    <n v="0"/>
    <n v="0"/>
    <n v="0"/>
    <n v="1522248"/>
    <n v="0"/>
    <n v="0"/>
    <n v="1522248"/>
    <n v="28.56"/>
  </r>
  <r>
    <s v="RICELA HEALTH FOODS LIMITED, DHURI (P.B)"/>
    <x v="4"/>
    <d v="2016-07-17T00:00:00"/>
    <n v="7"/>
    <x v="3"/>
    <n v="27.61"/>
    <n v="53431.4"/>
    <n v="1475240.9539999999"/>
    <n v="0"/>
    <n v="0"/>
    <n v="0"/>
    <n v="0"/>
    <n v="1475240.9539999999"/>
    <n v="29504.819079999997"/>
    <n v="0"/>
    <n v="1504745.77308"/>
    <n v="27.61"/>
  </r>
  <r>
    <s v="GUJARAT AMBUJA EXPORTS LTD., KADI-MEHSANA (GUJARAT)"/>
    <x v="5"/>
    <d v="2016-07-18T00:00:00"/>
    <n v="7"/>
    <x v="3"/>
    <n v="28.38"/>
    <n v="54200"/>
    <n v="1538196"/>
    <n v="0"/>
    <n v="0"/>
    <n v="0"/>
    <n v="0"/>
    <n v="1538196"/>
    <n v="30763.920000000002"/>
    <n v="90816"/>
    <n v="1659775.92"/>
    <n v="28.38"/>
  </r>
  <r>
    <s v="RICELA HEALTH FOODS LIMITED, DHURI (P.B)"/>
    <x v="4"/>
    <d v="2016-07-18T00:00:00"/>
    <n v="7"/>
    <x v="3"/>
    <n v="27.24"/>
    <n v="53431.4"/>
    <n v="1455471.3359999999"/>
    <n v="0"/>
    <n v="0"/>
    <n v="0"/>
    <n v="0"/>
    <n v="1455471.3359999999"/>
    <n v="29109.426719999999"/>
    <n v="0"/>
    <n v="1484580.76272"/>
    <n v="27.24"/>
  </r>
  <r>
    <s v="HINDUSTAN OIL TRADERS, AMRITSAR (P.B) "/>
    <x v="0"/>
    <d v="2016-07-18T00:00:00"/>
    <n v="7"/>
    <x v="3"/>
    <n v="27.13"/>
    <n v="50336.03"/>
    <n v="1365616.4938999999"/>
    <n v="0"/>
    <n v="0"/>
    <n v="0"/>
    <n v="0"/>
    <n v="1365616.4938999999"/>
    <n v="0"/>
    <n v="0"/>
    <n v="1365616.4938999999"/>
    <n v="27.13"/>
  </r>
  <r>
    <s v="SIDDHARTH OILS, LUDHIANA (P.B)"/>
    <x v="0"/>
    <d v="2016-07-19T00:00:00"/>
    <n v="7"/>
    <x v="3"/>
    <n v="29.22"/>
    <n v="49000"/>
    <n v="1431780"/>
    <n v="0"/>
    <n v="0"/>
    <n v="0"/>
    <n v="0"/>
    <n v="1431780"/>
    <n v="0"/>
    <n v="0"/>
    <n v="1431780"/>
    <n v="29.22"/>
  </r>
  <r>
    <s v="JAI BHAGWATI AGRO OILS , LUDHIANA (P.B)"/>
    <x v="0"/>
    <d v="2016-07-19T00:00:00"/>
    <n v="7"/>
    <x v="3"/>
    <n v="26.66"/>
    <n v="49000"/>
    <n v="1306340"/>
    <n v="0"/>
    <n v="0"/>
    <n v="0"/>
    <n v="0"/>
    <n v="1306340"/>
    <n v="0"/>
    <n v="0"/>
    <n v="1306340"/>
    <n v="26.66"/>
  </r>
  <r>
    <s v="JAI BHAGWATI AGRO OILS , LUDHIANA (P.B)"/>
    <x v="0"/>
    <d v="2016-07-19T00:00:00"/>
    <n v="7"/>
    <x v="3"/>
    <n v="26.95"/>
    <n v="49000"/>
    <n v="1320550"/>
    <n v="0"/>
    <n v="0"/>
    <n v="0"/>
    <n v="0"/>
    <n v="1320550"/>
    <n v="0"/>
    <n v="0"/>
    <n v="1320550"/>
    <n v="26.95"/>
  </r>
  <r>
    <s v="HINDUSTAN OIL TRADERS, AMRITSAR (P.B) "/>
    <x v="0"/>
    <d v="2016-07-19T00:00:00"/>
    <n v="7"/>
    <x v="3"/>
    <n v="29.58"/>
    <n v="50067.67"/>
    <n v="1481001.6785999998"/>
    <n v="0"/>
    <n v="0"/>
    <n v="0"/>
    <n v="0"/>
    <n v="1481001.6785999998"/>
    <n v="0"/>
    <n v="0"/>
    <n v="1481001.6785999998"/>
    <n v="29.58"/>
  </r>
  <r>
    <s v="SIDDHARTH OILS, LUDHIANA (P.B)"/>
    <x v="2"/>
    <d v="2016-07-19T00:00:00"/>
    <n v="7"/>
    <x v="3"/>
    <n v="26.74"/>
    <n v="53300"/>
    <n v="1425242"/>
    <n v="0"/>
    <n v="0"/>
    <n v="0"/>
    <n v="0"/>
    <n v="1425242"/>
    <n v="0"/>
    <n v="0"/>
    <n v="1425242"/>
    <n v="26.74"/>
  </r>
  <r>
    <s v="SIDDHARTH OILS, LUDHIANA (P.B)"/>
    <x v="2"/>
    <d v="2016-07-19T00:00:00"/>
    <n v="7"/>
    <x v="3"/>
    <n v="27.42"/>
    <n v="53500"/>
    <n v="1466970"/>
    <n v="0"/>
    <n v="0"/>
    <n v="0"/>
    <n v="0"/>
    <n v="1466970"/>
    <n v="0"/>
    <n v="0"/>
    <n v="1466970"/>
    <n v="27.42"/>
  </r>
  <r>
    <s v="HORIZON OIL INDUSTRIES, LUDHIANA (P.B)"/>
    <x v="2"/>
    <d v="2016-07-19T00:00:00"/>
    <n v="7"/>
    <x v="3"/>
    <n v="26.88"/>
    <n v="55200"/>
    <n v="1483776"/>
    <n v="0"/>
    <n v="0"/>
    <n v="0"/>
    <n v="0"/>
    <n v="1483776"/>
    <n v="0"/>
    <n v="0"/>
    <n v="1483776"/>
    <n v="26.88"/>
  </r>
  <r>
    <s v="SIDDHARTH OILS, LUDHIANA (P.B)"/>
    <x v="2"/>
    <d v="2016-07-20T00:00:00"/>
    <n v="7"/>
    <x v="3"/>
    <n v="23.72"/>
    <n v="53316.74"/>
    <n v="1264673.0728"/>
    <n v="0"/>
    <n v="0"/>
    <n v="0"/>
    <n v="0"/>
    <n v="1264673.0728"/>
    <n v="0"/>
    <n v="0"/>
    <n v="1264673.0728"/>
    <n v="23.72"/>
  </r>
  <r>
    <s v="AMRITSAR OIL TRADERS, AMRITSAR (P.B) "/>
    <x v="2"/>
    <d v="2016-07-21T00:00:00"/>
    <n v="7"/>
    <x v="3"/>
    <n v="16.88"/>
    <n v="53300"/>
    <n v="899704"/>
    <n v="0"/>
    <n v="0"/>
    <n v="0"/>
    <n v="0"/>
    <n v="899704"/>
    <n v="0"/>
    <n v="0"/>
    <n v="899704"/>
    <n v="16.88"/>
  </r>
  <r>
    <s v="M.D. TRADING CO., LUDHIANA (P.B)"/>
    <x v="0"/>
    <d v="2016-07-22T00:00:00"/>
    <n v="7"/>
    <x v="3"/>
    <n v="31.02"/>
    <n v="51412.03"/>
    <n v="1594801.1705999998"/>
    <n v="0"/>
    <n v="0"/>
    <n v="0"/>
    <n v="0"/>
    <n v="1594801.1705999998"/>
    <n v="0"/>
    <n v="0"/>
    <n v="1594801.1705999998"/>
    <n v="31.02"/>
  </r>
  <r>
    <s v="SHREE GANPATI ENTERPRISES, AMRITSAR (P.B) "/>
    <x v="0"/>
    <d v="2016-07-22T00:00:00"/>
    <n v="7"/>
    <x v="3"/>
    <n v="20.53"/>
    <n v="49000"/>
    <n v="1005970"/>
    <n v="0"/>
    <n v="0"/>
    <n v="0"/>
    <n v="0"/>
    <n v="1005970"/>
    <n v="0"/>
    <n v="0"/>
    <n v="1005970"/>
    <n v="20.53"/>
  </r>
  <r>
    <s v="AMRITSAR OIL TRADERS, AMRITSAR (P.B) "/>
    <x v="2"/>
    <d v="2016-07-22T00:00:00"/>
    <n v="7"/>
    <x v="3"/>
    <n v="26.78"/>
    <n v="53340.26"/>
    <n v="1428452.1628"/>
    <n v="0"/>
    <n v="0"/>
    <n v="0"/>
    <n v="0"/>
    <n v="1428452.1628"/>
    <n v="0"/>
    <n v="0"/>
    <n v="1428452.1628"/>
    <n v="26.78"/>
  </r>
  <r>
    <s v="RICELA HEALTH FOODS LIMITED, DHURI (P.B)"/>
    <x v="4"/>
    <d v="2016-07-22T00:00:00"/>
    <n v="7"/>
    <x v="3"/>
    <n v="27.6"/>
    <n v="53431.4"/>
    <n v="1474706.6400000001"/>
    <n v="0"/>
    <n v="0"/>
    <n v="0"/>
    <n v="0"/>
    <n v="1474706.6400000001"/>
    <n v="29494.132800000003"/>
    <n v="0"/>
    <n v="1504200.7728000002"/>
    <n v="27.6"/>
  </r>
  <r>
    <s v="SURUCHI REFINERY PRIVATE LTD., PALADAM- COIMBATORE"/>
    <x v="1"/>
    <d v="2016-07-22T00:00:00"/>
    <n v="7"/>
    <x v="3"/>
    <n v="19.88"/>
    <n v="79411.7"/>
    <n v="1578704.5959999999"/>
    <n v="0"/>
    <n v="0"/>
    <n v="0"/>
    <n v="0"/>
    <n v="1578704.5959999999"/>
    <n v="31574.091919999999"/>
    <n v="0"/>
    <n v="1610278.6879199999"/>
    <n v="19.88"/>
  </r>
  <r>
    <s v="PUNJAB OILS, AMRITSAR (P.B) "/>
    <x v="6"/>
    <d v="2016-07-22T00:00:00"/>
    <n v="7"/>
    <x v="3"/>
    <n v="31.54"/>
    <n v="54800"/>
    <n v="1728392"/>
    <n v="0"/>
    <n v="0"/>
    <n v="0"/>
    <n v="0"/>
    <n v="1728392"/>
    <n v="0"/>
    <n v="0"/>
    <n v="1728392"/>
    <n v="31.54"/>
  </r>
  <r>
    <s v="PUNJAB OILS, AMRITSAR (P.B) "/>
    <x v="6"/>
    <d v="2016-07-22T00:00:00"/>
    <n v="7"/>
    <x v="3"/>
    <n v="30.26"/>
    <n v="54800"/>
    <n v="1658248"/>
    <n v="0"/>
    <n v="0"/>
    <n v="0"/>
    <n v="0"/>
    <n v="1658248"/>
    <n v="0"/>
    <n v="0"/>
    <n v="1658248"/>
    <n v="30.26"/>
  </r>
  <r>
    <s v="PUNJAB OILS, AMRITSAR (P.B) "/>
    <x v="6"/>
    <d v="2016-07-22T00:00:00"/>
    <n v="7"/>
    <x v="3"/>
    <n v="30.1"/>
    <n v="54800"/>
    <n v="1649480"/>
    <n v="0"/>
    <n v="0"/>
    <n v="0"/>
    <n v="0"/>
    <n v="1649480"/>
    <n v="0"/>
    <n v="0"/>
    <n v="1649480"/>
    <n v="30.1"/>
  </r>
  <r>
    <s v="PUNJAB OILS, AMRITSAR (P.B) "/>
    <x v="6"/>
    <d v="2016-07-22T00:00:00"/>
    <n v="7"/>
    <x v="3"/>
    <n v="25.82"/>
    <n v="54800"/>
    <n v="1414936"/>
    <n v="0"/>
    <n v="0"/>
    <n v="0"/>
    <n v="0"/>
    <n v="1414936"/>
    <n v="0"/>
    <n v="0"/>
    <n v="1414936"/>
    <n v="25.82"/>
  </r>
  <r>
    <s v="SIDDHARTH OILS, LUDHIANA (P.B)"/>
    <x v="2"/>
    <d v="2016-07-23T00:00:00"/>
    <n v="7"/>
    <x v="3"/>
    <n v="26.99"/>
    <n v="53500"/>
    <n v="1443965"/>
    <n v="0"/>
    <n v="0"/>
    <n v="0"/>
    <n v="0"/>
    <n v="1443965"/>
    <n v="0"/>
    <n v="0"/>
    <n v="1443965"/>
    <n v="26.99"/>
  </r>
  <r>
    <s v="HARKARAN DASS VEDPAL, LUDHIANA (P.B)"/>
    <x v="2"/>
    <d v="2016-07-23T00:00:00"/>
    <n v="7"/>
    <x v="3"/>
    <n v="26.93"/>
    <n v="50900"/>
    <n v="1370737"/>
    <n v="0"/>
    <n v="0"/>
    <n v="0"/>
    <n v="0"/>
    <n v="1370737"/>
    <n v="0"/>
    <n v="0"/>
    <n v="1370737"/>
    <n v="26.93"/>
  </r>
  <r>
    <s v="AMARJIT OIL TRADERS, AMRITSAR (P.B) "/>
    <x v="2"/>
    <d v="2016-07-24T00:00:00"/>
    <n v="7"/>
    <x v="4"/>
    <n v="26.77"/>
    <n v="53000"/>
    <n v="1418810"/>
    <n v="0"/>
    <n v="0"/>
    <n v="0"/>
    <n v="0"/>
    <n v="1418810"/>
    <n v="0"/>
    <n v="0"/>
    <n v="1418810"/>
    <n v="26.77"/>
  </r>
  <r>
    <s v="NOBLE NATURAL RESOURCES INDIA PVT.LTD.KUTCH, GUJARAT"/>
    <x v="0"/>
    <d v="2016-07-25T00:00:00"/>
    <n v="7"/>
    <x v="4"/>
    <n v="32.03"/>
    <n v="41500"/>
    <n v="1329245"/>
    <n v="0"/>
    <n v="166155.625"/>
    <n v="0"/>
    <n v="0"/>
    <n v="1495400.625"/>
    <n v="29908.012500000001"/>
    <n v="0"/>
    <n v="1525308.6375"/>
    <n v="32.03"/>
  </r>
  <r>
    <s v="DEEPCHAND ARYA INDUSTRIES, DELHI"/>
    <x v="0"/>
    <d v="2016-07-25T00:00:00"/>
    <n v="7"/>
    <x v="4"/>
    <n v="28.41"/>
    <n v="49268.11"/>
    <n v="1399707.0051"/>
    <n v="0"/>
    <n v="0"/>
    <n v="0"/>
    <n v="0"/>
    <n v="1399707.0051"/>
    <n v="0"/>
    <n v="0"/>
    <n v="1399707.0051"/>
    <n v="28.41"/>
  </r>
  <r>
    <s v="DEEPCHAND ARYA INDUSTRIES, DELHI"/>
    <x v="0"/>
    <d v="2016-07-25T00:00:00"/>
    <n v="7"/>
    <x v="4"/>
    <n v="30.95"/>
    <n v="49000"/>
    <n v="1516550"/>
    <n v="0"/>
    <n v="0"/>
    <n v="0"/>
    <n v="0"/>
    <n v="1516550"/>
    <n v="0"/>
    <n v="0"/>
    <n v="1516550"/>
    <n v="30.95"/>
  </r>
  <r>
    <s v="AMARJIT OIL TRADERS, AMRITSAR (P.B) "/>
    <x v="2"/>
    <d v="2016-07-25T00:00:00"/>
    <n v="7"/>
    <x v="4"/>
    <n v="26.79"/>
    <n v="53216.59"/>
    <n v="1425672.4460999998"/>
    <n v="0"/>
    <n v="0"/>
    <n v="0"/>
    <n v="0"/>
    <n v="1425672.4460999998"/>
    <n v="0"/>
    <n v="0"/>
    <n v="1425672.4460999998"/>
    <n v="26.79"/>
  </r>
  <r>
    <s v="RICELA HEALTH FOODS LIMITED, DHURI (P.B)"/>
    <x v="4"/>
    <d v="2016-07-26T00:00:00"/>
    <n v="7"/>
    <x v="4"/>
    <n v="29.54"/>
    <n v="53431.4"/>
    <n v="1578363.5560000001"/>
    <n v="0"/>
    <n v="0"/>
    <n v="0"/>
    <n v="0"/>
    <n v="1578363.5560000001"/>
    <n v="31567.271120000001"/>
    <n v="0"/>
    <n v="1609930.82712"/>
    <n v="29.54"/>
  </r>
  <r>
    <s v="AMARJIT OIL TRADERS, AMRITSAR (P.B) "/>
    <x v="2"/>
    <d v="2016-07-26T00:00:00"/>
    <n v="7"/>
    <x v="4"/>
    <n v="20"/>
    <n v="53000"/>
    <n v="1060000"/>
    <n v="0"/>
    <n v="0"/>
    <n v="0"/>
    <n v="0"/>
    <n v="1060000"/>
    <n v="0"/>
    <n v="0"/>
    <n v="1060000"/>
    <n v="20"/>
  </r>
  <r>
    <s v="HARKARAN DASS VEDPAL, LUDHIANA (P.B)"/>
    <x v="2"/>
    <d v="2016-07-26T00:00:00"/>
    <n v="7"/>
    <x v="4"/>
    <n v="28.07"/>
    <n v="53057.4"/>
    <n v="1489321.2180000001"/>
    <n v="0"/>
    <n v="0"/>
    <n v="0"/>
    <n v="0"/>
    <n v="1489321.2180000001"/>
    <n v="0"/>
    <n v="0"/>
    <n v="1489321.2180000001"/>
    <n v="28.07"/>
  </r>
  <r>
    <s v="AMRITSAR OIL TRADERS, AMRITSAR (P.B) "/>
    <x v="2"/>
    <d v="2016-07-27T00:00:00"/>
    <n v="7"/>
    <x v="4"/>
    <n v="26.85"/>
    <n v="53206.48"/>
    <n v="1428593.9880000001"/>
    <n v="0"/>
    <n v="0"/>
    <n v="0"/>
    <n v="0"/>
    <n v="1428593.9880000001"/>
    <n v="0"/>
    <n v="0"/>
    <n v="1428593.9880000001"/>
    <n v="26.85"/>
  </r>
  <r>
    <s v="NOBLE NATURAL RESOURCES INDIA PVT.LTD.KUTCH, GUJARAT"/>
    <x v="0"/>
    <d v="2016-07-30T00:00:00"/>
    <n v="7"/>
    <x v="4"/>
    <n v="29.76"/>
    <n v="41500"/>
    <n v="1235040"/>
    <n v="0"/>
    <n v="154380"/>
    <n v="0"/>
    <n v="0"/>
    <n v="1389420"/>
    <n v="27788.400000000001"/>
    <n v="0"/>
    <n v="1417208.4"/>
    <n v="29.76"/>
  </r>
  <r>
    <s v="DEEPCHAND ARYA INDUSTRIES, DELHI"/>
    <x v="0"/>
    <d v="2016-07-27T00:00:00"/>
    <n v="7"/>
    <x v="4"/>
    <n v="27.64"/>
    <n v="49594.98"/>
    <n v="1370805.2472000001"/>
    <n v="0"/>
    <n v="0"/>
    <n v="0"/>
    <n v="0"/>
    <n v="1370805.2472000001"/>
    <n v="0"/>
    <n v="0"/>
    <n v="1370805.2472000001"/>
    <n v="27.64"/>
  </r>
  <r>
    <s v="RICELA HEALTH FOODS LIMITED, DHURI (P.B)"/>
    <x v="4"/>
    <d v="2016-07-28T00:00:00"/>
    <n v="7"/>
    <x v="4"/>
    <n v="29.93"/>
    <n v="53431.4"/>
    <n v="1599201.8020000001"/>
    <n v="0"/>
    <n v="0"/>
    <n v="0"/>
    <n v="0"/>
    <n v="1599201.8020000001"/>
    <n v="31984.036040000003"/>
    <n v="0"/>
    <n v="1631185.8380400001"/>
    <n v="29.93"/>
  </r>
  <r>
    <s v="SHREE GANPATI ENTERPRISES, AMRITSAR (P.B) "/>
    <x v="2"/>
    <d v="2016-07-28T00:00:00"/>
    <n v="7"/>
    <x v="4"/>
    <n v="30.9"/>
    <n v="53500"/>
    <n v="1653150"/>
    <n v="0"/>
    <n v="0"/>
    <n v="0"/>
    <n v="0"/>
    <n v="1653150"/>
    <n v="0"/>
    <n v="0"/>
    <n v="1653150"/>
    <n v="30.9"/>
  </r>
  <r>
    <s v="PUNJAB OILS, AMRITSAR (P.B) "/>
    <x v="2"/>
    <d v="2016-07-28T00:00:00"/>
    <n v="7"/>
    <x v="4"/>
    <n v="34.24"/>
    <n v="53447.39"/>
    <n v="1830038.6336000001"/>
    <n v="0"/>
    <n v="0"/>
    <n v="0"/>
    <n v="0"/>
    <n v="1830038.6336000001"/>
    <n v="0"/>
    <n v="0"/>
    <n v="1830038.6336000001"/>
    <n v="34.24"/>
  </r>
  <r>
    <s v="SRI VENKATA SRINIVASA OILS PVT. LTD.,GULLAPADU (A.P)"/>
    <x v="6"/>
    <d v="2016-07-28T00:00:00"/>
    <n v="7"/>
    <x v="4"/>
    <n v="18.510000000000002"/>
    <n v="47647.07"/>
    <n v="881947.26570000011"/>
    <n v="0"/>
    <n v="0"/>
    <n v="0"/>
    <n v="0"/>
    <n v="881947.26570000011"/>
    <n v="17638.945314000004"/>
    <n v="114762.00000000001"/>
    <n v="1014348.2110140001"/>
    <n v="18.510000000000002"/>
  </r>
  <r>
    <s v="SRI VENKATA SRINIVASA OILS PVT. LTD.,GULLAPADU (A.P)"/>
    <x v="6"/>
    <d v="2016-07-28T00:00:00"/>
    <n v="7"/>
    <x v="4"/>
    <n v="20.32"/>
    <n v="47647.07"/>
    <n v="968188.46239999996"/>
    <n v="0"/>
    <n v="0"/>
    <n v="0"/>
    <n v="0"/>
    <n v="968188.46239999996"/>
    <n v="19363.769248000001"/>
    <n v="125984"/>
    <n v="1113536.231648"/>
    <n v="20.32"/>
  </r>
  <r>
    <s v="SRI VENKATA SRINIVASA OILS PVT. LTD.,GULLAPADU (A.P)"/>
    <x v="6"/>
    <d v="2016-07-28T00:00:00"/>
    <n v="7"/>
    <x v="4"/>
    <n v="20.21"/>
    <n v="47647.07"/>
    <n v="962947.28470000008"/>
    <n v="0"/>
    <n v="0"/>
    <n v="0"/>
    <n v="0"/>
    <n v="962947.28470000008"/>
    <n v="19258.945694000002"/>
    <n v="125302"/>
    <n v="1107508.2303940002"/>
    <n v="20.21"/>
  </r>
  <r>
    <s v="SRI VENKATA SRINIVASA OILS PVT. LTD.,GULLAPADU (A.P)"/>
    <x v="6"/>
    <d v="2016-07-30T00:00:00"/>
    <n v="7"/>
    <x v="4"/>
    <n v="19.440000000000001"/>
    <n v="47647.07"/>
    <n v="926259.04080000008"/>
    <n v="0"/>
    <n v="0"/>
    <n v="0"/>
    <n v="0"/>
    <n v="926259.04080000008"/>
    <n v="18525.180816000004"/>
    <n v="120528.00000000001"/>
    <n v="1065312.2216160002"/>
    <n v="19.440000000000001"/>
  </r>
  <r>
    <s v="PUNJAB OILS, AMRITSAR (P.B) "/>
    <x v="2"/>
    <d v="2016-07-27T00:00:00"/>
    <n v="7"/>
    <x v="4"/>
    <n v="20.100000000000001"/>
    <n v="53416.23"/>
    <n v="1073666.2230000002"/>
    <n v="0"/>
    <n v="0"/>
    <n v="0"/>
    <n v="0"/>
    <n v="1073666.2230000002"/>
    <n v="0"/>
    <n v="0"/>
    <n v="1073666.2230000002"/>
    <n v="20.100000000000001"/>
  </r>
  <r>
    <s v="HARKARAN DASS VEDPAL, NOIDA (U.P)"/>
    <x v="0"/>
    <d v="2016-07-31T00:00:00"/>
    <n v="7"/>
    <x v="5"/>
    <n v="20.77"/>
    <n v="49714.33"/>
    <n v="1032566.6341"/>
    <n v="0"/>
    <n v="0"/>
    <n v="0"/>
    <n v="0"/>
    <n v="1032566.6341"/>
    <n v="0"/>
    <n v="0"/>
    <n v="1032566.6341"/>
    <n v="20.77"/>
  </r>
  <r>
    <s v="DEEPCHAND ARYA INDUSTRIES, DELHI"/>
    <x v="2"/>
    <d v="2016-07-31T00:00:00"/>
    <n v="7"/>
    <x v="5"/>
    <n v="27.45"/>
    <n v="51448.81"/>
    <n v="1412269.8344999999"/>
    <n v="0"/>
    <n v="0"/>
    <n v="0"/>
    <n v="0"/>
    <n v="1412269.8344999999"/>
    <n v="0"/>
    <n v="0"/>
    <n v="1412269.8344999999"/>
    <n v="27.45"/>
  </r>
  <r>
    <s v="SHREE GANPATI ENTERPRISES, AMRITSAR (P.B) "/>
    <x v="2"/>
    <d v="2016-07-31T00:00:00"/>
    <n v="7"/>
    <x v="5"/>
    <n v="28.6"/>
    <n v="53500"/>
    <n v="1530100"/>
    <n v="0"/>
    <n v="0"/>
    <n v="0"/>
    <n v="0"/>
    <n v="1530100"/>
    <n v="0"/>
    <n v="0"/>
    <n v="1530100"/>
    <n v="28.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3">
  <r>
    <s v="SHREE GANPATI ENTERPRISES, AMRITSAR (P.B) "/>
    <x v="0"/>
    <d v="2016-06-01T00:00:00"/>
    <n v="6"/>
    <x v="0"/>
    <n v="24.64"/>
    <n v="50300"/>
    <n v="1239392"/>
    <n v="0"/>
    <n v="0"/>
    <n v="0"/>
    <n v="0"/>
    <n v="1239392"/>
    <n v="0"/>
    <n v="0"/>
    <n v="1239392"/>
    <n v="24.64"/>
  </r>
  <r>
    <s v="SIDDHARTH OILS, LUDHIANA (P.B)"/>
    <x v="0"/>
    <d v="2016-06-01T00:00:00"/>
    <n v="6"/>
    <x v="0"/>
    <n v="27.61"/>
    <n v="49345.37"/>
    <n v="1365879.8416000002"/>
    <n v="0"/>
    <n v="0"/>
    <n v="0"/>
    <n v="0"/>
    <n v="1365879.8416000002"/>
    <n v="0"/>
    <n v="0"/>
    <n v="1365879.8416000002"/>
    <n v="27.61"/>
  </r>
  <r>
    <s v="SIDDHARTH OILS, LUDHIANA (P.B)"/>
    <x v="0"/>
    <d v="2016-06-01T00:00:00"/>
    <n v="6"/>
    <x v="0"/>
    <n v="18.649999999999999"/>
    <n v="48500"/>
    <n v="907192.49999999988"/>
    <n v="0"/>
    <n v="0"/>
    <n v="0"/>
    <n v="0"/>
    <n v="907192.49999999988"/>
    <n v="0"/>
    <n v="0"/>
    <n v="907192.49999999988"/>
    <n v="18.649999999999999"/>
  </r>
  <r>
    <s v="SIDDHARTH OILS, LUDHIANA (P.B)"/>
    <x v="1"/>
    <d v="2016-06-02T00:00:00"/>
    <n v="6"/>
    <x v="0"/>
    <n v="27.91"/>
    <n v="54500"/>
    <n v="1523547.5"/>
    <n v="0"/>
    <n v="0"/>
    <n v="0"/>
    <n v="0"/>
    <n v="1523547.5"/>
    <n v="0"/>
    <n v="0"/>
    <n v="1523547.5"/>
    <n v="27.91"/>
  </r>
  <r>
    <s v="SIDDHARTH OILS, LUDHIANA (P.B)"/>
    <x v="1"/>
    <d v="2016-06-02T00:00:00"/>
    <n v="6"/>
    <x v="0"/>
    <n v="29.28"/>
    <n v="50288.02"/>
    <n v="1476707.7072999999"/>
    <n v="0"/>
    <n v="0"/>
    <n v="0"/>
    <n v="0"/>
    <n v="1476707.7072999999"/>
    <n v="0"/>
    <n v="0"/>
    <n v="1476707.7072999999"/>
    <n v="29.28"/>
  </r>
  <r>
    <s v="SIDDHARTH OILS, LUDHIANA (P.B)"/>
    <x v="0"/>
    <d v="2016-06-02T00:00:00"/>
    <n v="6"/>
    <x v="0"/>
    <n v="19.37"/>
    <n v="50300"/>
    <n v="978335"/>
    <n v="0"/>
    <n v="0"/>
    <n v="0"/>
    <n v="0"/>
    <n v="978335"/>
    <n v="0"/>
    <n v="0"/>
    <n v="978335"/>
    <n v="19.37"/>
  </r>
  <r>
    <s v="SIDDHARTH OILS, LUDHIANA (P.B)"/>
    <x v="0"/>
    <d v="2016-06-02T00:00:00"/>
    <n v="6"/>
    <x v="0"/>
    <n v="27.72"/>
    <n v="50300"/>
    <n v="1396328"/>
    <n v="0"/>
    <n v="0"/>
    <n v="0"/>
    <n v="0"/>
    <n v="1396328"/>
    <n v="0"/>
    <n v="0"/>
    <n v="1396328"/>
    <n v="27.72"/>
  </r>
  <r>
    <s v="RICELA HEALTH FOODS LIMITED, DHURI (P.B)"/>
    <x v="2"/>
    <d v="2016-06-02T00:00:00"/>
    <n v="6"/>
    <x v="0"/>
    <n v="27.5"/>
    <n v="50000"/>
    <n v="1380000"/>
    <n v="0"/>
    <n v="0"/>
    <n v="0"/>
    <n v="0"/>
    <n v="1380000"/>
    <n v="27600"/>
    <n v="0"/>
    <n v="1407600"/>
    <n v="27.5"/>
  </r>
  <r>
    <s v="PT. VVF INDONESIA,DELI SERDANG,MEDAN,INDONESIA"/>
    <x v="3"/>
    <d v="2016-06-03T00:00:00"/>
    <n v="6"/>
    <x v="0"/>
    <n v="21.51"/>
    <n v="76186.11"/>
    <n v="1638763.2261000001"/>
    <n v="0"/>
    <n v="0"/>
    <n v="0"/>
    <n v="0"/>
    <n v="1638763.2261000001"/>
    <n v="0"/>
    <n v="34416"/>
    <n v="1673179.2261000001"/>
    <n v="21.51"/>
  </r>
  <r>
    <s v="PT. VVF INDONESIA,DELI SERDANG,MEDAN,INDONESIA"/>
    <x v="3"/>
    <d v="2016-06-03T00:00:00"/>
    <n v="6"/>
    <x v="0"/>
    <n v="21.52"/>
    <n v="76186.11"/>
    <n v="1639525.0872"/>
    <n v="0"/>
    <n v="0"/>
    <n v="0"/>
    <n v="0"/>
    <n v="1639525.0872"/>
    <n v="0"/>
    <n v="34432"/>
    <n v="1673957.0872"/>
    <n v="21.52"/>
  </r>
  <r>
    <s v="PT. VVF INDONESIA,DELI SERDANG,MEDAN,INDONESIA"/>
    <x v="3"/>
    <d v="2016-06-03T00:00:00"/>
    <n v="6"/>
    <x v="0"/>
    <n v="21.54"/>
    <n v="76186.11"/>
    <n v="1641048.8093999999"/>
    <n v="0"/>
    <n v="0"/>
    <n v="0"/>
    <n v="0"/>
    <n v="1641048.8093999999"/>
    <n v="0"/>
    <n v="34464"/>
    <n v="1675512.8093999999"/>
    <n v="21.54"/>
  </r>
  <r>
    <s v="PT. VVF INDONESIA,DELI SERDANG,MEDAN,INDONESIA"/>
    <x v="3"/>
    <d v="2016-06-03T00:00:00"/>
    <n v="6"/>
    <x v="0"/>
    <n v="21.53"/>
    <n v="76186.11"/>
    <n v="1640286.9483"/>
    <n v="0"/>
    <n v="0"/>
    <n v="0"/>
    <n v="0"/>
    <n v="1640286.9483"/>
    <n v="0"/>
    <n v="34448"/>
    <n v="1674734.9483"/>
    <n v="21.53"/>
  </r>
  <r>
    <s v="PT. VVF INDONESIA,DELI SERDANG,MEDAN,INDONESIA"/>
    <x v="3"/>
    <d v="2016-06-03T00:00:00"/>
    <n v="6"/>
    <x v="0"/>
    <n v="21.54"/>
    <n v="76186.11"/>
    <n v="1641048.8093999999"/>
    <n v="0"/>
    <n v="0"/>
    <n v="0"/>
    <n v="0"/>
    <n v="1641048.8093999999"/>
    <n v="0"/>
    <n v="34464"/>
    <n v="1675512.8093999999"/>
    <n v="21.54"/>
  </r>
  <r>
    <s v="PT. VVF INDONESIA,DELI SERDANG,MEDAN,INDONESIA"/>
    <x v="3"/>
    <d v="2016-06-03T00:00:00"/>
    <n v="6"/>
    <x v="0"/>
    <n v="21.5"/>
    <n v="76186.11"/>
    <n v="1638001.365"/>
    <n v="0"/>
    <n v="0"/>
    <n v="0"/>
    <n v="0"/>
    <n v="1638001.365"/>
    <n v="0"/>
    <n v="34400"/>
    <n v="1672401.365"/>
    <n v="21.5"/>
  </r>
  <r>
    <s v="HARKARAN DASS VEDPAL, LUDHIANA (P.B)"/>
    <x v="1"/>
    <d v="2016-06-03T00:00:00"/>
    <n v="6"/>
    <x v="0"/>
    <n v="26.96"/>
    <n v="53385.18"/>
    <n v="1441399.86"/>
    <n v="0"/>
    <n v="0"/>
    <n v="0"/>
    <n v="0"/>
    <n v="1441399.86"/>
    <n v="0"/>
    <n v="0"/>
    <n v="1441399.86"/>
    <n v="26.96"/>
  </r>
  <r>
    <s v="J.D TRADING CO., LUDHIANA (P.B)"/>
    <x v="1"/>
    <d v="2016-06-03T00:00:00"/>
    <n v="6"/>
    <x v="0"/>
    <n v="30.71"/>
    <n v="54759.49"/>
    <n v="1686044.6971"/>
    <n v="0"/>
    <n v="0"/>
    <n v="0"/>
    <n v="0"/>
    <n v="1686044.6971"/>
    <n v="0"/>
    <n v="0"/>
    <n v="1686044.6971"/>
    <n v="30.71"/>
  </r>
  <r>
    <s v="JAI BHAGWATI AGRO OILS , LUDHIANA (P.B)"/>
    <x v="1"/>
    <d v="2016-06-04T00:00:00"/>
    <n v="6"/>
    <x v="0"/>
    <n v="30.89"/>
    <n v="56000"/>
    <n v="1733480"/>
    <n v="0"/>
    <n v="0"/>
    <n v="0"/>
    <n v="0"/>
    <n v="1733480"/>
    <n v="0"/>
    <n v="0"/>
    <n v="1733480"/>
    <n v="30.89"/>
  </r>
  <r>
    <s v="M.D. TRADING CO., LUDHIANA (P.B)"/>
    <x v="1"/>
    <d v="2016-06-04T00:00:00"/>
    <n v="6"/>
    <x v="0"/>
    <n v="27.36"/>
    <n v="53500"/>
    <n v="1470180"/>
    <n v="0"/>
    <n v="0"/>
    <n v="0"/>
    <n v="0"/>
    <n v="1470180"/>
    <n v="0"/>
    <n v="0"/>
    <n v="1470180"/>
    <n v="27.36"/>
  </r>
  <r>
    <s v="HARKARAN DASS VEDPAL, LUDHIANA (P.B)"/>
    <x v="1"/>
    <d v="2016-06-04T00:00:00"/>
    <n v="6"/>
    <x v="0"/>
    <n v="31.06"/>
    <n v="53000"/>
    <n v="1649890"/>
    <n v="0"/>
    <n v="0"/>
    <n v="0"/>
    <n v="0"/>
    <n v="1649890"/>
    <n v="0"/>
    <n v="0"/>
    <n v="1649890"/>
    <n v="31.06"/>
  </r>
  <r>
    <s v="DEEPCHAND ARYA INDUSTRIES, DELHI"/>
    <x v="1"/>
    <d v="2016-06-04T00:00:00"/>
    <n v="6"/>
    <x v="0"/>
    <n v="19.920000000000002"/>
    <n v="54600"/>
    <n v="1091454"/>
    <n v="0"/>
    <n v="0"/>
    <n v="0"/>
    <n v="0"/>
    <n v="1091454"/>
    <n v="0"/>
    <n v="0"/>
    <n v="1091454"/>
    <n v="19.920000000000002"/>
  </r>
  <r>
    <s v="S.R.A. TRADE LINKS, DELHI"/>
    <x v="0"/>
    <d v="2016-06-04T00:00:00"/>
    <n v="6"/>
    <x v="0"/>
    <n v="21.4"/>
    <n v="51000"/>
    <n v="1094460"/>
    <n v="0"/>
    <n v="0"/>
    <n v="0"/>
    <n v="0"/>
    <n v="1094460"/>
    <n v="0"/>
    <n v="0"/>
    <n v="1094460"/>
    <n v="21.4"/>
  </r>
  <r>
    <s v="DEEPCHAND ARYA INDUSTRIES, DELHI"/>
    <x v="1"/>
    <d v="2015-06-05T00:00:00"/>
    <n v="6"/>
    <x v="0"/>
    <n v="28.63"/>
    <n v="53000"/>
    <n v="1527460"/>
    <n v="0"/>
    <n v="0"/>
    <n v="0"/>
    <n v="0"/>
    <n v="1527460"/>
    <n v="0"/>
    <n v="0"/>
    <n v="1527460"/>
    <n v="28.63"/>
  </r>
  <r>
    <s v="HARKARAN DASS VEDPAL, LUDHIANA (P.B)"/>
    <x v="1"/>
    <d v="2015-06-05T00:00:00"/>
    <n v="6"/>
    <x v="0"/>
    <n v="29.28"/>
    <n v="53000"/>
    <n v="1554225"/>
    <n v="0"/>
    <n v="0"/>
    <n v="0"/>
    <n v="0"/>
    <n v="1554225"/>
    <n v="0"/>
    <n v="0"/>
    <n v="1554225"/>
    <n v="29.28"/>
  </r>
  <r>
    <s v="SIDDHARTH OILS, LUDHIANA (P.B)"/>
    <x v="1"/>
    <d v="2015-06-05T00:00:00"/>
    <n v="6"/>
    <x v="0"/>
    <n v="38.11"/>
    <n v="55800"/>
    <n v="2130444"/>
    <n v="0"/>
    <n v="0"/>
    <n v="0"/>
    <n v="0"/>
    <n v="2130444"/>
    <n v="0"/>
    <n v="0"/>
    <n v="2130444"/>
    <n v="38.11"/>
  </r>
  <r>
    <s v="JAI BHAGWATI AGRO OILS , LUDHIANA (P.B)"/>
    <x v="1"/>
    <d v="2015-06-05T00:00:00"/>
    <n v="6"/>
    <x v="0"/>
    <n v="30.55"/>
    <n v="56000"/>
    <n v="1719480"/>
    <n v="0"/>
    <n v="0"/>
    <n v="0"/>
    <n v="0"/>
    <n v="1719480"/>
    <n v="0"/>
    <n v="0"/>
    <n v="1719480"/>
    <n v="30.55"/>
  </r>
  <r>
    <s v="ASIAN FOOD INGREDIENTS SDN.BHD.,MALAYSIA"/>
    <x v="4"/>
    <d v="2016-06-06T00:00:00"/>
    <n v="6"/>
    <x v="1"/>
    <n v="19.39"/>
    <n v="50860.57"/>
    <n v="986186.4523"/>
    <n v="0"/>
    <n v="123273.3065375"/>
    <n v="2465.46613075"/>
    <n v="1232.733065375"/>
    <n v="1113157.958033625"/>
    <n v="0"/>
    <n v="44526.318321345003"/>
    <n v="1157684.2763549699"/>
    <n v="19.39"/>
  </r>
  <r>
    <s v="ASIAN FOOD INGREDIENTS SDN.BHD.,MALAYSIA"/>
    <x v="4"/>
    <d v="2016-06-06T00:00:00"/>
    <n v="6"/>
    <x v="1"/>
    <n v="20.47"/>
    <n v="50860.57"/>
    <n v="1041115.8679"/>
    <n v="0"/>
    <n v="130139.48348749999"/>
    <n v="2602.78966975"/>
    <n v="1301.394834875"/>
    <n v="1175159.535892125"/>
    <n v="0"/>
    <n v="47006.381435684991"/>
    <n v="1222165.9173278101"/>
    <n v="20.47"/>
  </r>
  <r>
    <s v="ASIAN FOOD INGREDIENTS SDN.BHD.,MALAYSIA"/>
    <x v="4"/>
    <d v="2016-06-06T00:00:00"/>
    <n v="6"/>
    <x v="1"/>
    <n v="20.49"/>
    <n v="50860.57"/>
    <n v="1042133.0792999999"/>
    <n v="0"/>
    <n v="130266.63491249998"/>
    <n v="2605.3326982499998"/>
    <n v="1302.6663491249999"/>
    <n v="1176307.7132598748"/>
    <n v="0"/>
    <n v="47052.308530394992"/>
    <n v="1223360.0217902698"/>
    <n v="20.49"/>
  </r>
  <r>
    <s v="ASIAN FOOD INGREDIENTS SDN.BHD.,MALAYSIA"/>
    <x v="4"/>
    <d v="2016-06-06T00:00:00"/>
    <n v="6"/>
    <x v="1"/>
    <n v="19.38"/>
    <n v="50860.57"/>
    <n v="985677.84659999993"/>
    <n v="0"/>
    <n v="123209.73082499999"/>
    <n v="2464.1946164999999"/>
    <n v="1232.09730825"/>
    <n v="1112583.86934975"/>
    <n v="0"/>
    <n v="44503.354773990002"/>
    <n v="1157087.2241237401"/>
    <n v="19.38"/>
  </r>
  <r>
    <s v="ASIAN FOOD INGREDIENTS SDN.BHD.,MALAYSIA"/>
    <x v="4"/>
    <d v="2016-06-06T00:00:00"/>
    <n v="6"/>
    <x v="1"/>
    <n v="20.49"/>
    <n v="50860.57"/>
    <n v="1042133.0792999999"/>
    <n v="0"/>
    <n v="130266.63491249998"/>
    <n v="2605.3326982499998"/>
    <n v="1302.6663491249999"/>
    <n v="1176307.7132598748"/>
    <n v="0"/>
    <n v="47052.308530394992"/>
    <n v="1223360.0217902698"/>
    <n v="20.49"/>
  </r>
  <r>
    <s v="ASIAN FOOD INGREDIENTS SDN.BHD.,MALAYSIA"/>
    <x v="4"/>
    <d v="2016-06-06T00:00:00"/>
    <n v="6"/>
    <x v="1"/>
    <n v="20.48"/>
    <n v="50860.57"/>
    <n v="1041624.4736"/>
    <n v="0"/>
    <n v="130203.0592"/>
    <n v="2604.0611840000001"/>
    <n v="1302.0305920000001"/>
    <n v="1175733.624576"/>
    <n v="0"/>
    <n v="47029.344983039999"/>
    <n v="1222762.9695590399"/>
    <n v="20.48"/>
  </r>
  <r>
    <s v="ASIAN FOOD INGREDIENTS SDN.BHD.,MALAYSIA"/>
    <x v="4"/>
    <d v="2016-06-06T00:00:00"/>
    <n v="6"/>
    <x v="1"/>
    <n v="19.079999999999998"/>
    <n v="50860.57"/>
    <n v="970419.67559999996"/>
    <n v="0"/>
    <n v="121302.45944999999"/>
    <n v="2426.0491889999998"/>
    <n v="1213.0245944999999"/>
    <n v="1095361.2088335"/>
    <n v="0"/>
    <n v="43814.448353339991"/>
    <n v="1139175.65718684"/>
    <n v="19.079999999999998"/>
  </r>
  <r>
    <s v="SIDDHARTH OILS, LUDHIANA (P.B)"/>
    <x v="1"/>
    <d v="2016-06-06T00:00:00"/>
    <n v="6"/>
    <x v="1"/>
    <n v="29.85"/>
    <n v="55800"/>
    <n v="1671768"/>
    <n v="0"/>
    <n v="0"/>
    <n v="0"/>
    <n v="0"/>
    <n v="1671768"/>
    <n v="0"/>
    <n v="0"/>
    <n v="1671768"/>
    <n v="29.85"/>
  </r>
  <r>
    <s v="J.D TRADING CO., LUDHIANA (P.B)"/>
    <x v="1"/>
    <d v="2016-06-06T00:00:00"/>
    <n v="6"/>
    <x v="1"/>
    <n v="27.15"/>
    <n v="54300"/>
    <n v="1478589"/>
    <n v="0"/>
    <n v="0"/>
    <n v="0"/>
    <n v="0"/>
    <n v="1478589"/>
    <n v="0"/>
    <n v="0"/>
    <n v="1478589"/>
    <n v="27.15"/>
  </r>
  <r>
    <s v="JAI BHAGWATI AGRO OILS , LUDHIANA (P.B)"/>
    <x v="1"/>
    <d v="2016-06-06T00:00:00"/>
    <n v="6"/>
    <x v="1"/>
    <n v="29.07"/>
    <n v="56000"/>
    <n v="1632680"/>
    <n v="0"/>
    <n v="0"/>
    <n v="0"/>
    <n v="0"/>
    <n v="1632680"/>
    <n v="0"/>
    <n v="0"/>
    <n v="1632680"/>
    <n v="29.07"/>
  </r>
  <r>
    <s v="DEEPCHAND ARYA INDUSTRIES, DELHI"/>
    <x v="1"/>
    <d v="2016-06-06T00:00:00"/>
    <n v="6"/>
    <x v="1"/>
    <n v="20.100000000000001"/>
    <n v="53000"/>
    <n v="1065300"/>
    <n v="0"/>
    <n v="0"/>
    <n v="0"/>
    <n v="0"/>
    <n v="1065300"/>
    <n v="0"/>
    <n v="0"/>
    <n v="1065300"/>
    <n v="20.100000000000001"/>
  </r>
  <r>
    <s v="DEEPCHAND ARYA INDUSTRIES, DELHI"/>
    <x v="1"/>
    <d v="2016-06-06T00:00:00"/>
    <n v="6"/>
    <x v="1"/>
    <n v="21.67"/>
    <n v="53000"/>
    <n v="1148510"/>
    <n v="0"/>
    <n v="0"/>
    <n v="0"/>
    <n v="0"/>
    <n v="1148510"/>
    <n v="0"/>
    <n v="0"/>
    <n v="1148510"/>
    <n v="21.67"/>
  </r>
  <r>
    <s v="PUNJAB OILS, AMRITSAR (P.B) "/>
    <x v="1"/>
    <d v="2016-06-07T00:00:00"/>
    <n v="6"/>
    <x v="1"/>
    <n v="27.6"/>
    <n v="53000"/>
    <n v="1466510"/>
    <n v="0"/>
    <n v="0"/>
    <n v="0"/>
    <n v="0"/>
    <n v="1466510"/>
    <n v="0"/>
    <n v="0"/>
    <n v="1466510"/>
    <n v="27.6"/>
  </r>
  <r>
    <s v="HARKARAN DASS VEDPAL, NOIDA (U.P)"/>
    <x v="0"/>
    <d v="2016-06-07T00:00:00"/>
    <n v="6"/>
    <x v="1"/>
    <n v="31.43"/>
    <n v="50300"/>
    <n v="1585204.5"/>
    <n v="0"/>
    <n v="0"/>
    <n v="0"/>
    <n v="0"/>
    <n v="1585204.5"/>
    <n v="0"/>
    <n v="0"/>
    <n v="1585204.5"/>
    <n v="31.43"/>
  </r>
  <r>
    <s v="DEEPCHAND ARYA INDUSTRIES, DELHI"/>
    <x v="1"/>
    <d v="2016-06-07T00:00:00"/>
    <n v="6"/>
    <x v="1"/>
    <n v="20.329999999999998"/>
    <n v="53000"/>
    <n v="1077490"/>
    <n v="0"/>
    <n v="0"/>
    <n v="0"/>
    <n v="0"/>
    <n v="1077490"/>
    <n v="0"/>
    <n v="0"/>
    <n v="1077490"/>
    <n v="20.329999999999998"/>
  </r>
  <r>
    <s v="RICELA HEALTH FOODS LIMITED, DHURI (P.B)"/>
    <x v="2"/>
    <d v="2016-06-07T00:00:00"/>
    <n v="6"/>
    <x v="1"/>
    <n v="27.1"/>
    <n v="50000"/>
    <n v="1359000"/>
    <n v="0"/>
    <n v="0"/>
    <n v="0"/>
    <n v="0"/>
    <n v="1359000"/>
    <n v="27180"/>
    <n v="0"/>
    <n v="1386180"/>
    <n v="27.1"/>
  </r>
  <r>
    <s v="ASIAN FOOD INGREDIENTS SDN.BHD.,MALAYSIA"/>
    <x v="4"/>
    <d v="2016-06-07T00:00:00"/>
    <n v="6"/>
    <x v="1"/>
    <n v="22.805"/>
    <n v="50860.57"/>
    <n v="1044167.5021"/>
    <n v="0"/>
    <n v="130520.93776250001"/>
    <n v="2610.4187552500002"/>
    <n v="1305.2093776250001"/>
    <n v="1178604.067995375"/>
    <n v="0"/>
    <n v="47144.162719815002"/>
    <n v="1225748.2307151901"/>
    <n v="22.805"/>
  </r>
  <r>
    <s v="AMARJIT OIL TRADERS, AMRITSAR (P.B) "/>
    <x v="1"/>
    <d v="2016-06-08T00:00:00"/>
    <n v="6"/>
    <x v="1"/>
    <n v="28.96"/>
    <n v="54557"/>
    <n v="1583789.71"/>
    <n v="0"/>
    <n v="0"/>
    <n v="0"/>
    <n v="0"/>
    <n v="1583789.71"/>
    <n v="0"/>
    <n v="0"/>
    <n v="1583789.71"/>
    <n v="28.96"/>
  </r>
  <r>
    <s v="SIDDHARTH OILS, LUDHIANA (P.B)"/>
    <x v="1"/>
    <d v="2016-06-08T00:00:00"/>
    <n v="6"/>
    <x v="1"/>
    <n v="29.41"/>
    <n v="48700.35"/>
    <n v="1434468.8092499999"/>
    <n v="0"/>
    <n v="0"/>
    <n v="0"/>
    <n v="0"/>
    <n v="1434468.8092499999"/>
    <n v="0"/>
    <n v="0"/>
    <n v="1434468.8092499999"/>
    <n v="29.41"/>
  </r>
  <r>
    <s v="PUNJAB OILS, AMRITSAR (P.B) "/>
    <x v="1"/>
    <d v="2016-06-08T00:00:00"/>
    <n v="6"/>
    <x v="1"/>
    <n v="26.14"/>
    <n v="52908.91"/>
    <n v="1383038.9074000001"/>
    <n v="0"/>
    <n v="0"/>
    <n v="0"/>
    <n v="0"/>
    <n v="1383038.9074000001"/>
    <n v="0"/>
    <n v="0"/>
    <n v="1383038.9074000001"/>
    <n v="26.14"/>
  </r>
  <r>
    <s v="DEEPCHAND ARYA INDUSTRIES, DELHI"/>
    <x v="1"/>
    <d v="2016-06-08T00:00:00"/>
    <n v="6"/>
    <x v="1"/>
    <n v="26.77"/>
    <n v="52933.75"/>
    <n v="1423917.875"/>
    <n v="0"/>
    <n v="0"/>
    <n v="0"/>
    <n v="0"/>
    <n v="1423917.875"/>
    <n v="0"/>
    <n v="0"/>
    <n v="1423917.875"/>
    <n v="26.77"/>
  </r>
  <r>
    <s v="AMRITSAR OIL TRADERS, AMRITSAR (P.B) "/>
    <x v="0"/>
    <d v="2016-06-08T00:00:00"/>
    <n v="6"/>
    <x v="1"/>
    <n v="22.97"/>
    <n v="50889.51"/>
    <n v="1172239.8628500002"/>
    <n v="0"/>
    <n v="0"/>
    <n v="0"/>
    <n v="0"/>
    <n v="1172239.8628500002"/>
    <n v="0"/>
    <n v="0"/>
    <n v="1172239.8628500002"/>
    <n v="22.97"/>
  </r>
  <r>
    <s v="M.D. TRADING CO., LUDHIANA (P.B)"/>
    <x v="0"/>
    <d v="2016-06-08T00:00:00"/>
    <n v="6"/>
    <x v="1"/>
    <n v="28.82"/>
    <n v="48848.04"/>
    <n v="1411219.8756000001"/>
    <n v="0"/>
    <n v="0"/>
    <n v="0"/>
    <n v="0"/>
    <n v="1411219.8756000001"/>
    <n v="0"/>
    <n v="0"/>
    <n v="1411219.8756000001"/>
    <n v="28.82"/>
  </r>
  <r>
    <s v="DEEPCHAND ARYA INDUSTRIES, DELHI"/>
    <x v="1"/>
    <d v="2016-06-08T00:00:00"/>
    <n v="6"/>
    <x v="1"/>
    <n v="19.920000000000002"/>
    <n v="52957.47"/>
    <n v="1054912.8024000002"/>
    <n v="0"/>
    <n v="0"/>
    <n v="0"/>
    <n v="0"/>
    <n v="1054912.8024000002"/>
    <n v="0"/>
    <n v="0"/>
    <n v="1054912.8024000002"/>
    <n v="19.920000000000002"/>
  </r>
  <r>
    <s v="HARKARAN DASS VEDPAL, LUDHIANA (P.B)"/>
    <x v="1"/>
    <d v="2016-06-09T00:00:00"/>
    <n v="6"/>
    <x v="1"/>
    <n v="29.61"/>
    <n v="52963.87"/>
    <n v="1575939.9518500001"/>
    <n v="0"/>
    <n v="0"/>
    <n v="0"/>
    <n v="0"/>
    <n v="1575939.9518500001"/>
    <n v="0"/>
    <n v="0"/>
    <n v="1575939.9518500001"/>
    <n v="29.61"/>
  </r>
  <r>
    <s v="AMARJIT OIL TRADERS, AMRITSAR (P.B) "/>
    <x v="0"/>
    <d v="2016-06-09T00:00:00"/>
    <n v="6"/>
    <x v="1"/>
    <n v="29.32"/>
    <n v="50000"/>
    <n v="1467500"/>
    <n v="0"/>
    <n v="0"/>
    <n v="0"/>
    <n v="0"/>
    <n v="1467500"/>
    <n v="0"/>
    <n v="0"/>
    <n v="1467500"/>
    <n v="29.32"/>
  </r>
  <r>
    <s v="HARKARAN DASS VEDPAL, NOIDA (U.P)"/>
    <x v="0"/>
    <d v="2016-06-09T00:00:00"/>
    <n v="6"/>
    <x v="1"/>
    <n v="28.5"/>
    <n v="49000"/>
    <n v="1401890"/>
    <n v="0"/>
    <n v="0"/>
    <n v="0"/>
    <n v="0"/>
    <n v="1401890"/>
    <n v="0"/>
    <n v="0"/>
    <n v="1401890"/>
    <n v="28.5"/>
  </r>
  <r>
    <s v="PT. VVF INDONESIA,DELI SERDANG,MEDAN,INDONESIA"/>
    <x v="3"/>
    <d v="2016-06-10T00:00:00"/>
    <n v="6"/>
    <x v="1"/>
    <n v="21.43"/>
    <n v="78619.77"/>
    <n v="1684821.6711000002"/>
    <n v="0"/>
    <n v="0"/>
    <n v="0"/>
    <n v="0"/>
    <n v="1684821.6711000002"/>
    <n v="0"/>
    <n v="34288"/>
    <n v="1719109.6711000002"/>
    <n v="21.43"/>
  </r>
  <r>
    <s v="PT. VVF INDONESIA,DELI SERDANG,MEDAN,INDONESIA"/>
    <x v="3"/>
    <d v="2016-06-10T00:00:00"/>
    <n v="6"/>
    <x v="1"/>
    <n v="21.44"/>
    <n v="78619.77"/>
    <n v="1685607.8688000003"/>
    <n v="0"/>
    <n v="0"/>
    <n v="0"/>
    <n v="0"/>
    <n v="1685607.8688000003"/>
    <n v="0"/>
    <n v="34304"/>
    <n v="1719911.8688000003"/>
    <n v="21.44"/>
  </r>
  <r>
    <s v="PT. VVF INDONESIA,DELI SERDANG,MEDAN,INDONESIA"/>
    <x v="3"/>
    <d v="2016-06-10T00:00:00"/>
    <n v="6"/>
    <x v="1"/>
    <n v="21.46"/>
    <n v="78619.77"/>
    <n v="1687180.2642000001"/>
    <n v="0"/>
    <n v="0"/>
    <n v="0"/>
    <n v="0"/>
    <n v="1687180.2642000001"/>
    <n v="0"/>
    <n v="34336"/>
    <n v="1721516.2642000001"/>
    <n v="21.46"/>
  </r>
  <r>
    <s v="PT. VVF INDONESIA,DELI SERDANG,MEDAN,INDONESIA"/>
    <x v="3"/>
    <d v="2016-06-10T00:00:00"/>
    <n v="6"/>
    <x v="1"/>
    <n v="21.45"/>
    <n v="78619.77"/>
    <n v="1686394.0665"/>
    <n v="0"/>
    <n v="0"/>
    <n v="0"/>
    <n v="0"/>
    <n v="1686394.0665"/>
    <n v="0"/>
    <n v="34320"/>
    <n v="1720714.0665"/>
    <n v="21.45"/>
  </r>
  <r>
    <s v="AMRITSAR OIL TRADERS, AMRITSAR (P.B) "/>
    <x v="1"/>
    <d v="2016-06-10T00:00:00"/>
    <n v="6"/>
    <x v="1"/>
    <n v="32.17"/>
    <n v="53000"/>
    <n v="1707925"/>
    <n v="0"/>
    <n v="0"/>
    <n v="0"/>
    <n v="0"/>
    <n v="1707925"/>
    <n v="0"/>
    <n v="0"/>
    <n v="1707925"/>
    <n v="32.17"/>
  </r>
  <r>
    <s v="DEEPCHAND ARYA INDUSTRIES, DELHI"/>
    <x v="1"/>
    <d v="2016-06-10T00:00:00"/>
    <n v="6"/>
    <x v="1"/>
    <n v="27.99"/>
    <n v="53000"/>
    <n v="1488240"/>
    <n v="0"/>
    <n v="0"/>
    <n v="0"/>
    <n v="0"/>
    <n v="1488240"/>
    <n v="0"/>
    <n v="0"/>
    <n v="1488240"/>
    <n v="27.99"/>
  </r>
  <r>
    <s v="HARKARAN DASS VEDPAL, NOIDA (U.P)"/>
    <x v="0"/>
    <d v="2016-06-10T00:00:00"/>
    <n v="6"/>
    <x v="1"/>
    <n v="29.11"/>
    <n v="50255.35"/>
    <n v="1463435.7919999999"/>
    <n v="0"/>
    <n v="0"/>
    <n v="0"/>
    <n v="0"/>
    <n v="1463435.7919999999"/>
    <n v="0"/>
    <n v="0"/>
    <n v="1463435.7919999999"/>
    <n v="29.11"/>
  </r>
  <r>
    <s v="AMRITSAR OIL TRADERS, AMRITSAR (P.B) "/>
    <x v="1"/>
    <d v="2016-06-10T00:00:00"/>
    <n v="6"/>
    <x v="1"/>
    <n v="30.21"/>
    <n v="53000"/>
    <n v="1604575"/>
    <n v="0"/>
    <n v="0"/>
    <n v="0"/>
    <n v="0"/>
    <n v="1604575"/>
    <n v="0"/>
    <n v="0"/>
    <n v="1604575"/>
    <n v="30.21"/>
  </r>
  <r>
    <s v="JAI BHAGWATI AGRO OILS , LUDHIANA (P.B)"/>
    <x v="1"/>
    <d v="2016-06-11T00:00:00"/>
    <n v="6"/>
    <x v="1"/>
    <n v="31.51"/>
    <n v="53000"/>
    <n v="1671885"/>
    <n v="0"/>
    <n v="0"/>
    <n v="0"/>
    <n v="0"/>
    <n v="1671885"/>
    <n v="0"/>
    <n v="0"/>
    <n v="1671885"/>
    <n v="31.51"/>
  </r>
  <r>
    <s v="AMRITSAR OIL TRADERS, AMRITSAR (P.B) "/>
    <x v="1"/>
    <d v="2016-06-11T00:00:00"/>
    <n v="6"/>
    <x v="1"/>
    <n v="29.31"/>
    <n v="53000"/>
    <n v="1558200"/>
    <n v="0"/>
    <n v="0"/>
    <n v="0"/>
    <n v="0"/>
    <n v="1558200"/>
    <n v="0"/>
    <n v="0"/>
    <n v="1558200"/>
    <n v="29.31"/>
  </r>
  <r>
    <s v="J.D TRADING CO., LUDHIANA (P.B)"/>
    <x v="1"/>
    <d v="2016-06-12T00:00:00"/>
    <n v="6"/>
    <x v="2"/>
    <n v="27.33"/>
    <n v="54300"/>
    <n v="1486734"/>
    <n v="0"/>
    <n v="0"/>
    <n v="0"/>
    <n v="0"/>
    <n v="1486734"/>
    <n v="0"/>
    <n v="0"/>
    <n v="1486734"/>
    <n v="27.33"/>
  </r>
  <r>
    <s v="AMARJIT OIL TRADERS, AMRITSAR (P.B) "/>
    <x v="1"/>
    <d v="2016-06-12T00:00:00"/>
    <n v="6"/>
    <x v="2"/>
    <n v="30.35"/>
    <n v="54600"/>
    <n v="1662570"/>
    <n v="0"/>
    <n v="0"/>
    <n v="0"/>
    <n v="0"/>
    <n v="1662570"/>
    <n v="0"/>
    <n v="0"/>
    <n v="1662570"/>
    <n v="30.35"/>
  </r>
  <r>
    <s v="SIDDHARTH OILS, LUDHIANA (P.B)"/>
    <x v="1"/>
    <d v="2016-06-12T00:00:00"/>
    <n v="6"/>
    <x v="2"/>
    <n v="26.44"/>
    <n v="54600"/>
    <n v="1447173"/>
    <n v="0"/>
    <n v="0"/>
    <n v="0"/>
    <n v="0"/>
    <n v="1447173"/>
    <n v="0"/>
    <n v="0"/>
    <n v="1447173"/>
    <n v="26.44"/>
  </r>
  <r>
    <s v="AMRITSAR OIL TRADERS, AMRITSAR (P.B) "/>
    <x v="1"/>
    <d v="2016-06-12T00:00:00"/>
    <n v="6"/>
    <x v="2"/>
    <n v="29.37"/>
    <n v="53000"/>
    <n v="1561115"/>
    <n v="0"/>
    <n v="0"/>
    <n v="0"/>
    <n v="0"/>
    <n v="1561115"/>
    <n v="0"/>
    <n v="0"/>
    <n v="1561115"/>
    <n v="29.37"/>
  </r>
  <r>
    <s v="AMARJIT OIL TRADERS, AMRITSAR (P.B) "/>
    <x v="0"/>
    <d v="2016-06-12T00:00:00"/>
    <n v="6"/>
    <x v="2"/>
    <n v="25.94"/>
    <n v="50300"/>
    <n v="1307800"/>
    <n v="0"/>
    <n v="0"/>
    <n v="0"/>
    <n v="0"/>
    <n v="1307800"/>
    <n v="0"/>
    <n v="0"/>
    <n v="1307800"/>
    <n v="25.94"/>
  </r>
  <r>
    <s v="PT. VVF INDONESIA,DELI SERDANG,MEDAN,INDONESIA"/>
    <x v="3"/>
    <d v="2016-06-13T00:00:00"/>
    <n v="6"/>
    <x v="2"/>
    <n v="21.5"/>
    <n v="78617.440000000002"/>
    <n v="1690274.96"/>
    <n v="0"/>
    <n v="0"/>
    <n v="0"/>
    <n v="0"/>
    <n v="1690274.96"/>
    <n v="0"/>
    <n v="34400"/>
    <n v="1724674.96"/>
    <n v="21.5"/>
  </r>
  <r>
    <s v="PT. VVF INDONESIA,DELI SERDANG,MEDAN,INDONESIA"/>
    <x v="3"/>
    <d v="2016-06-13T00:00:00"/>
    <n v="6"/>
    <x v="2"/>
    <n v="21.5"/>
    <n v="78617.440000000002"/>
    <n v="1690274.96"/>
    <n v="0"/>
    <n v="0"/>
    <n v="0"/>
    <n v="0"/>
    <n v="1690274.96"/>
    <n v="0"/>
    <n v="34400"/>
    <n v="1724674.96"/>
    <n v="21.5"/>
  </r>
  <r>
    <s v="PT. VVF INDONESIA,DELI SERDANG,MEDAN,INDONESIA"/>
    <x v="3"/>
    <d v="2016-06-13T00:00:00"/>
    <n v="6"/>
    <x v="2"/>
    <n v="21.49"/>
    <n v="78617.440000000002"/>
    <n v="1689488.7855999998"/>
    <n v="0"/>
    <n v="0"/>
    <n v="0"/>
    <n v="0"/>
    <n v="1689488.7855999998"/>
    <n v="0"/>
    <n v="34384"/>
    <n v="1723872.7855999998"/>
    <n v="21.49"/>
  </r>
  <r>
    <s v="PT. VVF INDONESIA,DELI SERDANG,MEDAN,INDONESIA"/>
    <x v="3"/>
    <d v="2016-06-13T00:00:00"/>
    <n v="6"/>
    <x v="2"/>
    <n v="21.47"/>
    <n v="78617.440000000002"/>
    <n v="1687916.4368"/>
    <n v="0"/>
    <n v="0"/>
    <n v="0"/>
    <n v="0"/>
    <n v="1687916.4368"/>
    <n v="0"/>
    <n v="34352"/>
    <n v="1722268.4368"/>
    <n v="21.47"/>
  </r>
  <r>
    <s v="PT. VVF INDONESIA,DELI SERDANG,MEDAN,INDONESIA"/>
    <x v="3"/>
    <d v="2016-06-13T00:00:00"/>
    <n v="6"/>
    <x v="2"/>
    <n v="21.46"/>
    <n v="78617.440000000002"/>
    <n v="1687130.2624000001"/>
    <n v="0"/>
    <n v="0"/>
    <n v="0"/>
    <n v="0"/>
    <n v="1687130.2624000001"/>
    <n v="0"/>
    <n v="34336"/>
    <n v="1721466.2624000001"/>
    <n v="21.46"/>
  </r>
  <r>
    <s v="PT. VVF INDONESIA,DELI SERDANG,MEDAN,INDONESIA"/>
    <x v="3"/>
    <d v="2016-06-13T00:00:00"/>
    <n v="6"/>
    <x v="2"/>
    <n v="21.46"/>
    <n v="78618.009999999995"/>
    <n v="1687142.4945999999"/>
    <n v="0"/>
    <n v="0"/>
    <n v="0"/>
    <n v="0"/>
    <n v="1687142.4945999999"/>
    <n v="0"/>
    <n v="34336"/>
    <n v="1721478.4945999999"/>
    <n v="21.46"/>
  </r>
  <r>
    <s v="PT. VVF INDONESIA,DELI SERDANG,MEDAN,INDONESIA"/>
    <x v="3"/>
    <d v="2016-06-13T00:00:00"/>
    <n v="6"/>
    <x v="2"/>
    <n v="21.48"/>
    <n v="78618.009999999995"/>
    <n v="1688714.8547999999"/>
    <n v="0"/>
    <n v="0"/>
    <n v="0"/>
    <n v="0"/>
    <n v="1688714.8547999999"/>
    <n v="0"/>
    <n v="34368"/>
    <n v="1723082.8547999999"/>
    <n v="21.48"/>
  </r>
  <r>
    <s v="PT. VVF INDONESIA,DELI SERDANG,MEDAN,INDONESIA"/>
    <x v="3"/>
    <d v="2016-06-13T00:00:00"/>
    <n v="6"/>
    <x v="2"/>
    <n v="21.44"/>
    <n v="78618.009999999995"/>
    <n v="1685570.1344000001"/>
    <n v="0"/>
    <n v="0"/>
    <n v="0"/>
    <n v="0"/>
    <n v="1685570.1344000001"/>
    <n v="0"/>
    <n v="34304"/>
    <n v="1719874.1344000001"/>
    <n v="21.44"/>
  </r>
  <r>
    <s v="PT. VVF INDONESIA,DELI SERDANG,MEDAN,INDONESIA"/>
    <x v="3"/>
    <d v="2016-06-13T00:00:00"/>
    <n v="6"/>
    <x v="2"/>
    <n v="21.45"/>
    <n v="78618.009999999995"/>
    <n v="1686356.3144999999"/>
    <n v="0"/>
    <n v="0"/>
    <n v="0"/>
    <n v="0"/>
    <n v="1686356.3144999999"/>
    <n v="0"/>
    <n v="34320"/>
    <n v="1720676.3144999999"/>
    <n v="21.45"/>
  </r>
  <r>
    <s v="PT. VVF INDONESIA,DELI SERDANG,MEDAN,INDONESIA"/>
    <x v="3"/>
    <d v="2016-06-13T00:00:00"/>
    <n v="6"/>
    <x v="2"/>
    <n v="21.83"/>
    <n v="78618.009999999995"/>
    <n v="1691859.5751999998"/>
    <n v="0"/>
    <n v="0"/>
    <n v="0"/>
    <n v="0"/>
    <n v="1691859.5751999998"/>
    <n v="0"/>
    <n v="34928"/>
    <n v="1726787.5751999998"/>
    <n v="21.83"/>
  </r>
  <r>
    <s v="AMARJIT OIL TRADERS, AMRITSAR (P.B) "/>
    <x v="0"/>
    <d v="2016-06-13T00:00:00"/>
    <n v="6"/>
    <x v="2"/>
    <n v="26.11"/>
    <n v="50300"/>
    <n v="1315848"/>
    <n v="0"/>
    <n v="0"/>
    <n v="0"/>
    <n v="0"/>
    <n v="1315848"/>
    <n v="0"/>
    <n v="0"/>
    <n v="1315848"/>
    <n v="26.11"/>
  </r>
  <r>
    <s v="SIDDHARTH OILS, LUDHIANA (P.B)"/>
    <x v="1"/>
    <d v="2016-06-13T00:00:00"/>
    <n v="6"/>
    <x v="2"/>
    <n v="27.86"/>
    <n v="53375.72"/>
    <n v="1491050.7382"/>
    <n v="0"/>
    <n v="0"/>
    <n v="0"/>
    <n v="0"/>
    <n v="1491050.7382"/>
    <n v="0"/>
    <n v="0"/>
    <n v="1491050.7382"/>
    <n v="27.86"/>
  </r>
  <r>
    <s v="HARKARAN DASS VEDPAL, LUDHIANA (P.B)"/>
    <x v="1"/>
    <d v="2016-06-13T00:00:00"/>
    <n v="6"/>
    <x v="2"/>
    <n v="29.68"/>
    <n v="52900"/>
    <n v="1578536"/>
    <n v="0"/>
    <n v="0"/>
    <n v="0"/>
    <n v="0"/>
    <n v="1578536"/>
    <n v="0"/>
    <n v="0"/>
    <n v="1578536"/>
    <n v="29.68"/>
  </r>
  <r>
    <s v="JAI BHAGWATI AGRO OILS , LUDHIANA (P.B)"/>
    <x v="1"/>
    <d v="2016-06-14T00:00:00"/>
    <n v="6"/>
    <x v="2"/>
    <n v="27.58"/>
    <n v="53000"/>
    <n v="1464920"/>
    <n v="0"/>
    <n v="0"/>
    <n v="0"/>
    <n v="0"/>
    <n v="1464920"/>
    <n v="0"/>
    <n v="0"/>
    <n v="1464920"/>
    <n v="27.58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4"/>
    <n v="78618.7"/>
    <n v="1685584.9280000001"/>
    <n v="0"/>
    <n v="0"/>
    <n v="0"/>
    <n v="0"/>
    <n v="1685584.9280000001"/>
    <n v="0"/>
    <n v="34304"/>
    <n v="1719888.9280000001"/>
    <n v="21.44"/>
  </r>
  <r>
    <s v="PT. VVF INDONESIA,DELI SERDANG,MEDAN,INDONESIA"/>
    <x v="3"/>
    <d v="2016-06-14T00:00:00"/>
    <n v="6"/>
    <x v="2"/>
    <n v="21.45"/>
    <n v="78618.7"/>
    <n v="1686371.115"/>
    <n v="0"/>
    <n v="0"/>
    <n v="0"/>
    <n v="0"/>
    <n v="1686371.115"/>
    <n v="0"/>
    <n v="34320"/>
    <n v="1720691.115"/>
    <n v="21.45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6"/>
    <n v="78618.7"/>
    <n v="1687157.3019999999"/>
    <n v="0"/>
    <n v="0"/>
    <n v="0"/>
    <n v="0"/>
    <n v="1687157.3019999999"/>
    <n v="0"/>
    <n v="34336"/>
    <n v="1721493.3019999999"/>
    <n v="21.46"/>
  </r>
  <r>
    <s v="JAI BHAGWATI AGRO OILS , LUDHIANA (P.B)"/>
    <x v="0"/>
    <d v="2016-06-14T00:00:00"/>
    <n v="6"/>
    <x v="2"/>
    <n v="30.89"/>
    <n v="49000"/>
    <n v="1515570"/>
    <n v="0"/>
    <n v="0"/>
    <n v="0"/>
    <n v="0"/>
    <n v="1515570"/>
    <n v="0"/>
    <n v="0"/>
    <n v="1515570"/>
    <n v="30.89"/>
  </r>
  <r>
    <s v="HORIZON OIL INDUSTRIES, LUDHIANA (P.B)"/>
    <x v="1"/>
    <d v="2016-06-15T00:00:00"/>
    <n v="6"/>
    <x v="2"/>
    <n v="29.15"/>
    <n v="55200"/>
    <n v="1612668"/>
    <n v="0"/>
    <n v="0"/>
    <n v="0"/>
    <n v="0"/>
    <n v="1612668"/>
    <n v="0"/>
    <n v="0"/>
    <n v="1612668"/>
    <n v="29.15"/>
  </r>
  <r>
    <s v="M.D. TRADING CO., LUDHIANA (P.B)"/>
    <x v="0"/>
    <d v="2016-06-15T00:00:00"/>
    <n v="6"/>
    <x v="2"/>
    <n v="30.99"/>
    <n v="51500"/>
    <n v="1598560"/>
    <n v="0"/>
    <n v="0"/>
    <n v="0"/>
    <n v="0"/>
    <n v="1598560"/>
    <n v="0"/>
    <n v="0"/>
    <n v="1598560"/>
    <n v="30.99"/>
  </r>
  <r>
    <s v="ASIAN FOOD INGREDIENTS SDN.BHD.,MALAYSIA"/>
    <x v="4"/>
    <d v="2016-06-15T00:00:00"/>
    <n v="6"/>
    <x v="2"/>
    <n v="19.37"/>
    <n v="50860.57"/>
    <n v="985169.24090000009"/>
    <n v="0"/>
    <n v="123146.15511250001"/>
    <n v="2462.9231022500003"/>
    <n v="1231.4615511250001"/>
    <n v="1112009.7806658752"/>
    <n v="0"/>
    <n v="44480.391226635009"/>
    <n v="1156490.1718925103"/>
    <n v="19.37"/>
  </r>
  <r>
    <s v="ASIAN FOOD INGREDIENTS SDN.BHD.,MALAYSIA"/>
    <x v="4"/>
    <d v="2016-06-15T00:00:00"/>
    <n v="6"/>
    <x v="2"/>
    <n v="20.51"/>
    <n v="50860.57"/>
    <n v="1043150.2907000001"/>
    <n v="0"/>
    <n v="130393.78633750002"/>
    <n v="2607.8757267500005"/>
    <n v="1303.9378633750002"/>
    <n v="1177455.8906276252"/>
    <n v="0"/>
    <n v="47098.235625105008"/>
    <n v="1224554.1262527301"/>
    <n v="20.51"/>
  </r>
  <r>
    <s v="PT. VVF INDONESIA,DELI SERDANG,MEDAN,INDONESIA"/>
    <x v="3"/>
    <d v="2016-06-15T00:00:00"/>
    <n v="6"/>
    <x v="2"/>
    <n v="21.06"/>
    <n v="78618.7"/>
    <n v="1686371.115"/>
    <n v="0"/>
    <n v="0"/>
    <n v="0"/>
    <n v="0"/>
    <n v="1686371.115"/>
    <n v="0"/>
    <n v="33696"/>
    <n v="1720067.115"/>
    <n v="21.06"/>
  </r>
  <r>
    <s v="PT. VVF INDONESIA,DELI SERDANG,MEDAN,INDONESIA"/>
    <x v="3"/>
    <d v="2016-06-15T00:00:00"/>
    <n v="6"/>
    <x v="2"/>
    <n v="21.46"/>
    <n v="78618.009999999995"/>
    <n v="1687142.4945999999"/>
    <n v="0"/>
    <n v="0"/>
    <n v="0"/>
    <n v="0"/>
    <n v="1687142.4945999999"/>
    <n v="0"/>
    <n v="34336"/>
    <n v="1721478.4945999999"/>
    <n v="21.46"/>
  </r>
  <r>
    <s v="PT. VVF INDONESIA,DELI SERDANG,MEDAN,INDONESIA"/>
    <x v="3"/>
    <d v="2016-06-15T00:00:00"/>
    <n v="6"/>
    <x v="2"/>
    <n v="21.51"/>
    <n v="78618.009999999995"/>
    <n v="1691073.3951000001"/>
    <n v="0"/>
    <n v="0"/>
    <n v="0"/>
    <n v="0"/>
    <n v="1691073.3951000001"/>
    <n v="0"/>
    <n v="34416"/>
    <n v="1725489.3951000001"/>
    <n v="21.51"/>
  </r>
  <r>
    <s v="DEEPCHAND ARYA INDUSTRIES, DELHI"/>
    <x v="1"/>
    <d v="2016-06-15T00:00:00"/>
    <n v="6"/>
    <x v="2"/>
    <n v="21.95"/>
    <n v="53020.18"/>
    <n v="1163792.9509999999"/>
    <n v="0"/>
    <n v="0"/>
    <n v="0"/>
    <n v="0"/>
    <n v="1163792.9509999999"/>
    <n v="0"/>
    <n v="0"/>
    <n v="1163792.9509999999"/>
    <n v="21.95"/>
  </r>
  <r>
    <s v="HORIZON OIL INDUSTRIES, LUDHIANA (P.B)"/>
    <x v="1"/>
    <d v="2016-06-16T00:00:00"/>
    <n v="6"/>
    <x v="2"/>
    <n v="30.01"/>
    <n v="53933.75"/>
    <n v="1618551.8375000001"/>
    <n v="0"/>
    <n v="0"/>
    <n v="0"/>
    <n v="0"/>
    <n v="1618551.8375000001"/>
    <n v="0"/>
    <n v="0"/>
    <n v="1618551.8375000001"/>
    <n v="30.01"/>
  </r>
  <r>
    <s v="HORIZON OIL INDUSTRIES, LUDHIANA (P.B)"/>
    <x v="1"/>
    <d v="2016-06-16T00:00:00"/>
    <n v="6"/>
    <x v="2"/>
    <n v="28.77"/>
    <n v="55200"/>
    <n v="1588104"/>
    <n v="0"/>
    <n v="0"/>
    <n v="0"/>
    <n v="0"/>
    <n v="1588104"/>
    <n v="0"/>
    <n v="0"/>
    <n v="1588104"/>
    <n v="28.77"/>
  </r>
  <r>
    <s v="SIVAM TRADERS, ARIYANKUPPAM - PUDUCHERRY"/>
    <x v="5"/>
    <d v="2016-06-17T00:00:00"/>
    <n v="6"/>
    <x v="2"/>
    <n v="20.079999999999998"/>
    <n v="82360"/>
    <n v="1653788.7999999998"/>
    <n v="0"/>
    <n v="0"/>
    <n v="0"/>
    <n v="0"/>
    <n v="1653788.7999999998"/>
    <n v="33075.775999999998"/>
    <n v="0"/>
    <n v="1686864.5759999999"/>
    <n v="20.079999999999998"/>
  </r>
  <r>
    <s v="SIVAM TRADERS, ARIYANKUPPAM - PUDUCHERRY"/>
    <x v="5"/>
    <d v="2016-06-17T00:00:00"/>
    <n v="6"/>
    <x v="2"/>
    <n v="20.11"/>
    <n v="82360"/>
    <n v="1656259.5999999999"/>
    <n v="0"/>
    <n v="0"/>
    <n v="0"/>
    <n v="0"/>
    <n v="1656259.5999999999"/>
    <n v="33125.191999999995"/>
    <n v="0"/>
    <n v="1689384.7919999999"/>
    <n v="20.11"/>
  </r>
  <r>
    <s v="SIVAM TRADERS, ARIYANKUPPAM - PUDUCHERRY"/>
    <x v="5"/>
    <d v="2016-06-17T00:00:00"/>
    <n v="6"/>
    <x v="2"/>
    <n v="20.46"/>
    <n v="82360"/>
    <n v="1685085.6"/>
    <n v="0"/>
    <n v="0"/>
    <n v="0"/>
    <n v="0"/>
    <n v="1685085.6"/>
    <n v="33701.712"/>
    <n v="0"/>
    <n v="1718787.3120000002"/>
    <n v="20.46"/>
  </r>
  <r>
    <s v="NM COCONUT OIL MERCCHANTS, TIRUPUR (T.N)"/>
    <x v="5"/>
    <d v="2016-06-17T00:00:00"/>
    <n v="6"/>
    <x v="2"/>
    <n v="20"/>
    <n v="82352.899999999994"/>
    <n v="1647058"/>
    <n v="0"/>
    <n v="0"/>
    <n v="0"/>
    <n v="0"/>
    <n v="1647058"/>
    <n v="32941.160000000003"/>
    <n v="0"/>
    <n v="1679999.16"/>
    <n v="20"/>
  </r>
  <r>
    <s v="HARKARAN DASS VEDPAL, LUDHIANA (P.B)"/>
    <x v="1"/>
    <d v="2016-06-17T00:00:00"/>
    <n v="6"/>
    <x v="2"/>
    <n v="29.45"/>
    <n v="52934.26"/>
    <n v="1570294.8229"/>
    <n v="0"/>
    <n v="0"/>
    <n v="0"/>
    <n v="0"/>
    <n v="1570294.8229"/>
    <n v="0"/>
    <n v="0"/>
    <n v="1570294.8229"/>
    <n v="29.45"/>
  </r>
  <r>
    <s v="SIVAM TRADERS, ARIYANKUPPAM - PUDUCHERRY"/>
    <x v="5"/>
    <d v="2016-06-17T00:00:00"/>
    <n v="6"/>
    <x v="2"/>
    <n v="20.03"/>
    <n v="82360"/>
    <n v="1653788.7999999998"/>
    <n v="0"/>
    <n v="0"/>
    <n v="0"/>
    <n v="0"/>
    <n v="1653788.7999999998"/>
    <n v="33075.775999999998"/>
    <n v="0"/>
    <n v="1686864.5759999999"/>
    <n v="20.03"/>
  </r>
  <r>
    <s v="SIVAM TRADERS, ARIYANKUPPAM - PUDUCHERRY"/>
    <x v="5"/>
    <d v="2016-06-17T00:00:00"/>
    <n v="6"/>
    <x v="2"/>
    <n v="19.98"/>
    <n v="82360"/>
    <n v="1647200"/>
    <n v="0"/>
    <n v="0"/>
    <n v="0"/>
    <n v="0"/>
    <n v="1647200"/>
    <n v="32944"/>
    <n v="0"/>
    <n v="1680144"/>
    <n v="19.98"/>
  </r>
  <r>
    <s v="SIDDHARTH OILS, LUDHIANA (P.B)"/>
    <x v="1"/>
    <d v="2016-06-18T00:00:00"/>
    <n v="6"/>
    <x v="2"/>
    <n v="23.57"/>
    <n v="53000"/>
    <n v="1253450"/>
    <n v="0"/>
    <n v="0"/>
    <n v="0"/>
    <n v="0"/>
    <n v="1253450"/>
    <n v="0"/>
    <n v="0"/>
    <n v="1253450"/>
    <n v="23.57"/>
  </r>
  <r>
    <s v="SHREE KUMARAVEL OIL MILL, TIRUPUR (T.N)"/>
    <x v="5"/>
    <d v="2016-06-18T00:00:00"/>
    <n v="6"/>
    <x v="2"/>
    <n v="20.260000000000002"/>
    <n v="82350"/>
    <n v="1670058"/>
    <n v="0"/>
    <n v="0"/>
    <n v="0"/>
    <n v="0"/>
    <n v="1670058"/>
    <n v="33401.160000000003"/>
    <n v="0"/>
    <n v="1703459.16"/>
    <n v="20.260000000000002"/>
  </r>
  <r>
    <s v="HORIZON OIL INDUSTRIES, LUDHIANA (P.B)"/>
    <x v="0"/>
    <d v="2016-06-19T00:00:00"/>
    <n v="6"/>
    <x v="3"/>
    <n v="31.06"/>
    <n v="52500"/>
    <n v="1633800"/>
    <n v="0"/>
    <n v="0"/>
    <n v="0"/>
    <n v="0"/>
    <n v="1633800"/>
    <n v="0"/>
    <n v="0"/>
    <n v="1633800"/>
    <n v="31.06"/>
  </r>
  <r>
    <s v="RICELA HEALTH FOODS LIMITED, DHURI (P.B)"/>
    <x v="2"/>
    <d v="2016-06-19T00:00:00"/>
    <n v="6"/>
    <x v="3"/>
    <n v="27.55"/>
    <n v="52451"/>
    <n v="1448172.1099999999"/>
    <n v="0"/>
    <n v="0"/>
    <n v="0"/>
    <n v="0"/>
    <n v="1448172.1099999999"/>
    <n v="28963.442199999998"/>
    <n v="0"/>
    <n v="1477135.5521999998"/>
    <n v="27.55"/>
  </r>
  <r>
    <s v="HARKARAN DASS VEDPAL, LUDHIANA (P.B)"/>
    <x v="1"/>
    <d v="2016-06-19T00:00:00"/>
    <n v="6"/>
    <x v="3"/>
    <n v="28.95"/>
    <n v="53000"/>
    <n v="1537265"/>
    <n v="0"/>
    <n v="0"/>
    <n v="0"/>
    <n v="0"/>
    <n v="1537265"/>
    <n v="0"/>
    <n v="0"/>
    <n v="1537265"/>
    <n v="28.95"/>
  </r>
  <r>
    <s v="PUNJAB OILS, AMRITSAR (P.B) "/>
    <x v="1"/>
    <d v="2016-06-19T00:00:00"/>
    <n v="6"/>
    <x v="3"/>
    <n v="31.52"/>
    <n v="52900"/>
    <n v="1670846.5"/>
    <n v="0"/>
    <n v="0"/>
    <n v="0"/>
    <n v="0"/>
    <n v="1670846.5"/>
    <n v="0"/>
    <n v="0"/>
    <n v="1670846.5"/>
    <n v="31.52"/>
  </r>
  <r>
    <s v="J.D TRADING CO., LUDHIANA (P.B)"/>
    <x v="1"/>
    <d v="2016-06-19T00:00:00"/>
    <n v="6"/>
    <x v="3"/>
    <n v="30.98"/>
    <n v="54332.24"/>
    <n v="1684842.7624000001"/>
    <n v="0"/>
    <n v="0"/>
    <n v="0"/>
    <n v="0"/>
    <n v="1684842.7624000001"/>
    <n v="0"/>
    <n v="0"/>
    <n v="1684842.7624000001"/>
    <n v="30.98"/>
  </r>
  <r>
    <s v="SIDDHARTH OILS, LUDHIANA (P.B)"/>
    <x v="1"/>
    <d v="2016-06-19T00:00:00"/>
    <n v="6"/>
    <x v="3"/>
    <n v="26.94"/>
    <n v="53000"/>
    <n v="1431795"/>
    <n v="0"/>
    <n v="0"/>
    <n v="0"/>
    <n v="0"/>
    <n v="1431795"/>
    <n v="0"/>
    <n v="0"/>
    <n v="1431795"/>
    <n v="26.94"/>
  </r>
  <r>
    <s v="HARKARAN DASS VEDPAL, LUDHIANA (P.B)"/>
    <x v="1"/>
    <d v="2016-06-19T00:00:00"/>
    <n v="6"/>
    <x v="3"/>
    <n v="29.46"/>
    <n v="53088.81"/>
    <n v="1568508.89145"/>
    <n v="0"/>
    <n v="0"/>
    <n v="0"/>
    <n v="0"/>
    <n v="1568508.89145"/>
    <n v="0"/>
    <n v="0"/>
    <n v="1568508.89145"/>
    <n v="29.46"/>
  </r>
  <r>
    <s v="AMRITSAR OIL TRADERS, AMRITSAR (P.B) "/>
    <x v="0"/>
    <d v="2016-06-20T00:00:00"/>
    <n v="6"/>
    <x v="3"/>
    <n v="26.58"/>
    <n v="49762"/>
    <n v="1322673.96"/>
    <n v="0"/>
    <n v="0"/>
    <n v="0"/>
    <n v="0"/>
    <n v="1322673.96"/>
    <n v="0"/>
    <n v="0"/>
    <n v="1322673.96"/>
    <n v="26.58"/>
  </r>
  <r>
    <s v="M.D. TRADING CO., LUDHIANA (P.B)"/>
    <x v="1"/>
    <d v="2016-06-21T00:00:00"/>
    <n v="6"/>
    <x v="3"/>
    <n v="28.57"/>
    <n v="55500"/>
    <n v="1591185"/>
    <n v="0"/>
    <n v="0"/>
    <n v="0"/>
    <n v="0"/>
    <n v="1591185"/>
    <n v="0"/>
    <n v="0"/>
    <n v="1591185"/>
    <n v="28.57"/>
  </r>
  <r>
    <s v="SIDDHARTH OILS, LUDHIANA (P.B)"/>
    <x v="1"/>
    <d v="2016-06-21T00:00:00"/>
    <n v="6"/>
    <x v="3"/>
    <n v="29.05"/>
    <n v="53000"/>
    <n v="1551310"/>
    <n v="0"/>
    <n v="0"/>
    <n v="0"/>
    <n v="0"/>
    <n v="1551310"/>
    <n v="0"/>
    <n v="0"/>
    <n v="1551310"/>
    <n v="29.05"/>
  </r>
  <r>
    <s v="SHREE GANPATI ENTERPRISES, AMRITSAR (P.B) "/>
    <x v="1"/>
    <d v="2016-06-22T00:00:00"/>
    <n v="6"/>
    <x v="3"/>
    <n v="27.23"/>
    <n v="44900"/>
    <n v="1222627"/>
    <n v="0"/>
    <n v="0"/>
    <n v="0"/>
    <n v="0"/>
    <n v="1222627"/>
    <n v="0"/>
    <n v="0"/>
    <n v="1222627"/>
    <n v="27.23"/>
  </r>
  <r>
    <s v="SIDDHARTH OILS, LUDHIANA (P.B)"/>
    <x v="1"/>
    <d v="2016-06-22T00:00:00"/>
    <n v="6"/>
    <x v="3"/>
    <n v="27.91"/>
    <n v="53000"/>
    <n v="1482675"/>
    <n v="0"/>
    <n v="0"/>
    <n v="0"/>
    <n v="0"/>
    <n v="1482675"/>
    <n v="0"/>
    <n v="0"/>
    <n v="1482675"/>
    <n v="27.91"/>
  </r>
  <r>
    <s v="RICELA HEALTH FOODS LIMITED, DHURI (P.B)"/>
    <x v="2"/>
    <d v="2016-06-22T00:00:00"/>
    <n v="6"/>
    <x v="3"/>
    <n v="27.43"/>
    <n v="52451"/>
    <n v="1442927.01"/>
    <n v="0"/>
    <n v="0"/>
    <n v="0"/>
    <n v="0"/>
    <n v="1442927.01"/>
    <n v="28858.540199999999"/>
    <n v="0"/>
    <n v="1471785.5501999999"/>
    <n v="27.43"/>
  </r>
  <r>
    <s v="NM COCONUT OIL MERCCHANTS, TIRUPUR (T.N)"/>
    <x v="5"/>
    <d v="2016-06-22T00:00:00"/>
    <n v="6"/>
    <x v="3"/>
    <n v="20.04"/>
    <n v="82352.899999999994"/>
    <n v="1651999.1739999999"/>
    <n v="0"/>
    <n v="0"/>
    <n v="0"/>
    <n v="0"/>
    <n v="1651999.1739999999"/>
    <n v="33039.983479999995"/>
    <n v="0"/>
    <n v="1685039.1574799998"/>
    <n v="20.04"/>
  </r>
  <r>
    <s v="KUMARAN OIL MILL, TIRUPUR (T.N)"/>
    <x v="5"/>
    <d v="2016-06-23T00:00:00"/>
    <n v="6"/>
    <x v="3"/>
    <n v="15.56"/>
    <n v="82352"/>
    <n v="1282220.6400000001"/>
    <n v="0"/>
    <n v="0"/>
    <n v="0"/>
    <n v="0"/>
    <n v="1282220.6400000001"/>
    <n v="25644.412800000002"/>
    <n v="0"/>
    <n v="1307865.0528000002"/>
    <n v="15.56"/>
  </r>
  <r>
    <s v="KUMARAN OIL MILL, TIRUPUR (T.N)"/>
    <x v="5"/>
    <d v="2016-06-23T00:00:00"/>
    <n v="6"/>
    <x v="3"/>
    <n v="16.829999999999998"/>
    <n v="82352"/>
    <n v="1392572.32"/>
    <n v="0"/>
    <n v="0"/>
    <n v="0"/>
    <n v="0"/>
    <n v="1392572.32"/>
    <n v="27851.446400000001"/>
    <n v="0"/>
    <n v="1420423.7664000001"/>
    <n v="16.829999999999998"/>
  </r>
  <r>
    <s v="KUMARAN OIL MILL, TIRUPUR (T.N)"/>
    <x v="5"/>
    <d v="2016-06-23T00:00:00"/>
    <n v="6"/>
    <x v="3"/>
    <n v="20.45"/>
    <n v="82352"/>
    <n v="1684098.4"/>
    <n v="0"/>
    <n v="0"/>
    <n v="0"/>
    <n v="0"/>
    <n v="1684098.4"/>
    <n v="33681.968000000001"/>
    <n v="0"/>
    <n v="1717780.368"/>
    <n v="20.45"/>
  </r>
  <r>
    <s v="AMARJIT OIL TRADERS, AMRITSAR (P.B) "/>
    <x v="1"/>
    <d v="2016-06-23T00:00:00"/>
    <n v="6"/>
    <x v="3"/>
    <n v="29.66"/>
    <n v="53420.76"/>
    <n v="1584459.7416000001"/>
    <n v="0"/>
    <n v="0"/>
    <n v="0"/>
    <n v="0"/>
    <n v="1584459.7416000001"/>
    <n v="0"/>
    <n v="0"/>
    <n v="1584459.7416000001"/>
    <n v="29.66"/>
  </r>
  <r>
    <s v="HARKARAN DASS VEDPAL, NOIDA (U.P)"/>
    <x v="0"/>
    <d v="2016-06-24T00:00:00"/>
    <n v="6"/>
    <x v="3"/>
    <n v="29.34"/>
    <n v="49000"/>
    <n v="1440600"/>
    <n v="0"/>
    <n v="0"/>
    <n v="0"/>
    <n v="0"/>
    <n v="1440600"/>
    <n v="0"/>
    <n v="0"/>
    <n v="1440600"/>
    <n v="29.34"/>
  </r>
  <r>
    <s v="KUMARAN OIL MILL, TIRUPUR (T.N)"/>
    <x v="5"/>
    <d v="2016-06-24T00:00:00"/>
    <n v="6"/>
    <x v="3"/>
    <n v="15.75"/>
    <n v="82352"/>
    <n v="1297044"/>
    <n v="0"/>
    <n v="0"/>
    <n v="0"/>
    <n v="0"/>
    <n v="1297044"/>
    <n v="25940.880000000001"/>
    <n v="0"/>
    <n v="1322984.8799999999"/>
    <n v="15.75"/>
  </r>
  <r>
    <s v="KUMARAN OIL MILL, TIRUPUR (T.N)"/>
    <x v="5"/>
    <d v="2016-06-24T00:00:00"/>
    <n v="6"/>
    <x v="3"/>
    <n v="15.94"/>
    <n v="82352"/>
    <n v="1318455.52"/>
    <n v="0"/>
    <n v="0"/>
    <n v="0"/>
    <n v="0"/>
    <n v="1318455.52"/>
    <n v="26369.110400000001"/>
    <n v="0"/>
    <n v="1344824.6303999999"/>
    <n v="15.94"/>
  </r>
  <r>
    <s v="KUMARAN OIL MILL, TIRUPUR (T.N)"/>
    <x v="5"/>
    <d v="2016-06-24T00:00:00"/>
    <n v="6"/>
    <x v="3"/>
    <n v="16.100000000000001"/>
    <n v="82352"/>
    <n v="1326690.72"/>
    <n v="0"/>
    <n v="0"/>
    <n v="0"/>
    <n v="0"/>
    <n v="1326690.72"/>
    <n v="26533.814399999999"/>
    <n v="0"/>
    <n v="1353224.5344"/>
    <n v="16.100000000000001"/>
  </r>
  <r>
    <s v="SIDDHARTH OILS, LUDHIANA (P.B)"/>
    <x v="1"/>
    <d v="2016-06-24T00:00:00"/>
    <n v="6"/>
    <x v="3"/>
    <n v="28.28"/>
    <n v="52900"/>
    <n v="1498392.5"/>
    <n v="0"/>
    <n v="0"/>
    <n v="0"/>
    <n v="0"/>
    <n v="1498392.5"/>
    <n v="0"/>
    <n v="0"/>
    <n v="1498392.5"/>
    <n v="28.28"/>
  </r>
  <r>
    <s v="SIDDHARTH OILS, LUDHIANA (P.B)"/>
    <x v="1"/>
    <d v="2016-06-24T00:00:00"/>
    <n v="6"/>
    <x v="3"/>
    <n v="27.91"/>
    <n v="52942.67"/>
    <n v="1477629.9197"/>
    <n v="0"/>
    <n v="0"/>
    <n v="0"/>
    <n v="0"/>
    <n v="1477629.9197"/>
    <n v="0"/>
    <n v="0"/>
    <n v="1477629.9197"/>
    <n v="27.91"/>
  </r>
  <r>
    <s v="HARKARAN DASS VEDPAL, NOIDA (U.P)"/>
    <x v="0"/>
    <d v="2016-06-25T00:00:00"/>
    <n v="6"/>
    <x v="3"/>
    <n v="29.82"/>
    <n v="50000"/>
    <n v="1496250"/>
    <n v="0"/>
    <n v="0"/>
    <n v="0"/>
    <n v="0"/>
    <n v="1496250"/>
    <n v="0"/>
    <n v="0"/>
    <n v="1496250"/>
    <n v="29.82"/>
  </r>
  <r>
    <s v="AMRITSAR OIL TRADERS, AMRITSAR (P.B) "/>
    <x v="1"/>
    <d v="2016-06-25T00:00:00"/>
    <n v="6"/>
    <x v="3"/>
    <n v="26.86"/>
    <n v="53000"/>
    <n v="1424640"/>
    <n v="0"/>
    <n v="0"/>
    <n v="0"/>
    <n v="0"/>
    <n v="1424640"/>
    <n v="0"/>
    <n v="0"/>
    <n v="1424640"/>
    <n v="26.86"/>
  </r>
  <r>
    <s v="SHREE GANPATI ENTERPRISES, AMRITSAR (P.B) "/>
    <x v="0"/>
    <d v="2016-06-27T00:00:00"/>
    <n v="6"/>
    <x v="4"/>
    <n v="30.9"/>
    <n v="50300"/>
    <n v="1554270"/>
    <n v="0"/>
    <n v="0"/>
    <n v="0"/>
    <n v="0"/>
    <n v="1554270"/>
    <n v="0"/>
    <n v="0"/>
    <n v="1554270"/>
    <n v="30.9"/>
  </r>
  <r>
    <s v="AMRITSAR OIL TRADERS, AMRITSAR (P.B) "/>
    <x v="0"/>
    <d v="2016-06-27T00:00:00"/>
    <n v="6"/>
    <x v="4"/>
    <n v="26.63"/>
    <n v="49000"/>
    <n v="1304870"/>
    <n v="0"/>
    <n v="0"/>
    <n v="0"/>
    <n v="0"/>
    <n v="1304870"/>
    <n v="0"/>
    <n v="0"/>
    <n v="1304870"/>
    <n v="26.63"/>
  </r>
  <r>
    <s v="HORIZON OIL INDUSTRIES, LUDHIANA (P.B)"/>
    <x v="0"/>
    <d v="2016-06-28T00:00:00"/>
    <n v="6"/>
    <x v="4"/>
    <n v="28.93"/>
    <n v="52500"/>
    <n v="1521187.5"/>
    <n v="0"/>
    <n v="0"/>
    <n v="0"/>
    <n v="0"/>
    <n v="1521187.5"/>
    <n v="0"/>
    <n v="0"/>
    <n v="1521187.5"/>
    <n v="28.93"/>
  </r>
  <r>
    <s v="KUMARAN OIL PRODUCTS, KANGAYAM (T.N)"/>
    <x v="5"/>
    <d v="2016-06-28T00:00:00"/>
    <n v="6"/>
    <x v="4"/>
    <n v="20.21"/>
    <n v="83333"/>
    <n v="1684159.9300000002"/>
    <n v="0"/>
    <n v="0"/>
    <n v="0"/>
    <n v="0"/>
    <n v="1684159.9300000002"/>
    <n v="33683.198600000003"/>
    <n v="0"/>
    <n v="1717843.1286000002"/>
    <n v="20.21"/>
  </r>
  <r>
    <s v="3F INDUSTRIES LIMITED, TADEPALLIGUDEM (A.P)"/>
    <x v="0"/>
    <d v="2016-06-29T00:00:00"/>
    <n v="6"/>
    <x v="4"/>
    <n v="20.010000000000002"/>
    <n v="39500"/>
    <n v="790395.00000000012"/>
    <n v="0"/>
    <n v="98799.375000000015"/>
    <n v="0"/>
    <n v="0"/>
    <n v="889194.37500000012"/>
    <n v="17783.887500000004"/>
    <n v="0"/>
    <n v="906978.26250000007"/>
    <n v="20.010000000000002"/>
  </r>
  <r>
    <s v="3F INDUSTRIES LIMITED, TADEPALLIGUDEM (A.P)"/>
    <x v="0"/>
    <d v="2016-06-29T00:00:00"/>
    <n v="6"/>
    <x v="4"/>
    <n v="20.07"/>
    <n v="39500"/>
    <n v="792765"/>
    <n v="0"/>
    <n v="99095.625"/>
    <n v="0"/>
    <n v="0"/>
    <n v="891860.625"/>
    <n v="17837.212500000001"/>
    <n v="0"/>
    <n v="909697.83750000002"/>
    <n v="20.07"/>
  </r>
  <r>
    <s v="SIDDHARTH OILS, LUDHIANA (P.B)"/>
    <x v="0"/>
    <d v="2016-06-29T00:00:00"/>
    <n v="6"/>
    <x v="4"/>
    <n v="28.65"/>
    <n v="50207.61"/>
    <n v="1450999.929"/>
    <n v="0"/>
    <n v="0"/>
    <n v="0"/>
    <n v="0"/>
    <n v="1450999.929"/>
    <n v="0"/>
    <n v="0"/>
    <n v="1450999.929"/>
    <n v="28.65"/>
  </r>
  <r>
    <s v="SIDDHARTH OILS, LUDHIANA (P.B)"/>
    <x v="0"/>
    <d v="2016-06-29T00:00:00"/>
    <n v="6"/>
    <x v="4"/>
    <n v="28.08"/>
    <n v="50000"/>
    <n v="1415000"/>
    <n v="0"/>
    <n v="0"/>
    <n v="0"/>
    <n v="0"/>
    <n v="1415000"/>
    <n v="0"/>
    <n v="0"/>
    <n v="1415000"/>
    <n v="28.08"/>
  </r>
  <r>
    <s v="P.K.B OIL MILLS, KANGAYAM - TIRUPUR (T.N) "/>
    <x v="5"/>
    <d v="2016-06-29T00:00:00"/>
    <n v="6"/>
    <x v="4"/>
    <n v="20.07"/>
    <n v="82350"/>
    <n v="1655235.0000000002"/>
    <n v="0"/>
    <n v="0"/>
    <n v="0"/>
    <n v="0"/>
    <n v="1655235.0000000002"/>
    <n v="33104.700000000004"/>
    <n v="0"/>
    <n v="1688339.7000000002"/>
    <n v="20.07"/>
  </r>
  <r>
    <s v="PUNJAB OILS, AMRITSAR (P.B) "/>
    <x v="0"/>
    <d v="2016-06-29T00:00:00"/>
    <n v="6"/>
    <x v="4"/>
    <n v="25.94"/>
    <n v="50300"/>
    <n v="1309812"/>
    <n v="0"/>
    <n v="0"/>
    <n v="0"/>
    <n v="0"/>
    <n v="1309812"/>
    <n v="0"/>
    <n v="0"/>
    <n v="1309812"/>
    <n v="25.94"/>
  </r>
  <r>
    <s v="PAVITHRA OIL INDUSTRIES, KANGAYAM - TIRUPUR (T.N) "/>
    <x v="5"/>
    <d v="2016-06-29T00:00:00"/>
    <n v="6"/>
    <x v="4"/>
    <n v="20.02"/>
    <n v="82350"/>
    <n v="1650294"/>
    <n v="0"/>
    <n v="0"/>
    <n v="0"/>
    <n v="0"/>
    <n v="1650294"/>
    <n v="33005.879999999997"/>
    <n v="0"/>
    <n v="1683299.88"/>
    <n v="20.02"/>
  </r>
  <r>
    <s v="SHREE GANPATI ENTERPRISES, AMRITSAR (P.B) "/>
    <x v="1"/>
    <d v="2016-06-29T00:00:00"/>
    <n v="6"/>
    <x v="4"/>
    <n v="27.48"/>
    <n v="45108.55"/>
    <n v="1244544.8945000002"/>
    <n v="0"/>
    <n v="0"/>
    <n v="0"/>
    <n v="0"/>
    <n v="1244544.8945000002"/>
    <n v="0"/>
    <n v="0"/>
    <n v="1244544.8945000002"/>
    <n v="27.48"/>
  </r>
  <r>
    <s v="SHREE GANPATI ENTERPRISES, AMRITSAR (P.B) "/>
    <x v="1"/>
    <d v="2016-06-29T00:00:00"/>
    <n v="6"/>
    <x v="4"/>
    <n v="28.59"/>
    <n v="45500"/>
    <n v="1304485"/>
    <n v="0"/>
    <n v="0"/>
    <n v="0"/>
    <n v="0"/>
    <n v="1304485"/>
    <n v="0"/>
    <n v="0"/>
    <n v="1304485"/>
    <n v="28.59"/>
  </r>
  <r>
    <s v="AMARJIT OIL TRADERS, AMRITSAR (P.B) "/>
    <x v="1"/>
    <d v="2016-06-29T00:00:00"/>
    <n v="6"/>
    <x v="4"/>
    <n v="19.7"/>
    <n v="53000"/>
    <n v="1046750"/>
    <n v="0"/>
    <n v="0"/>
    <n v="0"/>
    <n v="0"/>
    <n v="1046750"/>
    <n v="0"/>
    <n v="0"/>
    <n v="1046750"/>
    <n v="19.7"/>
  </r>
  <r>
    <s v="AMARJIT OIL TRADERS, AMRITSAR (P.B) "/>
    <x v="1"/>
    <d v="2016-06-29T00:00:00"/>
    <n v="6"/>
    <x v="4"/>
    <n v="19.75"/>
    <n v="53000"/>
    <n v="1048340.0000000001"/>
    <n v="0"/>
    <n v="0"/>
    <n v="0"/>
    <n v="0"/>
    <n v="1048340.0000000001"/>
    <n v="0"/>
    <n v="0"/>
    <n v="1048340.0000000001"/>
    <n v="19.75"/>
  </r>
  <r>
    <s v="SHREE GANPATI ENTERPRISES, AMRITSAR (P.B) "/>
    <x v="0"/>
    <d v="2016-06-30T00:00:00"/>
    <n v="6"/>
    <x v="4"/>
    <n v="24.54"/>
    <n v="50300"/>
    <n v="1234362"/>
    <n v="0"/>
    <n v="0"/>
    <n v="0"/>
    <n v="0"/>
    <n v="1234362"/>
    <n v="0"/>
    <n v="0"/>
    <n v="1234362"/>
    <n v="24.54"/>
  </r>
  <r>
    <s v="KUMARAN OIL PRODUCTS, KANGAYAM (T.N)"/>
    <x v="5"/>
    <d v="2016-06-30T00:00:00"/>
    <n v="6"/>
    <x v="4"/>
    <n v="24.08"/>
    <n v="83333"/>
    <n v="2006658.64"/>
    <n v="0"/>
    <n v="0"/>
    <n v="0"/>
    <n v="0"/>
    <n v="2006658.64"/>
    <n v="40133.1728"/>
    <n v="0"/>
    <n v="2046791.8128"/>
    <n v="24.08"/>
  </r>
  <r>
    <s v="PUNJAB OILS, AMRITSAR (P.B) "/>
    <x v="1"/>
    <d v="2016-06-30T00:00:00"/>
    <n v="6"/>
    <x v="4"/>
    <n v="27.57"/>
    <n v="52983.37"/>
    <n v="1466049.8479000002"/>
    <n v="0"/>
    <n v="0"/>
    <n v="0"/>
    <n v="0"/>
    <n v="1466049.8479000002"/>
    <n v="0"/>
    <n v="0"/>
    <n v="1466049.8479000002"/>
    <n v="27.57"/>
  </r>
  <r>
    <s v="PUNJAB OILS, AMRITSAR (P.B) "/>
    <x v="1"/>
    <d v="2016-06-30T00:00:00"/>
    <n v="6"/>
    <x v="4"/>
    <n v="17.190000000000001"/>
    <n v="53000"/>
    <n v="913719.99999999988"/>
    <n v="0"/>
    <n v="0"/>
    <n v="0"/>
    <n v="0"/>
    <n v="913719.99999999988"/>
    <n v="0"/>
    <n v="0"/>
    <n v="913719.99999999988"/>
    <n v="17.190000000000001"/>
  </r>
  <r>
    <s v="3F INDUSTRIES LIMITED, TADEPALLIGUDEM (A.P)"/>
    <x v="0"/>
    <d v="2016-06-30T00:00:00"/>
    <n v="6"/>
    <x v="4"/>
    <n v="19.97"/>
    <n v="39500"/>
    <n v="788815"/>
    <n v="0"/>
    <n v="98601.875"/>
    <n v="0"/>
    <n v="0"/>
    <n v="887416.875"/>
    <n v="17748.337500000001"/>
    <n v="0"/>
    <n v="905165.21250000002"/>
    <n v="19.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9">
  <r>
    <s v="PT. VVF INDONESIA,DELI SERDANG,MEDAN,INDONESIA"/>
    <x v="0"/>
    <d v="2016-05-02T00:00:00"/>
    <n v="5"/>
    <x v="0"/>
    <n v="21.49"/>
    <n v="56924.52"/>
    <n v="1223307.9347999999"/>
    <n v="0"/>
    <n v="0"/>
    <n v="0"/>
    <n v="0"/>
    <n v="1223307.9347999999"/>
    <n v="0"/>
    <n v="34384"/>
    <n v="1257691.9347999999"/>
    <n v="21.49"/>
  </r>
  <r>
    <s v="PT. VVF INDONESIA,DELI SERDANG,MEDAN,INDONESIA"/>
    <x v="0"/>
    <d v="2016-05-02T00:00:00"/>
    <n v="5"/>
    <x v="0"/>
    <n v="21.45"/>
    <n v="56924.52"/>
    <n v="1221030.9539999999"/>
    <n v="0"/>
    <n v="0"/>
    <n v="0"/>
    <n v="0"/>
    <n v="1221030.9539999999"/>
    <n v="0"/>
    <n v="34320"/>
    <n v="1255350.9539999999"/>
    <n v="21.45"/>
  </r>
  <r>
    <s v="PT. VVF INDONESIA,DELI SERDANG,MEDAN,INDONESIA"/>
    <x v="0"/>
    <d v="2016-05-02T00:00:00"/>
    <n v="5"/>
    <x v="0"/>
    <n v="21.49"/>
    <n v="56924.52"/>
    <n v="1223307.9347999999"/>
    <n v="0"/>
    <n v="0"/>
    <n v="0"/>
    <n v="0"/>
    <n v="1223307.9347999999"/>
    <n v="0"/>
    <n v="34384"/>
    <n v="1257691.9347999999"/>
    <n v="21.49"/>
  </r>
  <r>
    <s v="PT. VVF INDONESIA,DELI SERDANG,MEDAN,INDONESIA"/>
    <x v="0"/>
    <d v="2016-05-02T00:00:00"/>
    <n v="5"/>
    <x v="0"/>
    <n v="21.48"/>
    <n v="56924.52"/>
    <n v="1222738.6895999999"/>
    <n v="0"/>
    <n v="0"/>
    <n v="0"/>
    <n v="0"/>
    <n v="1222738.6895999999"/>
    <n v="0"/>
    <n v="34368"/>
    <n v="1257106.6895999999"/>
    <n v="21.48"/>
  </r>
  <r>
    <s v="PT. VVF INDONESIA,DELI SERDANG,MEDAN,INDONESIA"/>
    <x v="0"/>
    <d v="2016-05-02T00:00:00"/>
    <n v="5"/>
    <x v="0"/>
    <n v="21.44"/>
    <n v="56924.52"/>
    <n v="1220461.7087999999"/>
    <n v="0"/>
    <n v="0"/>
    <n v="0"/>
    <n v="0"/>
    <n v="1220461.7087999999"/>
    <n v="0"/>
    <n v="34304"/>
    <n v="1254765.7087999999"/>
    <n v="21.44"/>
  </r>
  <r>
    <s v="HINDUSTAN OIL TRADERS, AMRITSAR (P.B) "/>
    <x v="1"/>
    <d v="2016-05-02T00:00:00"/>
    <n v="5"/>
    <x v="0"/>
    <n v="24.2"/>
    <n v="55800"/>
    <n v="1350360"/>
    <n v="0"/>
    <n v="0"/>
    <n v="0"/>
    <n v="0"/>
    <n v="1350360"/>
    <n v="0"/>
    <n v="0"/>
    <n v="1350360"/>
    <n v="24.2"/>
  </r>
  <r>
    <s v="HINDUSTAN OIL TRADERS, AMRITSAR (P.B) "/>
    <x v="1"/>
    <d v="2016-05-02T00:00:00"/>
    <n v="5"/>
    <x v="0"/>
    <n v="19.899999999999999"/>
    <n v="54500"/>
    <n v="1084550"/>
    <n v="0"/>
    <n v="0"/>
    <n v="0"/>
    <n v="0"/>
    <n v="1084550"/>
    <n v="0"/>
    <n v="0"/>
    <n v="1084550"/>
    <n v="19.899999999999999"/>
  </r>
  <r>
    <s v="HINDUSTAN OIL TRADERS, AMRITSAR (P.B) "/>
    <x v="1"/>
    <d v="2016-05-02T00:00:00"/>
    <n v="5"/>
    <x v="0"/>
    <n v="19.2"/>
    <n v="54500"/>
    <n v="1046400"/>
    <n v="0"/>
    <n v="0"/>
    <n v="0"/>
    <n v="0"/>
    <n v="1046400"/>
    <n v="0"/>
    <n v="0"/>
    <n v="1046400"/>
    <n v="19.2"/>
  </r>
  <r>
    <s v="J.D TRADING CO., LUDHIANA (P.B)"/>
    <x v="1"/>
    <d v="2016-05-04T00:00:00"/>
    <n v="5"/>
    <x v="0"/>
    <n v="27.36"/>
    <n v="55500"/>
    <n v="1518480"/>
    <n v="0"/>
    <n v="0"/>
    <n v="0"/>
    <n v="0"/>
    <n v="1518480"/>
    <n v="0"/>
    <n v="0"/>
    <n v="1518480"/>
    <n v="27.19"/>
  </r>
  <r>
    <s v="HARKARAN DASS VEDPAL, LUDHIANA (P.B)"/>
    <x v="1"/>
    <d v="2016-05-04T00:00:00"/>
    <n v="5"/>
    <x v="0"/>
    <n v="31.56"/>
    <n v="55661.59"/>
    <n v="1756679.7803999998"/>
    <n v="0"/>
    <n v="0"/>
    <n v="0"/>
    <n v="0"/>
    <n v="1756679.7803999998"/>
    <n v="0"/>
    <n v="0"/>
    <n v="1756679.7803999998"/>
    <n v="31.5"/>
  </r>
  <r>
    <s v="SIDDHARTH OILS, LUDHIANA (P.B)"/>
    <x v="1"/>
    <d v="2016-05-06T00:00:00"/>
    <n v="5"/>
    <x v="0"/>
    <n v="29.12"/>
    <n v="44900"/>
    <n v="1307488"/>
    <n v="0"/>
    <n v="0"/>
    <n v="0"/>
    <n v="0"/>
    <n v="1307488"/>
    <n v="0"/>
    <n v="0"/>
    <n v="1307488"/>
    <n v="28.95"/>
  </r>
  <r>
    <s v="M.D. TRADING CO., LUDHIANA (P.B)"/>
    <x v="1"/>
    <d v="2016-05-07T00:00:00"/>
    <n v="5"/>
    <x v="0"/>
    <n v="28.024999999999999"/>
    <n v="46200"/>
    <n v="1294755"/>
    <n v="0"/>
    <n v="0"/>
    <n v="0"/>
    <n v="0"/>
    <n v="1294755"/>
    <n v="0"/>
    <n v="0"/>
    <n v="1294755"/>
    <n v="27.98"/>
  </r>
  <r>
    <s v="M.D. TRADING CO., LUDHIANA (P.B)"/>
    <x v="2"/>
    <d v="2016-05-08T00:00:00"/>
    <n v="5"/>
    <x v="1"/>
    <n v="30.46"/>
    <n v="48384.76"/>
    <n v="1473799.7896"/>
    <n v="0"/>
    <n v="0"/>
    <n v="0"/>
    <n v="0"/>
    <n v="1473799.7896"/>
    <n v="0"/>
    <n v="0"/>
    <n v="1473799.7896"/>
    <n v="30.44"/>
  </r>
  <r>
    <s v="HARKARAN DASS VEDPAL, LUDHIANA (P.B)"/>
    <x v="2"/>
    <d v="2016-05-08T00:00:00"/>
    <n v="5"/>
    <x v="1"/>
    <n v="20.04"/>
    <n v="48998"/>
    <n v="981919.91999999993"/>
    <n v="0"/>
    <n v="0"/>
    <n v="0"/>
    <n v="0"/>
    <n v="981919.91999999993"/>
    <n v="0"/>
    <n v="0"/>
    <n v="981919.91999999993"/>
    <n v="19.940000000000001"/>
  </r>
  <r>
    <s v="RICELA HEALTH FOODS LIMITED, DHURI (P.B)"/>
    <x v="3"/>
    <d v="2016-05-08T00:00:00"/>
    <n v="5"/>
    <x v="1"/>
    <n v="29.07"/>
    <n v="50000"/>
    <n v="1453500"/>
    <n v="0"/>
    <n v="0"/>
    <n v="0"/>
    <n v="0"/>
    <n v="1453500"/>
    <n v="29070"/>
    <n v="0"/>
    <n v="1482570"/>
    <n v="28.94"/>
  </r>
  <r>
    <s v="ASIAN FOOD INGREDIENTS SDN.BHD.,MALAYSIA"/>
    <x v="4"/>
    <d v="2016-05-08T00:00:00"/>
    <n v="5"/>
    <x v="1"/>
    <n v="21.05"/>
    <n v="42230.62"/>
    <n v="888954.55100000009"/>
    <n v="0"/>
    <n v="111119.31887500001"/>
    <n v="2222.3863775000004"/>
    <n v="1111.1931887500002"/>
    <n v="1000073.8698750001"/>
    <n v="0"/>
    <n v="40136.29797765"/>
    <n v="1040210.16785265"/>
    <n v="20.88"/>
  </r>
  <r>
    <s v="ASIAN FOOD INGREDIENTS SDN.BHD.,MALAYSIA"/>
    <x v="4"/>
    <d v="2016-05-08T00:00:00"/>
    <n v="5"/>
    <x v="1"/>
    <n v="21.03"/>
    <n v="42230.62"/>
    <n v="888109.93860000011"/>
    <n v="0"/>
    <n v="111013.74232500001"/>
    <n v="2220.2748465000004"/>
    <n v="1110.1374232500002"/>
    <n v="999123.68092500011"/>
    <n v="0"/>
    <n v="40098.163727790008"/>
    <n v="1039221.8446527901"/>
    <n v="20.95"/>
  </r>
  <r>
    <s v="ASIAN FOOD INGREDIENTS SDN.BHD.,MALAYSIA"/>
    <x v="4"/>
    <d v="2016-05-08T00:00:00"/>
    <n v="5"/>
    <x v="1"/>
    <n v="21.04"/>
    <n v="42230.62"/>
    <n v="888532.24479999999"/>
    <n v="0"/>
    <n v="111066.5306"/>
    <n v="2221.3306120000002"/>
    <n v="1110.6653060000001"/>
    <n v="999598.77539999993"/>
    <n v="0"/>
    <n v="40117.23085272"/>
    <n v="1039716.0062527199"/>
    <n v="20.91"/>
  </r>
  <r>
    <s v="ASIAN FOOD INGREDIENTS SDN.BHD.,MALAYSIA"/>
    <x v="4"/>
    <d v="2016-05-08T00:00:00"/>
    <n v="5"/>
    <x v="1"/>
    <n v="21.02"/>
    <n v="42230.62"/>
    <n v="887687.6324"/>
    <n v="0"/>
    <n v="110960.95405"/>
    <n v="2219.2190810000002"/>
    <n v="1109.6095405000001"/>
    <n v="998648.58645000006"/>
    <n v="0"/>
    <n v="40079.096602860001"/>
    <n v="1038727.6830528601"/>
    <n v="20.92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85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87"/>
  </r>
  <r>
    <s v="ASIAN FOOD INGREDIENTS SDN.BHD.,MALAYSIA"/>
    <x v="4"/>
    <d v="2016-05-08T00:00:00"/>
    <n v="5"/>
    <x v="1"/>
    <n v="21.03"/>
    <n v="42230.62"/>
    <n v="888109.93860000011"/>
    <n v="0"/>
    <n v="111013.74232500001"/>
    <n v="2220.2748465000004"/>
    <n v="1110.1374232500002"/>
    <n v="999123.68092500011"/>
    <n v="0"/>
    <n v="40098.163727790008"/>
    <n v="1039221.8446527901"/>
    <n v="21.03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059999999999999"/>
  </r>
  <r>
    <s v="ASIAN FOOD INGREDIENTS SDN.BHD.,MALAYSIA"/>
    <x v="4"/>
    <d v="2016-05-08T00:00:00"/>
    <n v="5"/>
    <x v="1"/>
    <n v="21.05"/>
    <n v="42230.62"/>
    <n v="888954.55100000009"/>
    <n v="0"/>
    <n v="111119.31887500001"/>
    <n v="2222.3863775000004"/>
    <n v="1111.1931887500002"/>
    <n v="1000073.8698750001"/>
    <n v="0"/>
    <n v="40136.29797765"/>
    <n v="1040210.16785265"/>
    <n v="21.05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1.01"/>
  </r>
  <r>
    <s v="SIDDHARTH OILS, LUDHIANA (P.B)"/>
    <x v="1"/>
    <d v="2016-05-09T00:00:00"/>
    <n v="5"/>
    <x v="1"/>
    <n v="31.06"/>
    <n v="45653.38"/>
    <n v="1417993.9827999999"/>
    <n v="0"/>
    <n v="0"/>
    <n v="0"/>
    <n v="0"/>
    <n v="1417993.9827999999"/>
    <n v="0"/>
    <n v="0"/>
    <n v="1417993.9827999999"/>
    <n v="31"/>
  </r>
  <r>
    <s v="J.D TRADING CO., LUDHIANA (P.B)"/>
    <x v="1"/>
    <d v="2016-05-09T00:00:00"/>
    <n v="5"/>
    <x v="1"/>
    <n v="29.234999999999999"/>
    <n v="55500"/>
    <n v="1622542.5"/>
    <n v="0"/>
    <n v="0"/>
    <n v="0"/>
    <n v="0"/>
    <n v="1622542.5"/>
    <n v="0"/>
    <n v="0"/>
    <n v="1622542.5"/>
    <n v="29.17"/>
  </r>
  <r>
    <s v="PT. VVF INDONESIA,DELI SERDANG,MEDAN,INDONESIA"/>
    <x v="0"/>
    <d v="2016-05-10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0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0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0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0T00:00:00"/>
    <n v="5"/>
    <x v="1"/>
    <n v="21.57"/>
    <n v="77289.149999999994"/>
    <n v="1667126.9654999999"/>
    <n v="0"/>
    <n v="0"/>
    <n v="0"/>
    <n v="0"/>
    <n v="1667126.9654999999"/>
    <n v="0"/>
    <n v="34512"/>
    <n v="1701638.9654999999"/>
    <n v="21.57"/>
  </r>
  <r>
    <s v="PT. VVF INDONESIA,DELI SERDANG,MEDAN,INDONESIA"/>
    <x v="0"/>
    <d v="2016-05-10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0T00:00:00"/>
    <n v="5"/>
    <x v="1"/>
    <n v="21.45"/>
    <n v="77289.149999999994"/>
    <n v="1657852.2674999998"/>
    <n v="0"/>
    <n v="0"/>
    <n v="0"/>
    <n v="0"/>
    <n v="1657852.2674999998"/>
    <n v="0"/>
    <n v="34320"/>
    <n v="1692172.2674999998"/>
    <n v="21.45"/>
  </r>
  <r>
    <s v="M.D. TRADING CO., LUDHIANA (P.B)"/>
    <x v="1"/>
    <d v="2016-05-10T00:00:00"/>
    <n v="5"/>
    <x v="1"/>
    <n v="29.425000000000001"/>
    <n v="46104.84"/>
    <n v="1356634.9169999999"/>
    <n v="0"/>
    <n v="0"/>
    <n v="0"/>
    <n v="0"/>
    <n v="1356634.9169999999"/>
    <n v="0"/>
    <n v="0"/>
    <n v="1356634.9169999999"/>
    <n v="29.24"/>
  </r>
  <r>
    <s v="HORIZON OIL INDUSTRIES, LUDHIANA (P.B)"/>
    <x v="1"/>
    <d v="2016-05-10T00:00:00"/>
    <n v="5"/>
    <x v="1"/>
    <n v="33.14"/>
    <n v="45700"/>
    <n v="1514498"/>
    <n v="0"/>
    <n v="0"/>
    <n v="0"/>
    <n v="0"/>
    <n v="1514498"/>
    <n v="0"/>
    <n v="0"/>
    <n v="1514498"/>
    <n v="32.99"/>
  </r>
  <r>
    <s v="DEEPCHAND ARYA INDUSTRIES, DELHI"/>
    <x v="1"/>
    <d v="2016-05-11T00:00:00"/>
    <n v="5"/>
    <x v="1"/>
    <n v="29.78"/>
    <n v="45500"/>
    <n v="1354990"/>
    <n v="0"/>
    <n v="0"/>
    <n v="0"/>
    <n v="0"/>
    <n v="1354990"/>
    <n v="0"/>
    <n v="0"/>
    <n v="1354990"/>
    <n v="29.63"/>
  </r>
  <r>
    <s v="HARKARAN DASS VEDPAL, LUDHIANA (P.B)"/>
    <x v="1"/>
    <d v="2016-05-11T00:00:00"/>
    <n v="5"/>
    <x v="1"/>
    <n v="27.22"/>
    <n v="55800"/>
    <n v="1518876"/>
    <n v="0"/>
    <n v="0"/>
    <n v="0"/>
    <n v="0"/>
    <n v="1518876"/>
    <n v="0"/>
    <n v="0"/>
    <n v="1518876"/>
    <n v="27.13"/>
  </r>
  <r>
    <s v="RICELA HEALTH FOODS LIMITED, DHURI (P.B)"/>
    <x v="3"/>
    <d v="2016-05-11T00:00:00"/>
    <n v="5"/>
    <x v="1"/>
    <n v="27.31"/>
    <n v="50000"/>
    <n v="1365500"/>
    <n v="0"/>
    <n v="0"/>
    <n v="0"/>
    <n v="0"/>
    <n v="1365500"/>
    <n v="27310"/>
    <n v="0"/>
    <n v="1392810"/>
    <n v="27.22"/>
  </r>
  <r>
    <s v="PT. VVF INDONESIA,DELI SERDANG,MEDAN,INDONESIA"/>
    <x v="0"/>
    <d v="2016-05-11T00:00:00"/>
    <n v="5"/>
    <x v="1"/>
    <n v="21.44"/>
    <n v="77289.149999999994"/>
    <n v="1657079.3759999999"/>
    <n v="0"/>
    <n v="0"/>
    <n v="0"/>
    <n v="0"/>
    <n v="1657079.3759999999"/>
    <n v="0"/>
    <n v="34304"/>
    <n v="1691383.3759999999"/>
    <n v="21.44"/>
  </r>
  <r>
    <s v="PT. VVF INDONESIA,DELI SERDANG,MEDAN,INDONESIA"/>
    <x v="0"/>
    <d v="2016-05-11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1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1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2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2T00:00:00"/>
    <n v="5"/>
    <x v="1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T. VVF INDONESIA,DELI SERDANG,MEDAN,INDONESIA"/>
    <x v="0"/>
    <d v="2016-05-12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M.D. TRADING CO., LUDHIANA (P.B)"/>
    <x v="2"/>
    <d v="2016-05-12T00:00:00"/>
    <n v="5"/>
    <x v="1"/>
    <n v="28.38"/>
    <n v="48000"/>
    <n v="1362240"/>
    <n v="0"/>
    <n v="0"/>
    <n v="0"/>
    <n v="0"/>
    <n v="1362240"/>
    <n v="0"/>
    <n v="0"/>
    <n v="1362240"/>
    <n v="28.29"/>
  </r>
  <r>
    <s v="PT. VVF INDONESIA,DELI SERDANG,MEDAN,INDONESIA"/>
    <x v="0"/>
    <d v="2016-05-13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3T00:00:00"/>
    <n v="5"/>
    <x v="1"/>
    <n v="21.52"/>
    <n v="77289.149999999994"/>
    <n v="1663262.5079999999"/>
    <n v="0"/>
    <n v="0"/>
    <n v="0"/>
    <n v="0"/>
    <n v="1663262.5079999999"/>
    <n v="0"/>
    <n v="34432"/>
    <n v="1697694.5079999999"/>
    <n v="21.52"/>
  </r>
  <r>
    <s v="PT. VVF INDONESIA,DELI SERDANG,MEDAN,INDONESIA"/>
    <x v="0"/>
    <d v="2016-05-13T00:00:00"/>
    <n v="5"/>
    <x v="1"/>
    <n v="21.45"/>
    <n v="77289.149999999994"/>
    <n v="1657852.2674999998"/>
    <n v="0"/>
    <n v="0"/>
    <n v="0"/>
    <n v="0"/>
    <n v="1657852.2674999998"/>
    <n v="0"/>
    <n v="34320"/>
    <n v="1692172.2674999998"/>
    <n v="21.45"/>
  </r>
  <r>
    <s v="JAI BHAGWATI AGRO OILS , LUDHIANA (P.B)"/>
    <x v="1"/>
    <d v="2016-05-13T00:00:00"/>
    <n v="5"/>
    <x v="1"/>
    <n v="29.41"/>
    <n v="56000"/>
    <n v="1646960"/>
    <n v="0"/>
    <n v="0"/>
    <n v="0"/>
    <n v="0"/>
    <n v="1646960"/>
    <n v="0"/>
    <n v="0"/>
    <n v="1646960"/>
    <n v="29.4"/>
  </r>
  <r>
    <s v="HINDUSTAN OIL TRADERS, AMRITSAR (P.B) "/>
    <x v="1"/>
    <d v="2016-05-13T00:00:00"/>
    <n v="5"/>
    <x v="1"/>
    <n v="33.340000000000003"/>
    <n v="55084.88"/>
    <n v="1836529.8992000001"/>
    <n v="0"/>
    <n v="0"/>
    <n v="0"/>
    <n v="0"/>
    <n v="1836529.8992000001"/>
    <n v="0"/>
    <n v="0"/>
    <n v="1836529.8992000001"/>
    <n v="33.340000000000003"/>
  </r>
  <r>
    <s v="SIDDHARTH OILS, LUDHIANA (P.B)"/>
    <x v="1"/>
    <d v="2016-05-13T00:00:00"/>
    <n v="5"/>
    <x v="1"/>
    <n v="28.79"/>
    <n v="55500"/>
    <n v="1597845"/>
    <n v="0"/>
    <n v="0"/>
    <n v="0"/>
    <n v="0"/>
    <n v="1597845"/>
    <n v="0"/>
    <n v="0"/>
    <n v="1597845"/>
    <n v="28.69"/>
  </r>
  <r>
    <s v="SIDDHARTH OILS, LUDHIANA (P.B)"/>
    <x v="1"/>
    <d v="2016-05-13T00:00:00"/>
    <n v="5"/>
    <x v="1"/>
    <n v="29.24"/>
    <n v="46200"/>
    <n v="1350888"/>
    <n v="0"/>
    <n v="0"/>
    <n v="0"/>
    <n v="0"/>
    <n v="1350888"/>
    <n v="0"/>
    <n v="0"/>
    <n v="1350888"/>
    <n v="29.24"/>
  </r>
  <r>
    <s v="HORIZON OIL INDUSTRIES, LUDHIANA (P.B)"/>
    <x v="1"/>
    <d v="2016-05-14T00:00:00"/>
    <n v="5"/>
    <x v="1"/>
    <n v="31.5"/>
    <n v="45700"/>
    <n v="1439550"/>
    <n v="0"/>
    <n v="0"/>
    <n v="0"/>
    <n v="0"/>
    <n v="1439550"/>
    <n v="0"/>
    <n v="0"/>
    <n v="1439550"/>
    <n v="31.35"/>
  </r>
  <r>
    <s v="HINDUSTAN OIL TRADERS, AMRITSAR (P.B) "/>
    <x v="1"/>
    <d v="2016-05-14T00:00:00"/>
    <n v="5"/>
    <x v="1"/>
    <n v="27.06"/>
    <n v="55800"/>
    <n v="1509948"/>
    <n v="0"/>
    <n v="0"/>
    <n v="0"/>
    <n v="0"/>
    <n v="1509948"/>
    <n v="0"/>
    <n v="0"/>
    <n v="1509948"/>
    <n v="27.03"/>
  </r>
  <r>
    <s v="JAI BHAGWATI AGRO OILS , LUDHIANA (P.B)"/>
    <x v="1"/>
    <d v="2016-05-14T00:00:00"/>
    <n v="5"/>
    <x v="1"/>
    <n v="27.49"/>
    <n v="56000"/>
    <n v="1539440"/>
    <n v="0"/>
    <n v="0"/>
    <n v="0"/>
    <n v="0"/>
    <n v="1539440"/>
    <n v="0"/>
    <n v="0"/>
    <n v="1539440"/>
    <n v="27.42"/>
  </r>
  <r>
    <s v="AMRITSAR OIL TRADERS, AMRITSAR (P.B) "/>
    <x v="1"/>
    <d v="2016-05-15T00:00:00"/>
    <n v="5"/>
    <x v="2"/>
    <n v="20.04"/>
    <n v="55500"/>
    <n v="1112220"/>
    <n v="0"/>
    <n v="0"/>
    <n v="0"/>
    <n v="0"/>
    <n v="1112220"/>
    <n v="0"/>
    <n v="0"/>
    <n v="1112220"/>
    <n v="20.04"/>
  </r>
  <r>
    <s v="AMRITSAR OIL TRADERS, AMRITSAR (P.B) "/>
    <x v="1"/>
    <d v="2016-05-15T00:00:00"/>
    <n v="5"/>
    <x v="2"/>
    <n v="19.71"/>
    <n v="54735.15"/>
    <n v="1078829.8065000002"/>
    <n v="0"/>
    <n v="0"/>
    <n v="0"/>
    <n v="0"/>
    <n v="1078829.8065000002"/>
    <n v="0"/>
    <n v="0"/>
    <n v="1078829.8065000002"/>
    <n v="19.71"/>
  </r>
  <r>
    <s v="PT. VVF INDONESIA,DELI SERDANG,MEDAN,INDONESIA"/>
    <x v="0"/>
    <d v="2016-05-16T00:00:00"/>
    <n v="5"/>
    <x v="2"/>
    <n v="21.44"/>
    <n v="77289.149999999994"/>
    <n v="1657079.3759999999"/>
    <n v="0"/>
    <n v="0"/>
    <n v="0"/>
    <n v="0"/>
    <n v="1657079.3759999999"/>
    <n v="0"/>
    <n v="34304"/>
    <n v="1691383.3759999999"/>
    <n v="21.44"/>
  </r>
  <r>
    <s v="PT. VVF INDONESIA,DELI SERDANG,MEDAN,INDONESIA"/>
    <x v="0"/>
    <d v="2016-05-16T00:00:00"/>
    <n v="5"/>
    <x v="2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T. VVF INDONESIA,DELI SERDANG,MEDAN,INDONESIA"/>
    <x v="0"/>
    <d v="2016-05-16T00:00:00"/>
    <n v="5"/>
    <x v="2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6T00:00:00"/>
    <n v="5"/>
    <x v="2"/>
    <n v="21.58"/>
    <n v="77289.149999999994"/>
    <n v="1667899.8569999998"/>
    <n v="0"/>
    <n v="0"/>
    <n v="0"/>
    <n v="0"/>
    <n v="1667899.8569999998"/>
    <n v="0"/>
    <n v="34528"/>
    <n v="1702427.8569999998"/>
    <n v="21.58"/>
  </r>
  <r>
    <s v="PT. VVF INDONESIA,DELI SERDANG,MEDAN,INDONESIA"/>
    <x v="0"/>
    <d v="2016-05-16T00:00:00"/>
    <n v="5"/>
    <x v="2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6T00:00:00"/>
    <n v="5"/>
    <x v="2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UNJAB OILS, AMRITSAR (P.B) "/>
    <x v="1"/>
    <d v="2016-05-16T00:00:00"/>
    <n v="5"/>
    <x v="2"/>
    <n v="27.81"/>
    <n v="54600"/>
    <n v="1518426"/>
    <n v="0"/>
    <n v="0"/>
    <n v="0"/>
    <n v="0"/>
    <n v="1518426"/>
    <n v="0"/>
    <n v="0"/>
    <n v="1518426"/>
    <n v="27.81"/>
  </r>
  <r>
    <s v="HINDUSTAN OIL TRADERS, AMRITSAR (P.B) "/>
    <x v="1"/>
    <d v="2016-05-17T00:00:00"/>
    <n v="5"/>
    <x v="2"/>
    <n v="30.25"/>
    <n v="55800"/>
    <n v="1687950"/>
    <n v="0"/>
    <n v="0"/>
    <n v="0"/>
    <n v="0"/>
    <n v="1687950"/>
    <n v="0"/>
    <n v="0"/>
    <n v="1687950"/>
    <n v="30.25"/>
  </r>
  <r>
    <s v="DEEPCHAND ARYA INDUSTRIES, DELHI"/>
    <x v="1"/>
    <d v="2016-05-18T00:00:00"/>
    <n v="5"/>
    <x v="2"/>
    <n v="23.58"/>
    <n v="45500"/>
    <n v="1072890"/>
    <n v="0"/>
    <n v="0"/>
    <n v="0"/>
    <n v="0"/>
    <n v="1072890"/>
    <n v="0"/>
    <n v="0"/>
    <n v="1072890"/>
    <n v="23.51"/>
  </r>
  <r>
    <s v="AMARJIT OIL TRADERS, AMRITSAR (P.B) "/>
    <x v="1"/>
    <d v="2016-05-18T00:00:00"/>
    <n v="5"/>
    <x v="2"/>
    <n v="22.95"/>
    <n v="54500"/>
    <n v="1250775"/>
    <n v="0"/>
    <n v="0"/>
    <n v="0"/>
    <n v="0"/>
    <n v="1250775"/>
    <n v="0"/>
    <n v="0"/>
    <n v="1250775"/>
    <n v="22.9"/>
  </r>
  <r>
    <s v="AMARJIT OIL TRADERS, AMRITSAR (P.B) "/>
    <x v="1"/>
    <d v="2016-05-19T00:00:00"/>
    <n v="5"/>
    <x v="2"/>
    <n v="27.45"/>
    <n v="54500"/>
    <n v="1496025"/>
    <n v="0"/>
    <n v="0"/>
    <n v="0"/>
    <n v="0"/>
    <n v="1496025"/>
    <n v="0"/>
    <n v="0"/>
    <n v="1496025"/>
    <n v="27.4"/>
  </r>
  <r>
    <s v="DEEPCHAND ARYA INDUSTRIES, DELHI"/>
    <x v="1"/>
    <d v="2016-05-19T00:00:00"/>
    <n v="5"/>
    <x v="2"/>
    <n v="27.434999999999999"/>
    <n v="54970.22"/>
    <n v="1508107.9857000001"/>
    <n v="0"/>
    <n v="0"/>
    <n v="0"/>
    <n v="0"/>
    <n v="1508107.9857000001"/>
    <n v="0"/>
    <n v="0"/>
    <n v="1508107.9857000001"/>
    <n v="27.29"/>
  </r>
  <r>
    <s v="AMARJIT OIL TRADERS, AMRITSAR (P.B) "/>
    <x v="1"/>
    <d v="2016-05-20T00:00:00"/>
    <n v="5"/>
    <x v="2"/>
    <n v="27.01"/>
    <n v="55800"/>
    <n v="1507158"/>
    <n v="0"/>
    <n v="0"/>
    <n v="0"/>
    <n v="0"/>
    <n v="1507158"/>
    <n v="0"/>
    <n v="0"/>
    <n v="1507158"/>
    <n v="26.97"/>
  </r>
  <r>
    <s v="AMARJIT OIL TRADERS, AMRITSAR (P.B) "/>
    <x v="1"/>
    <d v="2016-05-20T00:00:00"/>
    <n v="5"/>
    <x v="2"/>
    <n v="26.51"/>
    <n v="55334.13"/>
    <n v="1466907.7863"/>
    <n v="0"/>
    <n v="0"/>
    <n v="0"/>
    <n v="0"/>
    <n v="1466907.7863"/>
    <n v="0"/>
    <n v="0"/>
    <n v="1466907.7863"/>
    <n v="26.45"/>
  </r>
  <r>
    <s v="DEEPCHAND ARYA INDUSTRIES, DELHI"/>
    <x v="1"/>
    <d v="2016-05-20T00:00:00"/>
    <n v="5"/>
    <x v="2"/>
    <n v="27.1"/>
    <n v="55500"/>
    <n v="1504050"/>
    <n v="0"/>
    <n v="0"/>
    <n v="0"/>
    <n v="0"/>
    <n v="1504050"/>
    <n v="0"/>
    <n v="0"/>
    <n v="1504050"/>
    <n v="27.03"/>
  </r>
  <r>
    <s v="HARKARAN DASS VEDPAL, LUDHIANA (P.B)"/>
    <x v="1"/>
    <d v="2016-05-20T00:00:00"/>
    <n v="5"/>
    <x v="2"/>
    <n v="29.58"/>
    <n v="55434.879999999997"/>
    <n v="1639763.7503999998"/>
    <n v="0"/>
    <n v="0"/>
    <n v="0"/>
    <n v="0"/>
    <n v="1639763.7503999998"/>
    <n v="0"/>
    <n v="0"/>
    <n v="1639763.7503999998"/>
    <n v="29.52"/>
  </r>
  <r>
    <s v="JAI BHAGWATI AGRO OILS , LUDHIANA (P.B)"/>
    <x v="1"/>
    <d v="2016-05-21T00:00:00"/>
    <n v="5"/>
    <x v="2"/>
    <n v="26.9"/>
    <n v="56000"/>
    <n v="1506400"/>
    <n v="0"/>
    <n v="0"/>
    <n v="0"/>
    <n v="0"/>
    <n v="1506400"/>
    <n v="0"/>
    <n v="0"/>
    <n v="1506400"/>
    <n v="26.83"/>
  </r>
  <r>
    <s v="DEEPCHAND ARYA INDUSTRIES, DELHI"/>
    <x v="1"/>
    <d v="2016-05-21T00:00:00"/>
    <n v="5"/>
    <x v="2"/>
    <n v="28.18"/>
    <n v="54500"/>
    <n v="1535810"/>
    <n v="0"/>
    <n v="0"/>
    <n v="0"/>
    <n v="0"/>
    <n v="1535810"/>
    <n v="0"/>
    <n v="0"/>
    <n v="1535810"/>
    <n v="28.02"/>
  </r>
  <r>
    <s v="SIDDHARTH OILS, LUDHIANA (P.B)"/>
    <x v="2"/>
    <d v="2016-05-22T00:00:00"/>
    <n v="5"/>
    <x v="3"/>
    <n v="27.815000000000001"/>
    <n v="48000"/>
    <n v="1335120"/>
    <n v="0"/>
    <n v="0"/>
    <n v="0"/>
    <n v="0"/>
    <n v="1335120"/>
    <n v="0"/>
    <n v="0"/>
    <n v="1335120"/>
    <n v="27.51"/>
  </r>
  <r>
    <s v="M.D. TRADING CO., LUDHIANA (P.B)"/>
    <x v="1"/>
    <d v="2016-05-22T00:00:00"/>
    <n v="5"/>
    <x v="3"/>
    <n v="23.33"/>
    <n v="45500"/>
    <n v="1061515"/>
    <n v="0"/>
    <n v="0"/>
    <n v="0"/>
    <n v="0"/>
    <n v="1061515"/>
    <n v="0"/>
    <n v="0"/>
    <n v="1061515"/>
    <n v="23.28"/>
  </r>
  <r>
    <s v="S.R.A. TRADE LINKS, DELHI"/>
    <x v="2"/>
    <d v="2016-05-22T00:00:00"/>
    <n v="5"/>
    <x v="3"/>
    <n v="25.96"/>
    <n v="48000"/>
    <n v="1246080"/>
    <n v="0"/>
    <n v="0"/>
    <n v="0"/>
    <n v="0"/>
    <n v="1246080"/>
    <n v="0"/>
    <n v="0"/>
    <n v="1246080"/>
    <n v="25.96"/>
  </r>
  <r>
    <s v="DEEPCHAND ARYA INDUSTRIES, DELHI"/>
    <x v="1"/>
    <d v="2016-05-23T00:00:00"/>
    <n v="5"/>
    <x v="3"/>
    <n v="28.44"/>
    <n v="55009.91"/>
    <n v="1564481.8404000001"/>
    <n v="0"/>
    <n v="0"/>
    <n v="0"/>
    <n v="0"/>
    <n v="1564481.8404000001"/>
    <n v="0"/>
    <n v="0"/>
    <n v="1564481.8404000001"/>
    <n v="28.4"/>
  </r>
  <r>
    <s v="LOK NATH VARINDER KUMAR IMPEX LTD, LUDHIANA (P.B)"/>
    <x v="2"/>
    <d v="2016-05-23T00:00:00"/>
    <n v="5"/>
    <x v="3"/>
    <n v="29.454999999999998"/>
    <n v="54872.27"/>
    <n v="1616262.7128499998"/>
    <n v="0"/>
    <n v="0"/>
    <n v="0"/>
    <n v="0"/>
    <n v="1616262.7128499998"/>
    <n v="0"/>
    <n v="0"/>
    <n v="1616262.7128499998"/>
    <n v="29.4"/>
  </r>
  <r>
    <s v="LOK NATH VARINDER KUMAR IMPEX LTD, LUDHIANA (P.B)"/>
    <x v="2"/>
    <d v="2016-05-23T00:00:00"/>
    <n v="5"/>
    <x v="3"/>
    <n v="29.605"/>
    <n v="51500"/>
    <n v="1524657.5"/>
    <n v="0"/>
    <n v="0"/>
    <n v="0"/>
    <n v="0"/>
    <n v="1524657.5"/>
    <n v="0"/>
    <n v="0"/>
    <n v="1524657.5"/>
    <n v="29.54"/>
  </r>
  <r>
    <s v="DEEPCHAND ARYA INDUSTRIES, DELHI"/>
    <x v="2"/>
    <d v="2016-05-25T00:00:00"/>
    <n v="5"/>
    <x v="3"/>
    <n v="22.3"/>
    <n v="50300"/>
    <n v="1121690"/>
    <n v="0"/>
    <n v="0"/>
    <n v="0"/>
    <n v="0"/>
    <n v="1121690"/>
    <n v="0"/>
    <n v="0"/>
    <n v="1121690"/>
    <n v="22.25"/>
  </r>
  <r>
    <s v="SIDDHARTH OILS, LUDHIANA (P.B)"/>
    <x v="1"/>
    <d v="2016-05-26T00:00:00"/>
    <n v="5"/>
    <x v="3"/>
    <n v="28.11"/>
    <n v="54895.23"/>
    <n v="1543104.9153"/>
    <n v="0"/>
    <n v="0"/>
    <n v="0"/>
    <n v="0"/>
    <n v="1543104.9153"/>
    <n v="0"/>
    <n v="0"/>
    <n v="1543104.9153"/>
    <n v="28.04"/>
  </r>
  <r>
    <s v="SIDDHARTH OILS, LUDHIANA (P.B)"/>
    <x v="2"/>
    <d v="2016-05-26T00:00:00"/>
    <n v="5"/>
    <x v="3"/>
    <n v="23.92"/>
    <n v="48500"/>
    <n v="1160120"/>
    <n v="0"/>
    <n v="0"/>
    <n v="0"/>
    <n v="0"/>
    <n v="1160120"/>
    <n v="0"/>
    <n v="0"/>
    <n v="1160120"/>
    <n v="23.81"/>
  </r>
  <r>
    <s v="DEEPCHAND ARYA INDUSTRIES, DELHI"/>
    <x v="1"/>
    <d v="2016-05-27T00:00:00"/>
    <n v="5"/>
    <x v="3"/>
    <n v="29.42"/>
    <n v="55800"/>
    <n v="1641636"/>
    <n v="0"/>
    <n v="0"/>
    <n v="0"/>
    <n v="0"/>
    <n v="1641636"/>
    <n v="0"/>
    <n v="0"/>
    <n v="1641636"/>
    <n v="29.36"/>
  </r>
  <r>
    <s v="LOK NATH VARINDER KUMAR IMPEX LTD, LUDHIANA (P.B)"/>
    <x v="2"/>
    <d v="2016-05-27T00:00:00"/>
    <n v="5"/>
    <x v="3"/>
    <n v="29.905000000000001"/>
    <n v="51500"/>
    <n v="1540107.5"/>
    <n v="0"/>
    <n v="0"/>
    <n v="0"/>
    <n v="0"/>
    <n v="1540107.5"/>
    <n v="0"/>
    <n v="0"/>
    <n v="1540107.5"/>
    <n v="29.83"/>
  </r>
  <r>
    <s v="M.D. TRADING CO., LUDHIANA (P.B)"/>
    <x v="1"/>
    <d v="2016-05-28T00:00:00"/>
    <n v="5"/>
    <x v="3"/>
    <n v="28.81"/>
    <n v="53500"/>
    <n v="1541335"/>
    <n v="0"/>
    <n v="0"/>
    <n v="0"/>
    <n v="0"/>
    <n v="1541335"/>
    <n v="0"/>
    <n v="0"/>
    <n v="1541335"/>
    <n v="28.78"/>
  </r>
  <r>
    <s v="JAI BHAGWATI AGRO OILS , LUDHIANA (P.B)"/>
    <x v="1"/>
    <d v="2016-05-28T00:00:00"/>
    <n v="5"/>
    <x v="3"/>
    <n v="26.17"/>
    <n v="56000"/>
    <n v="1465520"/>
    <n v="0"/>
    <n v="0"/>
    <n v="0"/>
    <n v="0"/>
    <n v="1465520"/>
    <n v="0"/>
    <n v="0"/>
    <n v="1465520"/>
    <n v="26.1"/>
  </r>
  <r>
    <s v="M.D. TRADING CO., LUDHIANA (P.B)"/>
    <x v="1"/>
    <d v="2016-05-28T00:00:00"/>
    <n v="5"/>
    <x v="3"/>
    <n v="30.62"/>
    <n v="45500"/>
    <n v="1393210"/>
    <n v="0"/>
    <n v="0"/>
    <n v="0"/>
    <n v="0"/>
    <n v="1393210"/>
    <n v="0"/>
    <n v="0"/>
    <n v="1393210"/>
    <n v="30.46"/>
  </r>
  <r>
    <s v="RICELA HEALTH FOODS LIMITED, DHURI (P.B)"/>
    <x v="3"/>
    <d v="2016-05-28T00:00:00"/>
    <n v="5"/>
    <x v="3"/>
    <n v="25.72"/>
    <n v="50000"/>
    <n v="1286000"/>
    <n v="0"/>
    <n v="0"/>
    <n v="0"/>
    <n v="0"/>
    <n v="1286000"/>
    <n v="25720"/>
    <n v="0"/>
    <n v="1311720"/>
    <n v="25.64"/>
  </r>
  <r>
    <s v="SHREE GANPATI ENTERPRISES, AMRITSAR (P.B) "/>
    <x v="1"/>
    <d v="2016-05-28T00:00:00"/>
    <n v="5"/>
    <x v="3"/>
    <n v="28.13"/>
    <n v="44900"/>
    <n v="1263037"/>
    <n v="0"/>
    <n v="0"/>
    <n v="0"/>
    <n v="0"/>
    <n v="1263037"/>
    <n v="0"/>
    <n v="0"/>
    <n v="1263037"/>
    <n v="28.12"/>
  </r>
  <r>
    <s v="DEEPCHAND ARYA INDUSTRIES, DELHI"/>
    <x v="1"/>
    <d v="2016-05-28T00:00:00"/>
    <n v="5"/>
    <x v="3"/>
    <n v="21.31"/>
    <n v="55800"/>
    <n v="1189098"/>
    <n v="0"/>
    <n v="0"/>
    <n v="0"/>
    <n v="0"/>
    <n v="1189098"/>
    <n v="0"/>
    <n v="0"/>
    <n v="1189098"/>
    <n v="21.19"/>
  </r>
  <r>
    <s v="S.R.A. TRADE LINKS, DELHI"/>
    <x v="2"/>
    <d v="2016-05-28T00:00:00"/>
    <n v="5"/>
    <x v="3"/>
    <n v="19.71"/>
    <n v="51000"/>
    <n v="1005210"/>
    <n v="0"/>
    <n v="0"/>
    <n v="0"/>
    <n v="0"/>
    <n v="1005210"/>
    <n v="0"/>
    <n v="0"/>
    <n v="1005210"/>
    <n v="19.71"/>
  </r>
  <r>
    <s v="S.R.A. TRADE LINKS, DELHI"/>
    <x v="2"/>
    <d v="2016-05-28T00:00:00"/>
    <n v="5"/>
    <x v="3"/>
    <n v="19.61"/>
    <n v="51000"/>
    <n v="1000110"/>
    <n v="0"/>
    <n v="0"/>
    <n v="0"/>
    <n v="0"/>
    <n v="1000110"/>
    <n v="0"/>
    <n v="0"/>
    <n v="1000110"/>
    <n v="19.61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4368"/>
    <n v="1670869.2708000001"/>
    <n v="21.48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4368"/>
    <n v="1670869.2708000001"/>
    <n v="21.48"/>
  </r>
  <r>
    <s v="PT. VVF INDONESIA,DELI SERDANG,MEDAN,INDONESIA"/>
    <x v="0"/>
    <d v="2016-05-30T00:00:00"/>
    <n v="5"/>
    <x v="4"/>
    <n v="21.47"/>
    <n v="76187.210000000006"/>
    <n v="1635739.3987"/>
    <n v="0"/>
    <n v="0"/>
    <n v="0"/>
    <n v="0"/>
    <n v="1635739.3987"/>
    <n v="0"/>
    <n v="34352"/>
    <n v="1670091.3987"/>
    <n v="21.47"/>
  </r>
  <r>
    <s v="PT. VVF INDONESIA,DELI SERDANG,MEDAN,INDONESIA"/>
    <x v="0"/>
    <d v="2016-05-30T00:00:00"/>
    <n v="5"/>
    <x v="4"/>
    <n v="21.53"/>
    <n v="76187.210000000006"/>
    <n v="1640310.6313000002"/>
    <n v="0"/>
    <n v="0"/>
    <n v="0"/>
    <n v="0"/>
    <n v="1640310.6313000002"/>
    <n v="0"/>
    <n v="34448"/>
    <n v="1674758.6313000002"/>
    <n v="21.53"/>
  </r>
  <r>
    <s v="PT. VVF INDONESIA,DELI SERDANG,MEDAN,INDONESIA"/>
    <x v="0"/>
    <d v="2016-05-30T00:00:00"/>
    <n v="5"/>
    <x v="4"/>
    <n v="21.51"/>
    <n v="76187.210000000006"/>
    <n v="1638786.8871000002"/>
    <n v="0"/>
    <n v="0"/>
    <n v="0"/>
    <n v="0"/>
    <n v="1638786.8871000002"/>
    <n v="0"/>
    <n v="34416"/>
    <n v="1673202.8871000002"/>
    <n v="21.51"/>
  </r>
  <r>
    <s v="PT. VVF INDONESIA,DELI SERDANG,MEDAN,INDONESIA"/>
    <x v="0"/>
    <d v="2016-05-30T00:00:00"/>
    <n v="5"/>
    <x v="4"/>
    <n v="21.54"/>
    <n v="76187.210000000006"/>
    <n v="1641072.5034"/>
    <n v="0"/>
    <n v="0"/>
    <n v="0"/>
    <n v="0"/>
    <n v="1641072.5034"/>
    <n v="0"/>
    <n v="34464"/>
    <n v="1675536.5034"/>
    <n v="21.54"/>
  </r>
  <r>
    <s v="PT. VVF INDONESIA,DELI SERDANG,MEDAN,INDONESIA"/>
    <x v="0"/>
    <d v="2016-05-30T00:00:00"/>
    <n v="5"/>
    <x v="4"/>
    <n v="21.51"/>
    <n v="76187.210000000006"/>
    <n v="1638786.8871000002"/>
    <n v="0"/>
    <n v="0"/>
    <n v="0"/>
    <n v="0"/>
    <n v="1638786.8871000002"/>
    <n v="0"/>
    <n v="34416"/>
    <n v="1673202.8871000002"/>
    <n v="21.51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3872"/>
    <n v="1670373.2708000001"/>
    <n v="21.17"/>
  </r>
  <r>
    <s v="J.D TRADING CO., LUDHIANA (P.B)"/>
    <x v="1"/>
    <d v="2016-05-31T00:00:00"/>
    <n v="5"/>
    <x v="4"/>
    <n v="23.22"/>
    <n v="55500"/>
    <n v="1288710"/>
    <n v="0"/>
    <n v="0"/>
    <n v="0"/>
    <n v="0"/>
    <n v="1288710"/>
    <n v="0"/>
    <n v="0"/>
    <n v="1288710"/>
    <n v="23.17"/>
  </r>
  <r>
    <s v="DEEPCHAND ARYA INDUSTRIES, DELHI"/>
    <x v="1"/>
    <d v="2016-05-31T00:00:00"/>
    <n v="5"/>
    <x v="4"/>
    <n v="27.52"/>
    <n v="54708.79"/>
    <n v="1505585.9007999999"/>
    <n v="0"/>
    <n v="0"/>
    <n v="0"/>
    <n v="0"/>
    <n v="1505585.9007999999"/>
    <n v="0"/>
    <n v="0"/>
    <n v="1505585.9007999999"/>
    <n v="27.52"/>
  </r>
  <r>
    <s v="AMARJIT OIL TRADERS, AMRITSAR (P.B) "/>
    <x v="1"/>
    <d v="2016-05-31T00:00:00"/>
    <n v="5"/>
    <x v="4"/>
    <n v="27.16"/>
    <n v="55505.74"/>
    <n v="1507535.8984000001"/>
    <n v="0"/>
    <n v="0"/>
    <n v="0"/>
    <n v="0"/>
    <n v="1507535.8984000001"/>
    <n v="0"/>
    <n v="0"/>
    <n v="1507535.8984000001"/>
    <n v="27.1"/>
  </r>
  <r>
    <s v="SHREE GANPATI ENTERPRISES, AMRITSAR (P.B) "/>
    <x v="1"/>
    <d v="2016-05-31T00:00:00"/>
    <n v="5"/>
    <x v="4"/>
    <n v="27.21"/>
    <n v="44900"/>
    <n v="1221729"/>
    <n v="0"/>
    <n v="0"/>
    <n v="0"/>
    <n v="0"/>
    <n v="1221729"/>
    <n v="0"/>
    <n v="0"/>
    <n v="1221729"/>
    <n v="27.14"/>
  </r>
  <r>
    <s v="HARKARAN DASS VEDPAL, LUDHIANA (P.B)"/>
    <x v="1"/>
    <d v="2016-05-31T00:00:00"/>
    <n v="5"/>
    <x v="4"/>
    <n v="29.43"/>
    <n v="54600"/>
    <n v="1606878"/>
    <n v="0"/>
    <n v="0"/>
    <n v="0"/>
    <n v="0"/>
    <n v="1606878"/>
    <n v="0"/>
    <n v="0"/>
    <n v="1606878"/>
    <n v="29.2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5">
  <r>
    <s v="RICELA HEALTH FOODS LIMITED, DHURI (P.B)"/>
    <x v="0"/>
    <d v="2016-04-01T00:00:00"/>
    <n v="4"/>
    <x v="0"/>
    <n v="28.46"/>
    <n v="45686.3"/>
    <n v="1300232.0980000002"/>
    <n v="0"/>
    <n v="0"/>
    <n v="0"/>
    <n v="0"/>
    <n v="1300232.0980000002"/>
    <n v="26004.641960000004"/>
    <n v="0"/>
    <n v="1326236.7399600002"/>
    <n v="28.46"/>
  </r>
  <r>
    <s v="M.D. TRADING CO., LUDHIANA (P.B)"/>
    <x v="1"/>
    <d v="2016-04-01T00:00:00"/>
    <n v="4"/>
    <x v="0"/>
    <n v="30.08"/>
    <n v="45072.41"/>
    <n v="1355778.0928"/>
    <n v="0"/>
    <n v="0"/>
    <n v="0"/>
    <n v="0"/>
    <n v="1355778.0928"/>
    <n v="0"/>
    <n v="0"/>
    <n v="1355778.0928"/>
    <n v="30.08"/>
  </r>
  <r>
    <s v="LOK NATH VARINDER KUMAR IMPEX LTD, LUDHIANA (P.B)"/>
    <x v="2"/>
    <d v="2016-04-01T00:00:00"/>
    <n v="4"/>
    <x v="0"/>
    <n v="26.84"/>
    <n v="48500"/>
    <n v="1301740"/>
    <n v="0"/>
    <n v="0"/>
    <n v="0"/>
    <n v="0"/>
    <n v="1301740"/>
    <n v="0"/>
    <n v="0"/>
    <n v="1301740"/>
    <n v="26.84"/>
  </r>
  <r>
    <s v="RAHA OIL PVT LTD. NAMAKKAL , TAMIL NAIDU"/>
    <x v="3"/>
    <d v="2016-04-01T00:00:00"/>
    <n v="4"/>
    <x v="0"/>
    <n v="23.54"/>
    <n v="81210"/>
    <n v="1911683.4"/>
    <n v="0"/>
    <n v="0"/>
    <n v="0"/>
    <n v="0"/>
    <n v="1911683.4"/>
    <n v="38233.667999999998"/>
    <n v="0"/>
    <n v="1949917.068"/>
    <n v="23.54"/>
  </r>
  <r>
    <s v="RICELA HEALTH FOODS LIMITED, DHURI (P.B)"/>
    <x v="0"/>
    <d v="2016-04-02T00:00:00"/>
    <n v="4"/>
    <x v="0"/>
    <n v="28.57"/>
    <n v="45686.3"/>
    <n v="1305257.591"/>
    <n v="0"/>
    <n v="0"/>
    <n v="0"/>
    <n v="0"/>
    <n v="1305257.591"/>
    <n v="26105.151819999999"/>
    <n v="0"/>
    <n v="1331362.74282"/>
    <n v="28.57"/>
  </r>
  <r>
    <s v="RICELA HEALTH FOODS LIMITED, DHURI (P.B)"/>
    <x v="0"/>
    <d v="2016-04-03T00:00:00"/>
    <n v="4"/>
    <x v="1"/>
    <n v="28.48"/>
    <n v="49411.8"/>
    <n v="1407248.064"/>
    <n v="0"/>
    <n v="0"/>
    <n v="0"/>
    <n v="0"/>
    <n v="1407248.064"/>
    <n v="28144.96128"/>
    <n v="0"/>
    <n v="1435393.0252799999"/>
    <n v="28.48"/>
  </r>
  <r>
    <s v="RICELA HEALTH FOODS LIMITED, DHURI (P.B)"/>
    <x v="0"/>
    <d v="2016-04-03T00:00:00"/>
    <n v="4"/>
    <x v="1"/>
    <n v="28.43"/>
    <n v="49411.8"/>
    <n v="1404777.4740000002"/>
    <n v="0"/>
    <n v="0"/>
    <n v="0"/>
    <n v="0"/>
    <n v="1404777.4740000002"/>
    <n v="28095.549480000005"/>
    <n v="0"/>
    <n v="1432873.0234800002"/>
    <n v="28.43"/>
  </r>
  <r>
    <s v="HARKARAN DASS VEDPAL, LUDHIANA (P.B)"/>
    <x v="1"/>
    <d v="2016-04-03T00:00:00"/>
    <n v="4"/>
    <x v="1"/>
    <n v="27.43"/>
    <n v="46200"/>
    <n v="1267266"/>
    <n v="0"/>
    <n v="0"/>
    <n v="0"/>
    <n v="0"/>
    <n v="1267266"/>
    <n v="0"/>
    <n v="0"/>
    <n v="1267266"/>
    <n v="27.43"/>
  </r>
  <r>
    <s v="J.D TRADING CO., LUDHIANA (P.B)"/>
    <x v="1"/>
    <d v="2016-04-03T00:00:00"/>
    <n v="4"/>
    <x v="1"/>
    <n v="26.7"/>
    <n v="44096.83"/>
    <n v="1177385.361"/>
    <n v="0"/>
    <n v="0"/>
    <n v="0"/>
    <n v="0"/>
    <n v="1177385.361"/>
    <n v="0"/>
    <n v="0"/>
    <n v="1177385.361"/>
    <n v="26.7"/>
  </r>
  <r>
    <s v="J.D TRADING CO., LUDHIANA (P.B)"/>
    <x v="1"/>
    <d v="2016-04-03T00:00:00"/>
    <n v="4"/>
    <x v="1"/>
    <n v="30.78"/>
    <n v="43000"/>
    <n v="1323540"/>
    <n v="0"/>
    <n v="0"/>
    <n v="0"/>
    <n v="0"/>
    <n v="1323540"/>
    <n v="0"/>
    <n v="0"/>
    <n v="1323540"/>
    <n v="30.78"/>
  </r>
  <r>
    <s v="LOK NATH VARINDER KUMAR IMPEX LTD, LUDHIANA (P.B)"/>
    <x v="2"/>
    <d v="2016-04-04T00:00:00"/>
    <n v="4"/>
    <x v="1"/>
    <n v="30.79"/>
    <n v="48160.3"/>
    <n v="1482855.6370000001"/>
    <n v="0"/>
    <n v="0"/>
    <n v="0"/>
    <n v="0"/>
    <n v="1482855.6370000001"/>
    <n v="0"/>
    <n v="0"/>
    <n v="1482855.6370000001"/>
    <n v="30.79"/>
  </r>
  <r>
    <s v="J.D TRADING CO., LUDHIANA (P.B)"/>
    <x v="1"/>
    <d v="2016-04-04T00:00:00"/>
    <n v="4"/>
    <x v="1"/>
    <n v="30.6"/>
    <n v="44900"/>
    <n v="1373940"/>
    <n v="0"/>
    <n v="0"/>
    <n v="0"/>
    <n v="0"/>
    <n v="1373940"/>
    <n v="0"/>
    <n v="0"/>
    <n v="1373940"/>
    <n v="30.6"/>
  </r>
  <r>
    <s v="RAHA OIL PVT LTD. NAMAKKAL , TAMIL NAIDU"/>
    <x v="4"/>
    <d v="2016-04-04T00:00:00"/>
    <n v="4"/>
    <x v="1"/>
    <n v="23.99"/>
    <n v="79260"/>
    <n v="1901447.4"/>
    <n v="0"/>
    <n v="0"/>
    <n v="3879"/>
    <n v="0"/>
    <n v="1905326.4"/>
    <n v="38028.947999999997"/>
    <n v="0"/>
    <n v="1943355.348"/>
    <n v="23.99"/>
  </r>
  <r>
    <s v="M.D. TRADING CO., LUDHIANA (P.B)"/>
    <x v="2"/>
    <d v="2016-04-05T00:00:00"/>
    <n v="4"/>
    <x v="1"/>
    <n v="29.46"/>
    <n v="44905.95"/>
    <n v="1322929.287"/>
    <n v="0"/>
    <n v="0"/>
    <n v="0"/>
    <n v="0"/>
    <n v="1322929.287"/>
    <n v="0"/>
    <n v="0"/>
    <n v="1322929.287"/>
    <n v="29.46"/>
  </r>
  <r>
    <s v="RICELA HEALTH FOODS LIMITED, DHURI (P.B)"/>
    <x v="0"/>
    <d v="2016-04-05T00:00:00"/>
    <n v="4"/>
    <x v="1"/>
    <n v="27.97"/>
    <n v="49411.8"/>
    <n v="1382048.0460000001"/>
    <n v="0"/>
    <n v="0"/>
    <n v="0"/>
    <n v="0"/>
    <n v="1382048.0460000001"/>
    <n v="27640.960920000001"/>
    <n v="0"/>
    <n v="1409689.0069200001"/>
    <n v="27.97"/>
  </r>
  <r>
    <s v="RICELA HEALTH FOODS LIMITED, DHURI (P.B)"/>
    <x v="0"/>
    <d v="2016-04-05T00:00:00"/>
    <n v="4"/>
    <x v="1"/>
    <n v="27.5"/>
    <n v="49411.8"/>
    <n v="1358824.5"/>
    <n v="0"/>
    <n v="0"/>
    <n v="0"/>
    <n v="0"/>
    <n v="1358824.5"/>
    <n v="27176.49"/>
    <n v="0"/>
    <n v="1386000.99"/>
    <n v="27.5"/>
  </r>
  <r>
    <s v="RICELA HEALTH FOODS LIMITED, DHURI (P.B)"/>
    <x v="0"/>
    <d v="2016-04-05T00:00:00"/>
    <n v="4"/>
    <x v="1"/>
    <n v="28.55"/>
    <n v="49411.8"/>
    <n v="1410706.8900000001"/>
    <n v="0"/>
    <n v="0"/>
    <n v="0"/>
    <n v="0"/>
    <n v="1410706.8900000001"/>
    <n v="28214.137800000004"/>
    <n v="0"/>
    <n v="1438921.0278"/>
    <n v="28.55"/>
  </r>
  <r>
    <s v="RAHA OIL PVT LTD. NAMAKKAL , TAMIL NAIDU"/>
    <x v="4"/>
    <d v="2016-04-05T00:00:00"/>
    <n v="4"/>
    <x v="1"/>
    <n v="20.21"/>
    <n v="78770"/>
    <n v="1591941.7"/>
    <n v="0"/>
    <n v="0"/>
    <n v="3249"/>
    <n v="0"/>
    <n v="1595190.7"/>
    <n v="31854.588"/>
    <n v="0"/>
    <n v="1627045.2879999999"/>
    <n v="20.21"/>
  </r>
  <r>
    <s v="HARKARAN DASS VEDPAL, LUDHIANA (P.B)"/>
    <x v="1"/>
    <d v="2016-04-06T00:00:00"/>
    <n v="4"/>
    <x v="1"/>
    <n v="26.93"/>
    <n v="46048.61"/>
    <n v="1240089.0673"/>
    <n v="0"/>
    <n v="0"/>
    <n v="0"/>
    <n v="0"/>
    <n v="1240089.0673"/>
    <n v="0"/>
    <n v="0"/>
    <n v="1240089.0673"/>
    <n v="26.93"/>
  </r>
  <r>
    <s v="PUNJAB OILS, AMRITSAR (P.B) "/>
    <x v="1"/>
    <d v="2016-04-06T00:00:00"/>
    <n v="4"/>
    <x v="1"/>
    <n v="27.64"/>
    <n v="45500"/>
    <n v="1257620"/>
    <n v="0"/>
    <n v="0"/>
    <n v="0"/>
    <n v="0"/>
    <n v="1257620"/>
    <n v="0"/>
    <n v="0"/>
    <n v="1257620"/>
    <n v="27.64"/>
  </r>
  <r>
    <s v="PUNJAB OILS, AMRITSAR (P.B) "/>
    <x v="1"/>
    <d v="2016-04-06T00:00:00"/>
    <n v="4"/>
    <x v="1"/>
    <n v="26.5"/>
    <n v="45160.03"/>
    <n v="1196740.7949999999"/>
    <n v="0"/>
    <n v="0"/>
    <n v="0"/>
    <n v="0"/>
    <n v="1196740.7949999999"/>
    <n v="0"/>
    <n v="0"/>
    <n v="1196740.7949999999"/>
    <n v="26.5"/>
  </r>
  <r>
    <s v="JAI BHAGWATI AGRO OILS , LUDHIANA (P.B)"/>
    <x v="1"/>
    <d v="2016-04-06T00:00:00"/>
    <n v="4"/>
    <x v="1"/>
    <n v="35.65"/>
    <n v="45700"/>
    <n v="1629205"/>
    <n v="0"/>
    <n v="0"/>
    <n v="0"/>
    <n v="0"/>
    <n v="1629205"/>
    <n v="0"/>
    <n v="0"/>
    <n v="1629205"/>
    <n v="35.65"/>
  </r>
  <r>
    <s v="RAHA OIL PVT LTD. NAMAKKAL , TAMIL NAIDU"/>
    <x v="4"/>
    <d v="2016-04-06T00:00:00"/>
    <n v="4"/>
    <x v="1"/>
    <n v="27.93"/>
    <n v="78770"/>
    <n v="2200046.1"/>
    <n v="0"/>
    <n v="0"/>
    <n v="4509"/>
    <n v="0"/>
    <n v="2204555.1"/>
    <n v="44205.723999999995"/>
    <n v="0"/>
    <n v="2248760.824"/>
    <n v="27.93"/>
  </r>
  <r>
    <s v="RAHA OIL PVT LTD. NAMAKKAL , TAMIL NAIDU"/>
    <x v="4"/>
    <d v="2016-04-07T00:00:00"/>
    <n v="4"/>
    <x v="1"/>
    <n v="23.77"/>
    <n v="78770"/>
    <n v="1872362.9"/>
    <n v="0"/>
    <n v="0"/>
    <n v="0"/>
    <n v="0"/>
    <n v="1872362.9"/>
    <n v="37447.258000000002"/>
    <n v="0"/>
    <n v="1909810.1579999998"/>
    <n v="23.77"/>
  </r>
  <r>
    <s v="J.D TRADING CO., LUDHIANA (P.B)"/>
    <x v="1"/>
    <d v="2016-04-07T00:00:00"/>
    <n v="4"/>
    <x v="1"/>
    <n v="30.93"/>
    <n v="44900"/>
    <n v="1388757"/>
    <n v="0"/>
    <n v="0"/>
    <n v="0"/>
    <n v="0"/>
    <n v="1388757"/>
    <n v="0"/>
    <n v="0"/>
    <n v="1388757"/>
    <n v="30.93"/>
  </r>
  <r>
    <s v="RICELA HEALTH FOODS LIMITED, DHURI (P.B)"/>
    <x v="0"/>
    <d v="2016-04-08T00:00:00"/>
    <n v="4"/>
    <x v="1"/>
    <n v="28.58"/>
    <n v="49411.8"/>
    <n v="1412189.2439999999"/>
    <n v="0"/>
    <n v="0"/>
    <n v="0"/>
    <n v="0"/>
    <n v="1412189.2439999999"/>
    <n v="28243.784879999999"/>
    <n v="0"/>
    <n v="1440433.0288799999"/>
    <n v="28.58"/>
  </r>
  <r>
    <s v="RICELA HEALTH FOODS LIMITED, DHURI (P.B)"/>
    <x v="0"/>
    <d v="2016-04-09T00:00:00"/>
    <n v="4"/>
    <x v="1"/>
    <n v="28.48"/>
    <n v="49411.8"/>
    <n v="1407248.064"/>
    <n v="0"/>
    <n v="0"/>
    <n v="0"/>
    <n v="0"/>
    <n v="1407248.064"/>
    <n v="28144.96128"/>
    <n v="0"/>
    <n v="1435393.0252799999"/>
    <n v="28.48"/>
  </r>
  <r>
    <s v="RICELA HEALTH FOODS LIMITED, DHURI (P.B)"/>
    <x v="0"/>
    <d v="2016-04-10T00:00:00"/>
    <n v="4"/>
    <x v="2"/>
    <n v="28.04"/>
    <n v="50882.400000000001"/>
    <n v="1426742.496"/>
    <n v="0"/>
    <n v="0"/>
    <n v="0"/>
    <n v="0"/>
    <n v="1426742.496"/>
    <n v="28534.849920000001"/>
    <n v="0"/>
    <n v="1455277.34592"/>
    <n v="28.04"/>
  </r>
  <r>
    <s v="HARKARAN DASS VEDPAL, LUDHIANA (P.B)"/>
    <x v="1"/>
    <d v="2016-04-10T00:00:00"/>
    <n v="4"/>
    <x v="2"/>
    <n v="27.2"/>
    <n v="45500"/>
    <n v="1237600"/>
    <n v="0"/>
    <n v="0"/>
    <n v="0"/>
    <n v="0"/>
    <n v="1237600"/>
    <n v="0"/>
    <n v="0"/>
    <n v="1237600"/>
    <n v="27.2"/>
  </r>
  <r>
    <s v="LOK NATH VARINDER KUMAR IMPEX LTD, LUDHIANA (P.B)"/>
    <x v="2"/>
    <d v="2016-04-12T00:00:00"/>
    <n v="4"/>
    <x v="2"/>
    <n v="29.63"/>
    <n v="53309.279999999999"/>
    <n v="1579553.9663999998"/>
    <n v="0"/>
    <n v="0"/>
    <n v="0"/>
    <n v="0"/>
    <n v="1579553.9663999998"/>
    <n v="0"/>
    <n v="0"/>
    <n v="1579553.9663999998"/>
    <n v="29.63"/>
  </r>
  <r>
    <s v="RICELA HEALTH FOODS LIMITED, DHURI (P.B)"/>
    <x v="0"/>
    <d v="2016-04-12T00:00:00"/>
    <n v="4"/>
    <x v="2"/>
    <n v="28.68"/>
    <n v="50882.400000000001"/>
    <n v="1459307.2320000001"/>
    <n v="0"/>
    <n v="0"/>
    <n v="0"/>
    <n v="0"/>
    <n v="1459307.2320000001"/>
    <n v="29186.144640000002"/>
    <n v="0"/>
    <n v="1488493.3766400001"/>
    <n v="28.68"/>
  </r>
  <r>
    <s v="JAI BHAGWATI AGRO OILS , LUDHIANA (P.B)"/>
    <x v="1"/>
    <d v="2016-04-14T00:00:00"/>
    <n v="4"/>
    <x v="2"/>
    <n v="26.84"/>
    <n v="55000"/>
    <n v="1476200"/>
    <n v="0"/>
    <n v="0"/>
    <n v="0"/>
    <n v="0"/>
    <n v="1476200"/>
    <n v="0"/>
    <n v="0"/>
    <n v="1476200"/>
    <n v="26.84"/>
  </r>
  <r>
    <s v="PT. VVF INDONESIA,DELI SERDANG,MEDAN,INDONESIA"/>
    <x v="5"/>
    <d v="2016-04-14T00:00:00"/>
    <n v="4"/>
    <x v="2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4T00:00:00"/>
    <n v="4"/>
    <x v="2"/>
    <n v="21.55"/>
    <n v="57883.91"/>
    <n v="1247398.2605000001"/>
    <n v="0"/>
    <n v="0"/>
    <n v="0"/>
    <n v="0"/>
    <n v="1247398.2605000001"/>
    <n v="0"/>
    <n v="1600"/>
    <n v="1281878.2605000001"/>
    <n v="21.55"/>
  </r>
  <r>
    <s v="PT. VVF INDONESIA,DELI SERDANG,MEDAN,INDONESIA"/>
    <x v="5"/>
    <d v="2016-04-14T00:00:00"/>
    <n v="4"/>
    <x v="2"/>
    <n v="21.49"/>
    <n v="57883.91"/>
    <n v="1243925.2259"/>
    <n v="0"/>
    <n v="0"/>
    <n v="0"/>
    <n v="0"/>
    <n v="1243925.2259"/>
    <n v="0"/>
    <n v="1600"/>
    <n v="1278309.2259"/>
    <n v="21.49"/>
  </r>
  <r>
    <s v="PT. VVF INDONESIA,DELI SERDANG,MEDAN,INDONESIA"/>
    <x v="5"/>
    <d v="2016-04-14T00:00:00"/>
    <n v="4"/>
    <x v="2"/>
    <n v="21.43"/>
    <n v="57883.91"/>
    <n v="1240452.1913000001"/>
    <n v="0"/>
    <n v="0"/>
    <n v="0"/>
    <n v="0"/>
    <n v="1240452.1913000001"/>
    <n v="0"/>
    <n v="1600"/>
    <n v="1274740.1913000001"/>
    <n v="21.43"/>
  </r>
  <r>
    <s v="PT. VVF INDONESIA,DELI SERDANG,MEDAN,INDONESIA"/>
    <x v="5"/>
    <d v="2016-04-14T00:00:00"/>
    <n v="4"/>
    <x v="2"/>
    <n v="21.54"/>
    <n v="57883.91"/>
    <n v="1246819.4214000001"/>
    <n v="0"/>
    <n v="0"/>
    <n v="0"/>
    <n v="0"/>
    <n v="1246819.4214000001"/>
    <n v="0"/>
    <n v="1600"/>
    <n v="1281283.4214000001"/>
    <n v="21.54"/>
  </r>
  <r>
    <s v="PT. VVF INDONESIA,DELI SERDANG,MEDAN,INDONESIA"/>
    <x v="5"/>
    <d v="2016-04-14T00:00:00"/>
    <n v="4"/>
    <x v="2"/>
    <n v="21.38"/>
    <n v="57883.91"/>
    <n v="1237557.9957999999"/>
    <n v="0"/>
    <n v="0"/>
    <n v="0"/>
    <n v="0"/>
    <n v="1237557.9957999999"/>
    <n v="0"/>
    <n v="1600"/>
    <n v="1271765.9957999999"/>
    <n v="21.38"/>
  </r>
  <r>
    <s v="PT. VVF INDONESIA,DELI SERDANG,MEDAN,INDONESIA"/>
    <x v="5"/>
    <d v="2016-04-14T00:00:00"/>
    <n v="4"/>
    <x v="2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4T00:00:00"/>
    <n v="4"/>
    <x v="2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4T00:00:00"/>
    <n v="4"/>
    <x v="2"/>
    <n v="21.43"/>
    <n v="57883.91"/>
    <n v="1240452.1913000001"/>
    <n v="0"/>
    <n v="0"/>
    <n v="0"/>
    <n v="0"/>
    <n v="1240452.1913000001"/>
    <n v="0"/>
    <n v="1600"/>
    <n v="1274740.1913000001"/>
    <n v="21.43"/>
  </r>
  <r>
    <s v="PT. VVF INDONESIA,DELI SERDANG,MEDAN,INDONESIA"/>
    <x v="5"/>
    <d v="2016-04-14T00:00:00"/>
    <n v="4"/>
    <x v="2"/>
    <n v="21.46"/>
    <n v="57883.91"/>
    <n v="1242188.7086"/>
    <n v="0"/>
    <n v="0"/>
    <n v="0"/>
    <n v="0"/>
    <n v="1242188.7086"/>
    <n v="0"/>
    <n v="1600"/>
    <n v="1276524.7086"/>
    <n v="21.46"/>
  </r>
  <r>
    <s v="PT. VVF INDONESIA,DELI SERDANG,MEDAN,INDONESIA"/>
    <x v="5"/>
    <d v="2016-04-15T00:00:00"/>
    <n v="4"/>
    <x v="2"/>
    <n v="21.48"/>
    <n v="57883.91"/>
    <n v="1243346.3868000002"/>
    <n v="0"/>
    <n v="0"/>
    <n v="0"/>
    <n v="0"/>
    <n v="1243346.3868000002"/>
    <n v="0"/>
    <n v="1600"/>
    <n v="1277714.3868000002"/>
    <n v="21.48"/>
  </r>
  <r>
    <s v="PT. VVF INDONESIA,DELI SERDANG,MEDAN,INDONESIA"/>
    <x v="5"/>
    <d v="2016-04-15T00:00:00"/>
    <n v="4"/>
    <x v="2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5T00:00:00"/>
    <n v="4"/>
    <x v="2"/>
    <n v="21.52"/>
    <n v="57883.91"/>
    <n v="1245661.7432000001"/>
    <n v="0"/>
    <n v="0"/>
    <n v="0"/>
    <n v="0"/>
    <n v="1245661.7432000001"/>
    <n v="0"/>
    <n v="1600"/>
    <n v="1280093.7432000001"/>
    <n v="21.52"/>
  </r>
  <r>
    <s v="PT. VVF INDONESIA,DELI SERDANG,MEDAN,INDONESIA"/>
    <x v="5"/>
    <d v="2016-04-15T00:00:00"/>
    <n v="4"/>
    <x v="2"/>
    <n v="21.44"/>
    <n v="57883.91"/>
    <n v="1241031.0304"/>
    <n v="0"/>
    <n v="0"/>
    <n v="0"/>
    <n v="0"/>
    <n v="1241031.0304"/>
    <n v="0"/>
    <n v="1600"/>
    <n v="1275335.0304"/>
    <n v="21.44"/>
  </r>
  <r>
    <s v="PT. VVF INDONESIA,DELI SERDANG,MEDAN,INDONESIA"/>
    <x v="5"/>
    <d v="2016-04-15T00:00:00"/>
    <n v="4"/>
    <x v="2"/>
    <n v="21.44"/>
    <n v="57883.91"/>
    <n v="1241031.0304"/>
    <n v="0"/>
    <n v="0"/>
    <n v="0"/>
    <n v="0"/>
    <n v="1241031.0304"/>
    <n v="0"/>
    <n v="1600"/>
    <n v="1275335.0304"/>
    <n v="21.44"/>
  </r>
  <r>
    <s v="PT. VVF INDONESIA,DELI SERDANG,MEDAN,INDONESIA"/>
    <x v="5"/>
    <d v="2016-04-15T00:00:00"/>
    <n v="4"/>
    <x v="2"/>
    <n v="21.5"/>
    <n v="57883.91"/>
    <n v="1244504.0650000002"/>
    <n v="0"/>
    <n v="0"/>
    <n v="0"/>
    <n v="0"/>
    <n v="1244504.0650000002"/>
    <n v="0"/>
    <n v="1600"/>
    <n v="1278904.0650000002"/>
    <n v="21.5"/>
  </r>
  <r>
    <s v="PT. VVF INDONESIA,DELI SERDANG,MEDAN,INDONESIA"/>
    <x v="5"/>
    <d v="2016-04-15T00:00:00"/>
    <n v="4"/>
    <x v="2"/>
    <n v="21.46"/>
    <n v="57883.91"/>
    <n v="1242188.7086"/>
    <n v="0"/>
    <n v="0"/>
    <n v="0"/>
    <n v="0"/>
    <n v="1242188.7086"/>
    <n v="0"/>
    <n v="1600"/>
    <n v="1276524.7086"/>
    <n v="21.46"/>
  </r>
  <r>
    <s v="RICELA HEALTH FOODS LIMITED, DHURI (P.B)"/>
    <x v="0"/>
    <d v="2016-04-16T00:00:00"/>
    <n v="4"/>
    <x v="2"/>
    <n v="29.57"/>
    <n v="50882.400000000001"/>
    <n v="1504592.568"/>
    <n v="0"/>
    <n v="0"/>
    <n v="0"/>
    <n v="0"/>
    <n v="1504592.568"/>
    <n v="30091.851360000001"/>
    <n v="0"/>
    <n v="1534684.4193599999"/>
    <n v="29.57"/>
  </r>
  <r>
    <s v="RICELA HEALTH FOODS LIMITED, DHURI (P.B)"/>
    <x v="0"/>
    <d v="2016-04-16T00:00:00"/>
    <n v="4"/>
    <x v="2"/>
    <n v="27.32"/>
    <n v="50882.400000000001"/>
    <n v="1390107.1680000001"/>
    <n v="0"/>
    <n v="0"/>
    <n v="0"/>
    <n v="0"/>
    <n v="1390107.1680000001"/>
    <n v="27802.143360000002"/>
    <n v="0"/>
    <n v="1417909.3113600002"/>
    <n v="27.32"/>
  </r>
  <r>
    <s v="JAI BHAGWATI AGRO OILS , LUDHIANA (P.B)"/>
    <x v="1"/>
    <d v="2016-04-16T00:00:00"/>
    <n v="4"/>
    <x v="2"/>
    <n v="26.81"/>
    <n v="55000"/>
    <n v="1474550"/>
    <n v="0"/>
    <n v="0"/>
    <n v="0"/>
    <n v="0"/>
    <n v="1474550"/>
    <n v="0"/>
    <n v="0"/>
    <n v="1474550"/>
    <n v="26.81"/>
  </r>
  <r>
    <s v="JAI BHAGWATI AGRO OILS , LUDHIANA (P.B)"/>
    <x v="1"/>
    <d v="2016-04-16T00:00:00"/>
    <n v="4"/>
    <x v="2"/>
    <n v="27.65"/>
    <n v="55000"/>
    <n v="1520750"/>
    <n v="0"/>
    <n v="0"/>
    <n v="0"/>
    <n v="0"/>
    <n v="1520750"/>
    <n v="0"/>
    <n v="0"/>
    <n v="1520750"/>
    <n v="27.65"/>
  </r>
  <r>
    <s v="J.D TRADING CO., LUDHIANA (P.B)"/>
    <x v="1"/>
    <d v="2016-04-16T00:00:00"/>
    <n v="4"/>
    <x v="2"/>
    <n v="29.92"/>
    <n v="45418.37"/>
    <n v="1358917.6304000001"/>
    <n v="0"/>
    <n v="0"/>
    <n v="0"/>
    <n v="0"/>
    <n v="1358917.6304000001"/>
    <n v="0"/>
    <n v="0"/>
    <n v="1358917.6304000001"/>
    <n v="29.92"/>
  </r>
  <r>
    <s v="HARKARAN DASS VEDPAL, LUDHIANA (P.B)"/>
    <x v="1"/>
    <d v="2016-04-16T00:00:00"/>
    <n v="4"/>
    <x v="2"/>
    <n v="20.52"/>
    <n v="45500"/>
    <n v="933660"/>
    <n v="0"/>
    <n v="0"/>
    <n v="0"/>
    <n v="0"/>
    <n v="933660"/>
    <n v="0"/>
    <n v="0"/>
    <n v="933660"/>
    <n v="20.52"/>
  </r>
  <r>
    <s v="RAHA OIL PVT LTD. NAMAKKAL , TAMIL NAIDU"/>
    <x v="4"/>
    <d v="2016-04-16T00:00:00"/>
    <n v="4"/>
    <x v="2"/>
    <n v="19.829999999999998"/>
    <n v="78770"/>
    <n v="1562009.0999999999"/>
    <n v="0"/>
    <n v="0"/>
    <n v="3186"/>
    <n v="0"/>
    <n v="1565195.0999999999"/>
    <n v="31240.181999999997"/>
    <n v="0"/>
    <n v="1596435.2819999999"/>
    <n v="19.829999999999998"/>
  </r>
  <r>
    <s v="HARKARAN DASS VEDPAL, NOIDA (U.P)"/>
    <x v="2"/>
    <d v="2016-04-17T00:00:00"/>
    <n v="4"/>
    <x v="3"/>
    <n v="28.21"/>
    <n v="44700"/>
    <n v="1260987"/>
    <n v="0"/>
    <n v="0"/>
    <n v="0"/>
    <n v="0"/>
    <n v="1260987"/>
    <n v="0"/>
    <n v="0"/>
    <n v="1260987"/>
    <n v="28.21"/>
  </r>
  <r>
    <s v="PUNJAB OILS, AMRITSAR (P.B) "/>
    <x v="1"/>
    <d v="2016-04-17T00:00:00"/>
    <n v="4"/>
    <x v="3"/>
    <n v="26.97"/>
    <n v="53379.15"/>
    <n v="1439635.6754999999"/>
    <n v="0"/>
    <n v="0"/>
    <n v="0"/>
    <n v="0"/>
    <n v="1439635.6754999999"/>
    <n v="0"/>
    <n v="0"/>
    <n v="1439635.6754999999"/>
    <n v="26.97"/>
  </r>
  <r>
    <s v="LOK NATH VARINDER KUMAR IMPEX LTD, LUDHIANA (P.B)"/>
    <x v="2"/>
    <d v="2016-04-17T00:00:00"/>
    <n v="4"/>
    <x v="3"/>
    <n v="27.22"/>
    <n v="55000"/>
    <n v="1497100"/>
    <n v="0"/>
    <n v="0"/>
    <n v="0"/>
    <n v="0"/>
    <n v="1497100"/>
    <n v="0"/>
    <n v="0"/>
    <n v="1497100"/>
    <n v="27.22"/>
  </r>
  <r>
    <s v="HARKARAN DASS VEDPAL, NOIDA (U.P)"/>
    <x v="2"/>
    <d v="2016-04-17T00:00:00"/>
    <n v="4"/>
    <x v="3"/>
    <n v="29.86"/>
    <n v="45966.89"/>
    <n v="1372571.3354"/>
    <n v="0"/>
    <n v="0"/>
    <n v="0"/>
    <n v="0"/>
    <n v="1372571.3354"/>
    <n v="0"/>
    <n v="0"/>
    <n v="1372571.3354"/>
    <n v="29.86"/>
  </r>
  <r>
    <s v="PUNJAB OILS, AMRITSAR (P.B) "/>
    <x v="1"/>
    <d v="2016-04-17T00:00:00"/>
    <n v="4"/>
    <x v="3"/>
    <n v="30.26"/>
    <n v="55800"/>
    <n v="1688508"/>
    <n v="0"/>
    <n v="0"/>
    <n v="0"/>
    <n v="0"/>
    <n v="1688508"/>
    <n v="0"/>
    <n v="0"/>
    <n v="1688508"/>
    <n v="30.26"/>
  </r>
  <r>
    <s v="J.D TRADING CO., LUDHIANA (P.B)"/>
    <x v="1"/>
    <d v="2016-04-18T00:00:00"/>
    <n v="4"/>
    <x v="3"/>
    <n v="22.71"/>
    <n v="46200"/>
    <n v="1049202"/>
    <n v="0"/>
    <n v="0"/>
    <n v="0"/>
    <n v="0"/>
    <n v="1049202"/>
    <n v="0"/>
    <n v="0"/>
    <n v="1049202"/>
    <n v="22.71"/>
  </r>
  <r>
    <s v="RICELA HEALTH FOODS LIMITED, DHURI (P.B)"/>
    <x v="0"/>
    <d v="2016-04-18T00:00:00"/>
    <n v="4"/>
    <x v="3"/>
    <n v="28.76"/>
    <n v="50882.400000000001"/>
    <n v="1463377.824"/>
    <n v="0"/>
    <n v="0"/>
    <n v="0"/>
    <n v="0"/>
    <n v="1463377.824"/>
    <n v="29267.556479999999"/>
    <n v="0"/>
    <n v="1492645.3804800001"/>
    <n v="28.76"/>
  </r>
  <r>
    <s v="SRI JAYASAKTHI RICE AND OIL MILLS,SALEM (T.N)"/>
    <x v="3"/>
    <d v="2016-04-18T00:00:00"/>
    <n v="4"/>
    <x v="3"/>
    <n v="18.850000000000001"/>
    <n v="74400"/>
    <n v="1402440"/>
    <n v="0"/>
    <n v="0"/>
    <n v="0"/>
    <n v="0"/>
    <n v="1402440"/>
    <n v="28420.799999999999"/>
    <n v="5605"/>
    <n v="1536515.05"/>
    <n v="18.850000000000001"/>
  </r>
  <r>
    <s v="PT. VVF INDONESIA,DELI SERDANG,MEDAN,INDONESIA"/>
    <x v="5"/>
    <d v="2016-04-18T00:00:00"/>
    <n v="4"/>
    <x v="3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8T00:00:00"/>
    <n v="4"/>
    <x v="3"/>
    <n v="21.53"/>
    <n v="57883.91"/>
    <n v="1246240.5823000001"/>
    <n v="0"/>
    <n v="0"/>
    <n v="0"/>
    <n v="0"/>
    <n v="1246240.5823000001"/>
    <n v="0"/>
    <n v="1600"/>
    <n v="1280688.5823000001"/>
    <n v="21.53"/>
  </r>
  <r>
    <s v="PT. VVF INDONESIA,DELI SERDANG,MEDAN,INDONESIA"/>
    <x v="5"/>
    <d v="2016-04-18T00:00:00"/>
    <n v="4"/>
    <x v="3"/>
    <n v="21.49"/>
    <n v="57883.91"/>
    <n v="1243925.2259"/>
    <n v="0"/>
    <n v="0"/>
    <n v="0"/>
    <n v="0"/>
    <n v="1243925.2259"/>
    <n v="0"/>
    <n v="1600"/>
    <n v="1278309.2259"/>
    <n v="21.49"/>
  </r>
  <r>
    <s v="PT. VVF INDONESIA,DELI SERDANG,MEDAN,INDONESIA"/>
    <x v="5"/>
    <d v="2016-04-18T00:00:00"/>
    <n v="4"/>
    <x v="3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8T00:00:00"/>
    <n v="4"/>
    <x v="3"/>
    <n v="21.48"/>
    <n v="57883.91"/>
    <n v="1243346.3868000002"/>
    <n v="0"/>
    <n v="0"/>
    <n v="0"/>
    <n v="0"/>
    <n v="1243346.3868000002"/>
    <n v="0"/>
    <n v="1600"/>
    <n v="1277714.3868000002"/>
    <n v="21.48"/>
  </r>
  <r>
    <s v="PT. VVF INDONESIA,DELI SERDANG,MEDAN,INDONESIA"/>
    <x v="5"/>
    <d v="2016-04-18T00:00:00"/>
    <n v="4"/>
    <x v="3"/>
    <n v="21.52"/>
    <n v="57883.91"/>
    <n v="1245661.7432000001"/>
    <n v="0"/>
    <n v="0"/>
    <n v="0"/>
    <n v="0"/>
    <n v="1245661.7432000001"/>
    <n v="0"/>
    <n v="1600"/>
    <n v="1280093.7432000001"/>
    <n v="21.52"/>
  </r>
  <r>
    <s v="PT. VVF INDONESIA,DELI SERDANG,MEDAN,INDONESIA"/>
    <x v="5"/>
    <d v="2016-04-19T00:00:00"/>
    <n v="4"/>
    <x v="3"/>
    <n v="21.35"/>
    <n v="57883.91"/>
    <n v="1235821.4785000002"/>
    <n v="0"/>
    <n v="0"/>
    <n v="0"/>
    <n v="0"/>
    <n v="1235821.4785000002"/>
    <n v="0"/>
    <n v="1600"/>
    <n v="1269981.4785000002"/>
    <n v="21.35"/>
  </r>
  <r>
    <s v="RAHA OIL PVT LTD. NAMAKKAL , TAMIL NAIDU"/>
    <x v="4"/>
    <d v="2016-04-19T00:00:00"/>
    <n v="4"/>
    <x v="3"/>
    <n v="19.55"/>
    <n v="78770"/>
    <n v="1539953.5"/>
    <n v="0"/>
    <n v="0"/>
    <n v="3161"/>
    <n v="0"/>
    <n v="1543114.5"/>
    <n v="30988.118000000002"/>
    <n v="0"/>
    <n v="1574102.618"/>
    <n v="19.55"/>
  </r>
  <r>
    <s v="RAHA OIL PVT LTD. NAMAKKAL , TAMIL NAIDU"/>
    <x v="4"/>
    <d v="2016-04-19T00:00:00"/>
    <n v="4"/>
    <x v="3"/>
    <n v="27.64"/>
    <n v="78770"/>
    <n v="2177202.7999999998"/>
    <n v="0"/>
    <n v="0"/>
    <n v="4443"/>
    <n v="0"/>
    <n v="2181645.7999999998"/>
    <n v="43559.81"/>
    <n v="0"/>
    <n v="2225205.61"/>
    <n v="27.64"/>
  </r>
  <r>
    <s v="RAHA OIL PVT LTD. NAMAKKAL , TAMIL NAIDU"/>
    <x v="4"/>
    <d v="2016-04-19T00:00:00"/>
    <n v="4"/>
    <x v="3"/>
    <n v="26.83"/>
    <n v="81780"/>
    <n v="2194157.4"/>
    <n v="0"/>
    <n v="0"/>
    <n v="2239"/>
    <n v="0"/>
    <n v="2196396.4"/>
    <n v="43899.504000000008"/>
    <n v="0"/>
    <n v="2240295.9040000001"/>
    <n v="26.83"/>
  </r>
  <r>
    <s v="RAHA OIL PVT LTD. NAMAKKAL , TAMIL NAIDU"/>
    <x v="4"/>
    <d v="2016-04-19T00:00:00"/>
    <n v="4"/>
    <x v="3"/>
    <n v="20.86"/>
    <n v="81780"/>
    <n v="1705930.8"/>
    <n v="0"/>
    <n v="0"/>
    <n v="1740"/>
    <n v="0"/>
    <n v="1707670.8"/>
    <n v="34119"/>
    <n v="0"/>
    <n v="1741789.8"/>
    <n v="20.86"/>
  </r>
  <r>
    <s v="RAHA OIL PVT LTD. NAMAKKAL , TAMIL NAIDU"/>
    <x v="4"/>
    <d v="2016-04-19T00:00:00"/>
    <n v="4"/>
    <x v="3"/>
    <n v="20.9"/>
    <n v="81780"/>
    <n v="1709202"/>
    <n v="0"/>
    <n v="0"/>
    <n v="1743"/>
    <n v="0"/>
    <n v="1710945"/>
    <n v="34184.04"/>
    <n v="0"/>
    <n v="1745129.04"/>
    <n v="20.9"/>
  </r>
  <r>
    <s v="HARKARAN DASS VEDPAL, LUDHIANA (P.B)"/>
    <x v="1"/>
    <d v="2016-04-19T00:00:00"/>
    <n v="4"/>
    <x v="3"/>
    <n v="27.12"/>
    <n v="54128.31"/>
    <n v="1467959.7671999999"/>
    <n v="0"/>
    <n v="0"/>
    <n v="0"/>
    <n v="0"/>
    <n v="1467959.7671999999"/>
    <n v="0"/>
    <n v="0"/>
    <n v="1467959.7671999999"/>
    <n v="27.12"/>
  </r>
  <r>
    <s v="RICELA HEALTH FOODS LIMITED, DHURI (P.B)"/>
    <x v="0"/>
    <d v="2016-04-19T00:00:00"/>
    <n v="4"/>
    <x v="3"/>
    <n v="28.5"/>
    <n v="50882.400000000001"/>
    <n v="1450148.4000000001"/>
    <n v="0"/>
    <n v="0"/>
    <n v="0"/>
    <n v="0"/>
    <n v="1450148.4000000001"/>
    <n v="29002.968000000004"/>
    <n v="0"/>
    <n v="1479151.3680000002"/>
    <n v="28.5"/>
  </r>
  <r>
    <s v="RUCHI SOYA INDUSTRIES LIMITED, KARANPURA (BIHAR)"/>
    <x v="1"/>
    <d v="2016-04-20T00:00:00"/>
    <n v="4"/>
    <x v="3"/>
    <n v="20.329999999999998"/>
    <n v="30500"/>
    <n v="620065"/>
    <n v="0"/>
    <n v="77508.125"/>
    <n v="0"/>
    <n v="0"/>
    <n v="697573.125"/>
    <n v="13951.4625"/>
    <n v="0"/>
    <n v="711524.58750000002"/>
    <n v="20.329999999999998"/>
  </r>
  <r>
    <s v="DEEPCHAND ARYA INDUSTRIES, DELHI"/>
    <x v="1"/>
    <d v="2016-04-20T00:00:00"/>
    <n v="4"/>
    <x v="3"/>
    <n v="27.2"/>
    <n v="45596.36"/>
    <n v="1240220.9920000001"/>
    <n v="0"/>
    <n v="0"/>
    <n v="0"/>
    <n v="0"/>
    <n v="1240220.9920000001"/>
    <n v="0"/>
    <n v="0"/>
    <n v="1240220.9920000001"/>
    <n v="27.2"/>
  </r>
  <r>
    <s v="DEEPCHAND ARYA INDUSTRIES, DELHI"/>
    <x v="1"/>
    <d v="2016-04-20T00:00:00"/>
    <n v="4"/>
    <x v="3"/>
    <n v="24.04"/>
    <n v="46089.64"/>
    <n v="1107994.9456"/>
    <n v="0"/>
    <n v="0"/>
    <n v="0"/>
    <n v="0"/>
    <n v="1107994.9456"/>
    <n v="0"/>
    <n v="0"/>
    <n v="1107994.9456"/>
    <n v="24.04"/>
  </r>
  <r>
    <s v="DEEPCHAND ARYA INDUSTRIES, DELHI"/>
    <x v="1"/>
    <d v="2016-04-20T00:00:00"/>
    <n v="4"/>
    <x v="3"/>
    <n v="20.63"/>
    <n v="46200"/>
    <n v="953106"/>
    <n v="0"/>
    <n v="0"/>
    <n v="0"/>
    <n v="0"/>
    <n v="953106"/>
    <n v="0"/>
    <n v="0"/>
    <n v="953106"/>
    <n v="20.63"/>
  </r>
  <r>
    <s v="RUCHI SOYA INDUSTRIES LIMITED, KARANPURA (BIHAR)"/>
    <x v="1"/>
    <d v="2016-04-20T00:00:00"/>
    <n v="4"/>
    <x v="3"/>
    <n v="23.09"/>
    <n v="30500"/>
    <n v="704245"/>
    <n v="0"/>
    <n v="88030.625"/>
    <n v="0"/>
    <n v="0"/>
    <n v="792275.625"/>
    <n v="15845.512500000001"/>
    <n v="0"/>
    <n v="808121.13749999995"/>
    <n v="23.09"/>
  </r>
  <r>
    <s v="RAHA OIL PVT LTD. NAMAKKAL , TAMIL NAIDU"/>
    <x v="4"/>
    <d v="2016-04-20T00:00:00"/>
    <n v="4"/>
    <x v="3"/>
    <n v="26.98"/>
    <n v="84800"/>
    <n v="2287904"/>
    <n v="0"/>
    <n v="0"/>
    <n v="0"/>
    <n v="0"/>
    <n v="2287904"/>
    <n v="45758.080000000002"/>
    <n v="0"/>
    <n v="2333662.08"/>
    <n v="26.98"/>
  </r>
  <r>
    <s v="RAHA OIL PVT LTD. NAMAKKAL , TAMIL NAIDU"/>
    <x v="4"/>
    <d v="2016-04-20T00:00:00"/>
    <n v="4"/>
    <x v="3"/>
    <n v="26.72"/>
    <n v="84800"/>
    <n v="2265856"/>
    <n v="0"/>
    <n v="0"/>
    <n v="0"/>
    <n v="0"/>
    <n v="2265856"/>
    <n v="45317.120000000003"/>
    <n v="0"/>
    <n v="2311173.1200000001"/>
    <n v="26.72"/>
  </r>
  <r>
    <s v="RAHA OIL PVT LTD. NAMAKKAL , TAMIL NAIDU"/>
    <x v="4"/>
    <d v="2016-04-20T00:00:00"/>
    <n v="4"/>
    <x v="3"/>
    <n v="16.46"/>
    <n v="81780"/>
    <n v="1346098.8"/>
    <n v="0"/>
    <n v="0"/>
    <n v="1373"/>
    <n v="0"/>
    <n v="1347471.8"/>
    <n v="26921.976000000002"/>
    <n v="0"/>
    <n v="1374393.7760000001"/>
    <n v="16.46"/>
  </r>
  <r>
    <s v="RICELA HEALTH FOODS LIMITED, DHURI (P.B)"/>
    <x v="0"/>
    <d v="2016-04-22T00:00:00"/>
    <n v="4"/>
    <x v="3"/>
    <n v="27.66"/>
    <n v="50882.400000000001"/>
    <n v="1407407.1840000001"/>
    <n v="0"/>
    <n v="0"/>
    <n v="0"/>
    <n v="0"/>
    <n v="1407407.1840000001"/>
    <n v="28148.143680000005"/>
    <n v="0"/>
    <n v="1435555.3276800001"/>
    <n v="27.66"/>
  </r>
  <r>
    <s v="PUNJAB OILS, AMRITSAR (P.B) "/>
    <x v="1"/>
    <d v="2016-04-22T00:00:00"/>
    <n v="4"/>
    <x v="3"/>
    <n v="28.9"/>
    <n v="55500"/>
    <n v="1603950"/>
    <n v="0"/>
    <n v="0"/>
    <n v="0"/>
    <n v="0"/>
    <n v="1603950"/>
    <n v="0"/>
    <n v="0"/>
    <n v="1603950"/>
    <n v="28.9"/>
  </r>
  <r>
    <s v="M.D. TRADING CO., LUDHIANA (P.B)"/>
    <x v="2"/>
    <d v="2016-04-22T00:00:00"/>
    <n v="4"/>
    <x v="3"/>
    <n v="30.79"/>
    <n v="48500"/>
    <n v="1493315"/>
    <n v="0"/>
    <n v="0"/>
    <n v="0"/>
    <n v="0"/>
    <n v="1493315"/>
    <n v="0"/>
    <n v="0"/>
    <n v="1493315"/>
    <n v="30.79"/>
  </r>
  <r>
    <s v="HARKARAN DASS VEDPAL, LUDHIANA (P.B)"/>
    <x v="2"/>
    <d v="2016-04-22T00:00:00"/>
    <n v="4"/>
    <x v="3"/>
    <n v="18.86"/>
    <n v="48500"/>
    <n v="914710"/>
    <n v="0"/>
    <n v="0"/>
    <n v="0"/>
    <n v="0"/>
    <n v="914710"/>
    <n v="0"/>
    <n v="0"/>
    <n v="914710"/>
    <n v="18.86"/>
  </r>
  <r>
    <s v="HARKARAN DASS VEDPAL, LUDHIANA (P.B)"/>
    <x v="2"/>
    <d v="2016-04-22T00:00:00"/>
    <n v="4"/>
    <x v="3"/>
    <n v="29.1"/>
    <n v="48283.5"/>
    <n v="1405049.85"/>
    <n v="0"/>
    <n v="0"/>
    <n v="0"/>
    <n v="0"/>
    <n v="1405049.85"/>
    <n v="0"/>
    <n v="0"/>
    <n v="1405049.85"/>
    <n v="29.1"/>
  </r>
  <r>
    <s v="RICELA HEALTH FOODS LIMITED, DHURI (P.B)"/>
    <x v="0"/>
    <d v="2016-04-26T00:00:00"/>
    <n v="4"/>
    <x v="4"/>
    <n v="29.59"/>
    <n v="50000"/>
    <n v="1479500"/>
    <n v="0"/>
    <n v="0"/>
    <n v="0"/>
    <n v="0"/>
    <n v="1479500"/>
    <n v="29590"/>
    <n v="0"/>
    <n v="1509090"/>
    <n v="29.59"/>
  </r>
  <r>
    <s v="PUNJAB OILS, AMRITSAR (P.B) "/>
    <x v="1"/>
    <d v="2016-04-26T00:00:00"/>
    <n v="4"/>
    <x v="4"/>
    <n v="20.079999999999998"/>
    <n v="55500"/>
    <n v="1114440"/>
    <n v="0"/>
    <n v="0"/>
    <n v="0"/>
    <n v="0"/>
    <n v="1114440"/>
    <n v="0"/>
    <n v="0"/>
    <n v="1114440"/>
    <n v="20.079999999999998"/>
  </r>
  <r>
    <s v="HINDUSTAN OIL TRADERS, AMRITSAR (P.B) "/>
    <x v="1"/>
    <d v="2016-04-26T00:00:00"/>
    <n v="4"/>
    <x v="4"/>
    <n v="27.98"/>
    <n v="54665.47"/>
    <n v="1529539.8506"/>
    <n v="0"/>
    <n v="0"/>
    <n v="0"/>
    <n v="0"/>
    <n v="1529539.8506"/>
    <n v="0"/>
    <n v="0"/>
    <n v="1529539.8506"/>
    <n v="27.98"/>
  </r>
  <r>
    <s v="AMRITSAR OIL TRADERS, AMRITSAR (P.B) "/>
    <x v="1"/>
    <d v="2016-04-27T00:00:00"/>
    <n v="4"/>
    <x v="4"/>
    <n v="28.23"/>
    <n v="53447.6"/>
    <n v="1508825.7479999999"/>
    <n v="0"/>
    <n v="0"/>
    <n v="0"/>
    <n v="0"/>
    <n v="1508825.7479999999"/>
    <n v="0"/>
    <n v="0"/>
    <n v="1508825.7479999999"/>
    <n v="28.23"/>
  </r>
  <r>
    <s v="PT. VVF INDONESIA,DELI SERDANG,MEDAN,INDONESIA"/>
    <x v="5"/>
    <d v="2016-04-28T00:00:00"/>
    <n v="4"/>
    <x v="4"/>
    <n v="21.48"/>
    <n v="56924.6"/>
    <n v="1222740.4080000001"/>
    <n v="0"/>
    <n v="0"/>
    <n v="0"/>
    <n v="0"/>
    <n v="1222740.4080000001"/>
    <n v="0"/>
    <n v="1600"/>
    <n v="1257108.4080000001"/>
    <n v="21.48"/>
  </r>
  <r>
    <s v="PT. VVF INDONESIA,DELI SERDANG,MEDAN,INDONESIA"/>
    <x v="5"/>
    <d v="2016-04-28T00:00:00"/>
    <n v="4"/>
    <x v="4"/>
    <n v="21.45"/>
    <n v="56924.6"/>
    <n v="1221032.67"/>
    <n v="0"/>
    <n v="0"/>
    <n v="0"/>
    <n v="0"/>
    <n v="1221032.67"/>
    <n v="0"/>
    <n v="1600"/>
    <n v="1255352.67"/>
    <n v="21.45"/>
  </r>
  <r>
    <s v="PT. VVF INDONESIA,DELI SERDANG,MEDAN,INDONESIA"/>
    <x v="5"/>
    <d v="2016-04-28T00:00:00"/>
    <n v="4"/>
    <x v="4"/>
    <n v="21.46"/>
    <n v="56924.6"/>
    <n v="1221601.916"/>
    <n v="0"/>
    <n v="0"/>
    <n v="0"/>
    <n v="0"/>
    <n v="1221601.916"/>
    <n v="0"/>
    <n v="1600"/>
    <n v="1255937.916"/>
    <n v="21.46"/>
  </r>
  <r>
    <s v="PT. VVF INDONESIA,DELI SERDANG,MEDAN,INDONESIA"/>
    <x v="5"/>
    <d v="2016-04-28T00:00:00"/>
    <n v="4"/>
    <x v="4"/>
    <n v="21.46"/>
    <n v="56924.6"/>
    <n v="1221601.916"/>
    <n v="0"/>
    <n v="0"/>
    <n v="0"/>
    <n v="0"/>
    <n v="1221601.916"/>
    <n v="0"/>
    <n v="1600"/>
    <n v="1255937.916"/>
    <n v="21.46"/>
  </r>
  <r>
    <s v="J.D TRADING CO., LUDHIANA (P.B)"/>
    <x v="1"/>
    <d v="2016-04-28T00:00:00"/>
    <n v="4"/>
    <x v="4"/>
    <n v="30.89"/>
    <n v="49204.84"/>
    <n v="1519937.5075999999"/>
    <n v="0"/>
    <n v="0"/>
    <n v="0"/>
    <n v="0"/>
    <n v="1519937.5075999999"/>
    <n v="0"/>
    <n v="0"/>
    <n v="1519937.5075999999"/>
    <n v="30.89"/>
  </r>
  <r>
    <s v="SIDDHARTH OILS, LUDHIANA (P.B)"/>
    <x v="2"/>
    <d v="2016-04-28T00:00:00"/>
    <n v="4"/>
    <x v="4"/>
    <n v="24.08"/>
    <n v="48500"/>
    <n v="1167880"/>
    <n v="0"/>
    <n v="0"/>
    <n v="0"/>
    <n v="0"/>
    <n v="1167880"/>
    <n v="0"/>
    <n v="0"/>
    <n v="1167880"/>
    <n v="24.08"/>
  </r>
  <r>
    <s v="PT. VVF INDONESIA,DELI SERDANG,MEDAN,INDONESIA"/>
    <x v="5"/>
    <d v="2016-04-29T00:00:00"/>
    <n v="4"/>
    <x v="4"/>
    <n v="21.47"/>
    <n v="56924.6"/>
    <n v="1222171.162"/>
    <n v="0"/>
    <n v="0"/>
    <n v="0"/>
    <n v="0"/>
    <n v="1222171.162"/>
    <n v="0"/>
    <n v="1600"/>
    <n v="1256523.162"/>
    <n v="21.47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7"/>
    <n v="56924.6"/>
    <n v="1222171.162"/>
    <n v="0"/>
    <n v="0"/>
    <n v="0"/>
    <n v="0"/>
    <n v="1222171.162"/>
    <n v="0"/>
    <n v="1600"/>
    <n v="1256523.162"/>
    <n v="21.47"/>
  </r>
  <r>
    <s v="PT. VVF INDONESIA,DELI SERDANG,MEDAN,INDONESIA"/>
    <x v="5"/>
    <d v="2016-04-29T00:00:00"/>
    <n v="4"/>
    <x v="4"/>
    <n v="21.42"/>
    <n v="56924.6"/>
    <n v="1219324.932"/>
    <n v="0"/>
    <n v="0"/>
    <n v="0"/>
    <n v="0"/>
    <n v="1219324.932"/>
    <n v="0"/>
    <n v="1600"/>
    <n v="1253596.932"/>
    <n v="21.42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5"/>
    <n v="56924.6"/>
    <n v="1221032.67"/>
    <n v="0"/>
    <n v="0"/>
    <n v="0"/>
    <n v="0"/>
    <n v="1221032.67"/>
    <n v="0"/>
    <n v="1600"/>
    <n v="1255352.67"/>
    <n v="21.45"/>
  </r>
  <r>
    <s v="PT. VVF INDONESIA,DELI SERDANG,MEDAN,INDONESIA"/>
    <x v="5"/>
    <d v="2016-04-29T00:00:00"/>
    <n v="4"/>
    <x v="4"/>
    <n v="21.47"/>
    <n v="56924.52"/>
    <n v="1222169.4443999999"/>
    <n v="0"/>
    <n v="0"/>
    <n v="0"/>
    <n v="0"/>
    <n v="1222169.4443999999"/>
    <n v="0"/>
    <n v="1600"/>
    <n v="1256521.4443999999"/>
    <n v="21.47"/>
  </r>
  <r>
    <s v="PT. VVF INDONESIA,DELI SERDANG,MEDAN,INDONESIA"/>
    <x v="5"/>
    <d v="2016-04-29T00:00:00"/>
    <n v="4"/>
    <x v="4"/>
    <n v="21.46"/>
    <n v="56924.52"/>
    <n v="1221600.1991999999"/>
    <n v="0"/>
    <n v="0"/>
    <n v="0"/>
    <n v="0"/>
    <n v="1221600.1991999999"/>
    <n v="0"/>
    <n v="1600"/>
    <n v="1255936.1991999999"/>
    <n v="21.46"/>
  </r>
  <r>
    <s v="PT. VVF INDONESIA,DELI SERDANG,MEDAN,INDONESIA"/>
    <x v="5"/>
    <d v="2016-04-29T00:00:00"/>
    <n v="4"/>
    <x v="4"/>
    <n v="21.46"/>
    <n v="56924.52"/>
    <n v="1221600.1991999999"/>
    <n v="0"/>
    <n v="0"/>
    <n v="0"/>
    <n v="0"/>
    <n v="1221600.1991999999"/>
    <n v="0"/>
    <n v="1600"/>
    <n v="1255936.1991999999"/>
    <n v="21.46"/>
  </r>
  <r>
    <s v="PT. VVF INDONESIA,DELI SERDANG,MEDAN,INDONESIA"/>
    <x v="5"/>
    <d v="2016-04-29T00:00:00"/>
    <n v="4"/>
    <x v="4"/>
    <n v="21.5"/>
    <n v="56924.52"/>
    <n v="1223877.18"/>
    <n v="0"/>
    <n v="0"/>
    <n v="0"/>
    <n v="0"/>
    <n v="1223877.18"/>
    <n v="0"/>
    <n v="1600"/>
    <n v="1258277.18"/>
    <n v="21.5"/>
  </r>
  <r>
    <s v="PT. VVF INDONESIA,DELI SERDANG,MEDAN,INDONESIA"/>
    <x v="5"/>
    <d v="2016-04-29T00:00:00"/>
    <n v="4"/>
    <x v="4"/>
    <n v="21.44"/>
    <n v="56924.52"/>
    <n v="1220461.7087999999"/>
    <n v="0"/>
    <n v="0"/>
    <n v="0"/>
    <n v="0"/>
    <n v="1220461.7087999999"/>
    <n v="0"/>
    <n v="1600"/>
    <n v="1254765.7087999999"/>
    <n v="21.44"/>
  </r>
  <r>
    <s v="RAHA OIL PVT LTD. NAMAKKAL , TAMIL NAIDU"/>
    <x v="4"/>
    <d v="2016-04-29T00:00:00"/>
    <n v="4"/>
    <x v="4"/>
    <n v="16.100000000000001"/>
    <n v="81780"/>
    <n v="1316658"/>
    <n v="0"/>
    <n v="0"/>
    <n v="1345"/>
    <n v="0"/>
    <n v="1318003"/>
    <n v="26365.872000000003"/>
    <n v="0"/>
    <n v="1344368.872"/>
    <n v="16.100000000000001"/>
  </r>
  <r>
    <s v="RAHA OIL PVT LTD. NAMAKKAL , TAMIL NAIDU"/>
    <x v="4"/>
    <d v="2016-04-29T00:00:00"/>
    <n v="4"/>
    <x v="4"/>
    <n v="27.66"/>
    <n v="84800"/>
    <n v="2345568"/>
    <n v="0"/>
    <n v="0"/>
    <n v="0"/>
    <n v="0"/>
    <n v="2345568"/>
    <n v="46911.360000000001"/>
    <n v="0"/>
    <n v="2392479.36"/>
    <n v="27.66"/>
  </r>
  <r>
    <s v="RAHA OIL PVT LTD. NAMAKKAL , TAMIL NAIDU"/>
    <x v="4"/>
    <d v="2016-04-29T00:00:00"/>
    <n v="4"/>
    <x v="4"/>
    <n v="19.95"/>
    <n v="85290"/>
    <n v="1701535.5"/>
    <n v="0"/>
    <n v="0"/>
    <n v="0"/>
    <n v="0"/>
    <n v="1701535.5"/>
    <n v="34124.529000000002"/>
    <n v="0"/>
    <n v="1735660.0290000001"/>
    <n v="19.95"/>
  </r>
  <r>
    <s v="RAHA OIL PVT LTD. NAMAKKAL , TAMIL NAIDU"/>
    <x v="4"/>
    <d v="2016-04-29T00:00:00"/>
    <n v="4"/>
    <x v="4"/>
    <n v="23.88"/>
    <n v="84908.15"/>
    <n v="2027606.6219999997"/>
    <n v="0"/>
    <n v="0"/>
    <n v="0"/>
    <n v="0"/>
    <n v="2027606.6219999997"/>
    <n v="40620.058960000002"/>
    <n v="0"/>
    <n v="2068226.6809599998"/>
    <n v="23.88"/>
  </r>
  <r>
    <s v="HORIZON OIL INDUSTRIES, LUDHIANA (P.B)"/>
    <x v="1"/>
    <d v="2016-04-30T00:00:00"/>
    <n v="4"/>
    <x v="4"/>
    <n v="27.62"/>
    <n v="45700"/>
    <n v="1262234"/>
    <n v="0"/>
    <n v="0"/>
    <n v="0"/>
    <n v="0"/>
    <n v="1262234"/>
    <n v="0"/>
    <n v="0"/>
    <n v="1262234"/>
    <n v="27.62"/>
  </r>
  <r>
    <s v="SIDDHARTH OILS, LUDHIANA (P.B)"/>
    <x v="2"/>
    <d v="2016-04-30T00:00:00"/>
    <n v="4"/>
    <x v="4"/>
    <n v="17.164999999999999"/>
    <n v="48500"/>
    <n v="832502.5"/>
    <n v="0"/>
    <n v="0"/>
    <n v="0"/>
    <n v="0"/>
    <n v="832502.5"/>
    <n v="0"/>
    <n v="0"/>
    <n v="832502.5"/>
    <n v="17.164999999999999"/>
  </r>
  <r>
    <s v="AMRITSAR OIL TRADERS, AMRITSAR (P.B) "/>
    <x v="2"/>
    <d v="2016-04-30T00:00:00"/>
    <n v="4"/>
    <x v="4"/>
    <n v="29.31"/>
    <n v="51340.6"/>
    <n v="1504792.9859999998"/>
    <n v="0"/>
    <n v="0"/>
    <n v="0"/>
    <n v="0"/>
    <n v="1504792.9859999998"/>
    <n v="0"/>
    <n v="0"/>
    <n v="1504792.9859999998"/>
    <n v="29.31"/>
  </r>
  <r>
    <s v="RAHA OIL PVT LTD. NAMAKKAL , TAMIL NAIDU"/>
    <x v="4"/>
    <d v="2016-04-30T00:00:00"/>
    <n v="4"/>
    <x v="4"/>
    <n v="19.920000000000002"/>
    <n v="85290"/>
    <n v="1698976.8"/>
    <n v="0"/>
    <n v="0"/>
    <n v="0"/>
    <n v="0"/>
    <n v="1698976.8"/>
    <n v="34056.297000000006"/>
    <n v="0"/>
    <n v="1733033.0970000001"/>
    <n v="19.920000000000002"/>
  </r>
  <r>
    <s v="RAHA OIL PVT LTD. NAMAKKAL , TAMIL NAIDU"/>
    <x v="4"/>
    <d v="2016-04-30T00:00:00"/>
    <n v="4"/>
    <x v="4"/>
    <n v="20.21"/>
    <n v="85290"/>
    <n v="1723710.9000000001"/>
    <n v="0"/>
    <n v="0"/>
    <n v="0"/>
    <n v="0"/>
    <n v="1723710.9000000001"/>
    <n v="34482.747000000003"/>
    <n v="0"/>
    <n v="1758193.6470000001"/>
    <n v="20.21"/>
  </r>
  <r>
    <s v="RAHA OIL PVT LTD. NAMAKKAL , TAMIL NAIDU"/>
    <x v="4"/>
    <d v="2016-04-30T00:00:00"/>
    <n v="4"/>
    <x v="4"/>
    <n v="20.59"/>
    <n v="85290"/>
    <n v="1756121.1"/>
    <n v="0"/>
    <n v="0"/>
    <n v="0"/>
    <n v="0"/>
    <n v="1756121.1"/>
    <n v="35122.422000000006"/>
    <n v="0"/>
    <n v="1791243.5220000001"/>
    <n v="20.59"/>
  </r>
  <r>
    <s v="RAHA OIL PVT LTD. NAMAKKAL , TAMIL NAIDU"/>
    <x v="4"/>
    <d v="2016-04-30T00:00:00"/>
    <n v="4"/>
    <x v="4"/>
    <n v="20.190000000000001"/>
    <n v="85290"/>
    <n v="1722005.1"/>
    <n v="0"/>
    <n v="0"/>
    <n v="0"/>
    <n v="0"/>
    <n v="1722005.1"/>
    <n v="34440.101999999999"/>
    <n v="0"/>
    <n v="1756445.202"/>
    <n v="20.190000000000001"/>
  </r>
  <r>
    <s v="RICELA HEALTH FOODS LIMITED, DHURI (P.B)"/>
    <x v="0"/>
    <d v="2016-04-30T00:00:00"/>
    <n v="4"/>
    <x v="4"/>
    <n v="28.84"/>
    <n v="50000"/>
    <n v="1442000"/>
    <n v="0"/>
    <n v="0"/>
    <n v="0"/>
    <n v="0"/>
    <n v="1442000"/>
    <n v="28840"/>
    <n v="0"/>
    <n v="1470840"/>
    <n v="28.8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96">
  <r>
    <d v="2016-01-04T00:00:00"/>
    <x v="0"/>
    <n v="1"/>
    <n v="66.61"/>
    <n v="850"/>
    <n v="908.1637131243358"/>
    <n v="64892.784931212009"/>
  </r>
  <r>
    <d v="2016-01-05T00:00:00"/>
    <x v="0"/>
    <n v="1"/>
    <n v="66.599999999999994"/>
    <n v="865"/>
    <n v="923.38002555791718"/>
    <n v="65897.109702157279"/>
  </r>
  <r>
    <d v="2016-01-06T00:00:00"/>
    <x v="0"/>
    <n v="1"/>
    <n v="66.8"/>
    <n v="870"/>
    <n v="928.45212970244427"/>
    <n v="66420.60226412327"/>
  </r>
  <r>
    <d v="2016-01-07T00:00:00"/>
    <x v="0"/>
    <n v="1"/>
    <n v="66.930000000000007"/>
    <n v="870"/>
    <n v="928.45212970244427"/>
    <n v="66541.301040984603"/>
  </r>
  <r>
    <d v="2016-01-08T00:00:00"/>
    <x v="0"/>
    <n v="1"/>
    <n v="66.63"/>
    <n v="875"/>
    <n v="933.52423384697136"/>
    <n v="66600.719701223687"/>
  </r>
  <r>
    <d v="2016-01-11T00:00:00"/>
    <x v="1"/>
    <n v="1"/>
    <n v="66.81"/>
    <n v="870"/>
    <n v="928.45212970244427"/>
    <n v="66429.886785420298"/>
  </r>
  <r>
    <d v="2016-01-12T00:00:00"/>
    <x v="1"/>
    <n v="1"/>
    <n v="66.86"/>
    <n v="870"/>
    <n v="928.45212970244427"/>
    <n v="66476.309391905423"/>
  </r>
  <r>
    <d v="2016-01-13T00:00:00"/>
    <x v="1"/>
    <n v="1"/>
    <n v="66.86"/>
    <n v="875"/>
    <n v="933.52423384697136"/>
    <n v="66815.430275008504"/>
  </r>
  <r>
    <d v="2016-01-14T00:00:00"/>
    <x v="1"/>
    <n v="1"/>
    <n v="67.3"/>
    <n v="870"/>
    <n v="928.45212970244427"/>
    <n v="66884.828328974487"/>
  </r>
  <r>
    <d v="2016-01-15T00:00:00"/>
    <x v="1"/>
    <n v="1"/>
    <n v="67.61"/>
    <n v="870"/>
    <n v="928.45212970244427"/>
    <n v="67172.648489182262"/>
  </r>
  <r>
    <d v="2016-01-18T00:00:00"/>
    <x v="2"/>
    <n v="1"/>
    <n v="67.680000000000007"/>
    <n v="865"/>
    <n v="923.38002555791718"/>
    <n v="66894.360129759851"/>
  </r>
  <r>
    <d v="2016-01-19T00:00:00"/>
    <x v="2"/>
    <n v="1"/>
    <n v="67.650000000000006"/>
    <n v="865"/>
    <n v="923.38002555791718"/>
    <n v="66866.658728993105"/>
  </r>
  <r>
    <d v="2016-01-20T00:00:00"/>
    <x v="2"/>
    <n v="1"/>
    <n v="67.95"/>
    <n v="860"/>
    <n v="918.30792141339009"/>
    <n v="66799.023260039859"/>
  </r>
  <r>
    <d v="2016-01-21T00:00:00"/>
    <x v="2"/>
    <n v="1"/>
    <n v="68.02"/>
    <n v="855"/>
    <n v="913.235817268863"/>
    <n v="66518.30029062806"/>
  </r>
  <r>
    <d v="2016-01-22T00:00:00"/>
    <x v="2"/>
    <n v="1"/>
    <n v="67.63"/>
    <n v="855"/>
    <n v="913.235817268863"/>
    <n v="66162.138321893202"/>
  </r>
  <r>
    <d v="2016-01-25T00:00:00"/>
    <x v="3"/>
    <n v="1"/>
    <n v="67.84"/>
    <n v="855"/>
    <n v="913.235817268863"/>
    <n v="66353.917843519666"/>
  </r>
  <r>
    <d v="2016-01-27T00:00:00"/>
    <x v="3"/>
    <n v="1"/>
    <n v="68.05"/>
    <n v="855"/>
    <n v="913.235817268863"/>
    <n v="66545.69736514613"/>
  </r>
  <r>
    <d v="2016-01-28T00:00:00"/>
    <x v="3"/>
    <n v="1"/>
    <n v="68.23"/>
    <n v="865"/>
    <n v="923.38002555791718"/>
    <n v="67402.219143816692"/>
  </r>
  <r>
    <d v="2016-01-29T00:00:00"/>
    <x v="3"/>
    <n v="1"/>
    <n v="67.78"/>
    <n v="880"/>
    <n v="938.59633799149844"/>
    <n v="68018.059789063758"/>
  </r>
  <r>
    <d v="2016-02-01T00:00:00"/>
    <x v="4"/>
    <n v="2"/>
    <n v="67.849999999999994"/>
    <n v="880"/>
    <n v="938.59633799149844"/>
    <n v="68083.761532723162"/>
  </r>
  <r>
    <d v="2016-02-02T00:00:00"/>
    <x v="4"/>
    <n v="2"/>
    <n v="67.98"/>
    <n v="880"/>
    <n v="938.59633799149844"/>
    <n v="68205.779056662068"/>
  </r>
  <r>
    <d v="2016-02-03T00:00:00"/>
    <x v="4"/>
    <n v="2"/>
    <n v="68.08"/>
    <n v="880"/>
    <n v="938.59633799149844"/>
    <n v="68299.638690461215"/>
  </r>
  <r>
    <d v="2016-02-04T00:00:00"/>
    <x v="4"/>
    <n v="2"/>
    <n v="67.540000000000006"/>
    <n v="880"/>
    <n v="938.59633799149844"/>
    <n v="67792.796667945804"/>
  </r>
  <r>
    <d v="2016-02-05T00:00:00"/>
    <x v="4"/>
    <n v="2"/>
    <n v="67.66"/>
    <n v="920"/>
    <n v="979.17317114771515"/>
    <n v="70650.856759854403"/>
  </r>
  <r>
    <d v="2016-02-08T00:00:00"/>
    <x v="5"/>
    <n v="2"/>
    <n v="67.94"/>
    <n v="920"/>
    <n v="979.17317114771515"/>
    <n v="70925.02524777576"/>
  </r>
  <r>
    <d v="2016-02-09T00:00:00"/>
    <x v="5"/>
    <n v="2"/>
    <n v="67.91"/>
    <n v="925"/>
    <n v="984.24527529224235"/>
    <n v="71240.096645096171"/>
  </r>
  <r>
    <d v="2016-02-10T00:00:00"/>
    <x v="5"/>
    <n v="2"/>
    <n v="67.849999999999994"/>
    <n v="925"/>
    <n v="984.24527529224235"/>
    <n v="71181.041928578634"/>
  </r>
  <r>
    <d v="2016-02-11T00:00:00"/>
    <x v="5"/>
    <n v="2"/>
    <n v="68.31"/>
    <n v="950"/>
    <n v="1009.6057960148778"/>
    <n v="73366.171925776303"/>
  </r>
  <r>
    <d v="2016-02-12T00:00:00"/>
    <x v="5"/>
    <n v="2"/>
    <n v="68.23"/>
    <n v="975"/>
    <n v="1034.9663167375134"/>
    <n v="75015.751791000541"/>
  </r>
  <r>
    <d v="2016-02-15T00:00:00"/>
    <x v="6"/>
    <n v="2"/>
    <n v="68.06"/>
    <n v="978"/>
    <n v="1038.0095792242296"/>
    <n v="75046.931962001065"/>
  </r>
  <r>
    <d v="2016-02-17T00:00:00"/>
    <x v="6"/>
    <n v="2"/>
    <n v="68.47"/>
    <n v="970"/>
    <n v="1029.8942125929862"/>
    <n v="74916.856736241767"/>
  </r>
  <r>
    <d v="2016-02-18T00:00:00"/>
    <x v="6"/>
    <n v="2"/>
    <n v="68.47"/>
    <n v="970"/>
    <n v="1029.8942125929862"/>
    <n v="74916.856736241767"/>
  </r>
  <r>
    <d v="2016-02-19T00:00:00"/>
    <x v="6"/>
    <n v="2"/>
    <n v="68.459999999999994"/>
    <n v="970"/>
    <n v="1029.8942125929862"/>
    <n v="74906.557794115826"/>
  </r>
  <r>
    <d v="2016-02-22T00:00:00"/>
    <x v="7"/>
    <n v="2"/>
    <n v="68.61"/>
    <n v="970"/>
    <n v="1029.8942125929862"/>
    <n v="75061.041926004778"/>
  </r>
  <r>
    <d v="2016-02-23T00:00:00"/>
    <x v="7"/>
    <n v="2"/>
    <n v="68.569999999999993"/>
    <n v="990"/>
    <n v="1050.1826291710945"/>
    <n v="76411.022882261939"/>
  </r>
  <r>
    <d v="2016-02-24T00:00:00"/>
    <x v="7"/>
    <n v="2"/>
    <n v="68.56"/>
    <n v="990"/>
    <n v="1050.1826291710945"/>
    <n v="76400.521055970239"/>
  </r>
  <r>
    <d v="2016-02-25T00:00:00"/>
    <x v="7"/>
    <n v="2"/>
    <n v="68.709999999999994"/>
    <n v="990"/>
    <n v="1050.1826291710945"/>
    <n v="76558.048450345901"/>
  </r>
  <r>
    <d v="2016-02-26T00:00:00"/>
    <x v="7"/>
    <n v="2"/>
    <n v="68.62"/>
    <n v="990"/>
    <n v="1050.1826291710945"/>
    <n v="76463.532013720513"/>
  </r>
  <r>
    <d v="2016-02-29T00:00:00"/>
    <x v="8"/>
    <n v="2"/>
    <n v="68.430000000000007"/>
    <n v="1040"/>
    <n v="1100.9036706163656"/>
    <n v="79734.838180277904"/>
  </r>
  <r>
    <d v="2016-03-01T00:00:00"/>
    <x v="8"/>
    <n v="3"/>
    <n v="68.86"/>
    <n v="1040"/>
    <n v="1100.9036706163656"/>
    <n v="80208.226758642937"/>
  </r>
  <r>
    <d v="2016-03-02T00:00:00"/>
    <x v="8"/>
    <n v="3"/>
    <n v="67.55"/>
    <n v="1040"/>
    <n v="1100.9036706163656"/>
    <n v="78766.042950135496"/>
  </r>
  <r>
    <d v="2016-03-03T00:00:00"/>
    <x v="8"/>
    <n v="3"/>
    <n v="67.34"/>
    <n v="1040"/>
    <n v="1100.9036706163656"/>
    <n v="78534.853179306068"/>
  </r>
  <r>
    <d v="2016-03-04T00:00:00"/>
    <x v="8"/>
    <n v="3"/>
    <n v="67.08"/>
    <n v="1040"/>
    <n v="1100.9036706163656"/>
    <n v="78248.618224945807"/>
  </r>
  <r>
    <d v="2016-03-08T00:00:00"/>
    <x v="9"/>
    <n v="3"/>
    <n v="67.349999999999994"/>
    <n v="1055"/>
    <n v="1116.1199830499468"/>
    <n v="79570.680858413907"/>
  </r>
  <r>
    <d v="2016-03-09T00:00:00"/>
    <x v="9"/>
    <n v="3"/>
    <n v="67.209999999999994"/>
    <n v="1075"/>
    <n v="1136.4083996280551"/>
    <n v="80778.008539001574"/>
  </r>
  <r>
    <d v="2016-03-10T00:00:00"/>
    <x v="9"/>
    <n v="3"/>
    <n v="67.02"/>
    <n v="1090"/>
    <n v="1151.6247120616365"/>
    <n v="81581.888202370872"/>
  </r>
  <r>
    <d v="2016-03-11T00:00:00"/>
    <x v="9"/>
    <n v="3"/>
    <n v="67.13"/>
    <n v="1120"/>
    <n v="1182.057336928799"/>
    <n v="83751.509028030268"/>
  </r>
  <r>
    <d v="2016-03-14T00:00:00"/>
    <x v="10"/>
    <n v="3"/>
    <n v="67.05"/>
    <n v="1135"/>
    <n v="1197.2736493623804"/>
    <n v="84677.198189747607"/>
  </r>
  <r>
    <d v="2016-03-16T00:00:00"/>
    <x v="10"/>
    <n v="3"/>
    <n v="67.239999999999995"/>
    <n v="1140"/>
    <n v="1202.3457535069074"/>
    <n v="85245.728465804452"/>
  </r>
  <r>
    <d v="2016-03-17T00:00:00"/>
    <x v="10"/>
    <n v="3"/>
    <n v="66.75"/>
    <n v="1220"/>
    <n v="1283.499419819341"/>
    <n v="90073.586272941015"/>
  </r>
  <r>
    <d v="2016-03-18T00:00:00"/>
    <x v="10"/>
    <n v="3"/>
    <n v="66.5"/>
    <n v="1220"/>
    <n v="1283.499419819341"/>
    <n v="89752.711417986182"/>
  </r>
  <r>
    <d v="2016-03-21T00:00:00"/>
    <x v="11"/>
    <n v="3"/>
    <n v="66.53"/>
    <n v="1240"/>
    <n v="1303.7878363974496"/>
    <n v="91141.004755522328"/>
  </r>
  <r>
    <d v="2016-03-22T00:00:00"/>
    <x v="11"/>
    <n v="3"/>
    <n v="66.709999999999994"/>
    <n v="1265"/>
    <n v="1329.1483571200849"/>
    <n v="93067.486903480851"/>
  </r>
  <r>
    <d v="2016-03-23T00:00:00"/>
    <x v="11"/>
    <n v="3"/>
    <n v="66.87"/>
    <n v="1275.625"/>
    <n v="1339.926578427205"/>
    <n v="94000.890299427207"/>
  </r>
  <r>
    <d v="2016-03-24T00:00:00"/>
    <x v="11"/>
    <n v="3"/>
    <n v="66.87"/>
    <n v="1286.25"/>
    <n v="1350.7047997343252"/>
    <n v="94721.629958234334"/>
  </r>
  <r>
    <d v="2016-03-28T00:00:00"/>
    <x v="12"/>
    <n v="3"/>
    <n v="66.59"/>
    <n v="1296.875"/>
    <n v="1361.4830210414452"/>
    <n v="95061.154371149838"/>
  </r>
  <r>
    <d v="2016-03-29T00:00:00"/>
    <x v="12"/>
    <n v="3"/>
    <n v="66.540000000000006"/>
    <n v="1307.5"/>
    <n v="1372.2612423485652"/>
    <n v="95710.263065873543"/>
  </r>
  <r>
    <d v="2016-03-30T00:00:00"/>
    <x v="12"/>
    <n v="3"/>
    <n v="66.39"/>
    <n v="1318.125"/>
    <n v="1383.0394636556853"/>
    <n v="96219.989992100949"/>
  </r>
  <r>
    <d v="2016-03-31T00:00:00"/>
    <x v="12"/>
    <n v="3"/>
    <n v="66.25"/>
    <n v="1328.75"/>
    <n v="1393.8176849628055"/>
    <n v="96740.421628785873"/>
  </r>
  <r>
    <d v="2016-04-01T00:00:00"/>
    <x v="12"/>
    <n v="4"/>
    <n v="66.349999999999994"/>
    <n v="1339.375"/>
    <n v="1404.5959062699255"/>
    <n v="97594.938381009546"/>
  </r>
  <r>
    <d v="2016-04-04T00:00:00"/>
    <x v="13"/>
    <n v="4"/>
    <n v="66.06"/>
    <n v="1350"/>
    <n v="1415.3741275770456"/>
    <n v="97899.614867739627"/>
  </r>
  <r>
    <d v="2016-04-05T00:00:00"/>
    <x v="13"/>
    <n v="4"/>
    <n v="66.22"/>
    <n v="1350"/>
    <n v="1415.3741275770456"/>
    <n v="98126.074728151958"/>
  </r>
  <r>
    <d v="2016-04-06T00:00:00"/>
    <x v="13"/>
    <n v="4"/>
    <n v="66.66"/>
    <n v="1330"/>
    <n v="1395.0857109989372"/>
    <n v="97396.413495189146"/>
  </r>
  <r>
    <d v="2016-04-07T00:00:00"/>
    <x v="13"/>
    <n v="4"/>
    <n v="66.47"/>
    <n v="1310"/>
    <n v="1374.7972944208288"/>
    <n v="95782.776160152498"/>
  </r>
  <r>
    <d v="2016-04-11T00:00:00"/>
    <x v="14"/>
    <n v="4"/>
    <n v="66.430000000000007"/>
    <n v="1290"/>
    <n v="1354.5088778427205"/>
    <n v="94380.02475509193"/>
  </r>
  <r>
    <d v="2016-04-12T00:00:00"/>
    <x v="14"/>
    <n v="4"/>
    <n v="66.42"/>
    <n v="1290"/>
    <n v="1354.5088778427205"/>
    <n v="94366.479666313491"/>
  </r>
  <r>
    <d v="2016-04-13T00:00:00"/>
    <x v="14"/>
    <n v="4"/>
    <n v="66.64"/>
    <n v="1290"/>
    <n v="1354.5088778427205"/>
    <n v="94664.471619438889"/>
  </r>
  <r>
    <d v="2016-04-18T00:00:00"/>
    <x v="15"/>
    <n v="4"/>
    <n v="66.55"/>
    <n v="1250"/>
    <n v="1313.9320446865036"/>
    <n v="91842.177573886802"/>
  </r>
  <r>
    <d v="2016-04-19T00:00:00"/>
    <x v="15"/>
    <n v="4"/>
    <n v="66.489999999999995"/>
    <n v="1260"/>
    <n v="1324.0762529755577"/>
    <n v="92437.83006034483"/>
  </r>
  <r>
    <d v="2016-04-20T00:00:00"/>
    <x v="15"/>
    <n v="4"/>
    <n v="66.3"/>
    <n v="1290"/>
    <n v="1354.5088778427205"/>
    <n v="94203.938600972368"/>
  </r>
  <r>
    <d v="2016-04-21T00:00:00"/>
    <x v="15"/>
    <n v="4"/>
    <n v="66.39"/>
    <n v="1290"/>
    <n v="1354.5088778427205"/>
    <n v="94325.844399978218"/>
  </r>
  <r>
    <d v="2016-04-22T00:00:00"/>
    <x v="15"/>
    <n v="4"/>
    <n v="66.489999999999995"/>
    <n v="1285"/>
    <n v="1349.4367736981933"/>
    <n v="94124.05108319287"/>
  </r>
  <r>
    <d v="2016-04-25T00:00:00"/>
    <x v="16"/>
    <n v="4"/>
    <n v="66.61"/>
    <n v="1275"/>
    <n v="1339.2925654091391"/>
    <n v="93610.277781902754"/>
  </r>
  <r>
    <d v="2016-04-26T00:00:00"/>
    <x v="16"/>
    <n v="4"/>
    <n v="66.52"/>
    <n v="1275"/>
    <n v="1339.2925654091391"/>
    <n v="93489.741451015929"/>
  </r>
  <r>
    <d v="2016-04-27T00:00:00"/>
    <x v="16"/>
    <n v="4"/>
    <n v="66.58"/>
    <n v="1260"/>
    <n v="1324.0762529755577"/>
    <n v="92556.996923112631"/>
  </r>
  <r>
    <d v="2016-04-28T00:00:00"/>
    <x v="16"/>
    <n v="4"/>
    <n v="66.52"/>
    <n v="1250"/>
    <n v="1313.9320446865036"/>
    <n v="91802.759612546215"/>
  </r>
  <r>
    <d v="2016-04-29T00:00:00"/>
    <x v="16"/>
    <n v="4"/>
    <n v="66.33"/>
    <n v="1260"/>
    <n v="1324.0762529755577"/>
    <n v="92225.977859868741"/>
  </r>
  <r>
    <d v="2016-05-02T00:00:00"/>
    <x v="17"/>
    <n v="5"/>
    <n v="66.459999999999994"/>
    <n v="1255"/>
    <n v="1319.0041488310308"/>
    <n v="92061.015731310297"/>
  </r>
  <r>
    <d v="2016-05-03T00:00:00"/>
    <x v="17"/>
    <n v="5"/>
    <n v="66.430000000000007"/>
    <n v="1250"/>
    <n v="1313.9320446865036"/>
    <n v="91684.50572852444"/>
  </r>
  <r>
    <d v="2016-05-04T00:00:00"/>
    <x v="17"/>
    <n v="5"/>
    <n v="66.55"/>
    <n v="1240"/>
    <n v="1303.7878363974496"/>
    <n v="91167.080512250264"/>
  </r>
  <r>
    <d v="2016-05-05T00:00:00"/>
    <x v="17"/>
    <n v="5"/>
    <n v="66.55"/>
    <n v="1240"/>
    <n v="1303.7878363974496"/>
    <n v="91167.080512250264"/>
  </r>
  <r>
    <d v="2016-05-06T00:00:00"/>
    <x v="17"/>
    <n v="5"/>
    <n v="66.55"/>
    <n v="1225"/>
    <n v="1288.571523963868"/>
    <n v="90154.434919795414"/>
  </r>
  <r>
    <d v="2016-05-09T00:00:00"/>
    <x v="18"/>
    <n v="5"/>
    <n v="66.58"/>
    <n v="1235"/>
    <n v="1298.7157322529224"/>
    <n v="90868.493453399569"/>
  </r>
  <r>
    <d v="2016-05-10T00:00:00"/>
    <x v="18"/>
    <n v="5"/>
    <n v="66.680000000000007"/>
    <n v="1235"/>
    <n v="1298.7157322529224"/>
    <n v="90998.365026624873"/>
  </r>
  <r>
    <d v="2016-05-11T00:00:00"/>
    <x v="18"/>
    <n v="5"/>
    <n v="66.569999999999993"/>
    <n v="1235"/>
    <n v="1298.7157322529224"/>
    <n v="90855.50629607703"/>
  </r>
  <r>
    <d v="2016-05-12T00:00:00"/>
    <x v="18"/>
    <n v="5"/>
    <n v="66.62"/>
    <n v="1200"/>
    <n v="1263.2110032412327"/>
    <n v="88555.117035930933"/>
  </r>
  <r>
    <d v="2016-05-13T00:00:00"/>
    <x v="18"/>
    <n v="5"/>
    <n v="66.760000000000005"/>
    <n v="1200"/>
    <n v="1263.2110032412327"/>
    <n v="88731.966576384701"/>
  </r>
  <r>
    <d v="2016-05-16T00:00:00"/>
    <x v="19"/>
    <n v="5"/>
    <n v="66.8"/>
    <n v="1200"/>
    <n v="1263.2110032412327"/>
    <n v="88782.495016514338"/>
  </r>
  <r>
    <d v="2016-05-17T00:00:00"/>
    <x v="19"/>
    <n v="5"/>
    <n v="66.87"/>
    <n v="1190"/>
    <n v="1253.0667949521785"/>
    <n v="88192.576578452179"/>
  </r>
  <r>
    <d v="2016-05-18T00:00:00"/>
    <x v="19"/>
    <n v="5"/>
    <n v="66.97"/>
    <n v="1190"/>
    <n v="1253.0667949521785"/>
    <n v="88317.883257947396"/>
  </r>
  <r>
    <d v="2016-05-19T00:00:00"/>
    <x v="19"/>
    <n v="5"/>
    <n v="67.37"/>
    <n v="1185"/>
    <n v="1247.9946908076513"/>
    <n v="88477.402319711473"/>
  </r>
  <r>
    <d v="2016-05-20T00:00:00"/>
    <x v="19"/>
    <n v="5"/>
    <n v="67.37"/>
    <n v="1195"/>
    <n v="1258.1388990967055"/>
    <n v="89160.817632145059"/>
  </r>
  <r>
    <d v="2016-05-23T00:00:00"/>
    <x v="20"/>
    <n v="5"/>
    <n v="67.5"/>
    <n v="1185"/>
    <n v="1247.9946908076513"/>
    <n v="88639.641629516467"/>
  </r>
  <r>
    <d v="2016-05-24T00:00:00"/>
    <x v="20"/>
    <n v="5"/>
    <n v="67.7"/>
    <n v="1185"/>
    <n v="1247.9946908076513"/>
    <n v="88889.240567677989"/>
  </r>
  <r>
    <d v="2016-05-25T00:00:00"/>
    <x v="20"/>
    <n v="5"/>
    <n v="67.36"/>
    <n v="1190"/>
    <n v="1253.0667949521785"/>
    <n v="88806.57930797874"/>
  </r>
  <r>
    <d v="2016-05-26T00:00:00"/>
    <x v="20"/>
    <n v="5"/>
    <n v="67.180000000000007"/>
    <n v="1190"/>
    <n v="1253.0667949521785"/>
    <n v="88581.027284887357"/>
  </r>
  <r>
    <d v="2016-05-27T00:00:00"/>
    <x v="20"/>
    <n v="5"/>
    <n v="67.040000000000006"/>
    <n v="1210"/>
    <n v="1273.3552115302869"/>
    <n v="89765.733380990438"/>
  </r>
  <r>
    <d v="2016-05-30T00:00:00"/>
    <x v="21"/>
    <n v="5"/>
    <n v="67.16"/>
    <n v="1210"/>
    <n v="1273.3552115302869"/>
    <n v="89918.536006374066"/>
  </r>
  <r>
    <d v="2016-05-31T00:00:00"/>
    <x v="21"/>
    <n v="5"/>
    <n v="67.3"/>
    <n v="1215"/>
    <n v="1278.4273156748141"/>
    <n v="90438.158344914977"/>
  </r>
  <r>
    <d v="2016-06-01T00:00:00"/>
    <x v="21"/>
    <n v="6"/>
    <n v="67.459999999999994"/>
    <n v="1215"/>
    <n v="1278.4273156748141"/>
    <n v="90642.706715422944"/>
  </r>
  <r>
    <d v="2016-06-02T00:00:00"/>
    <x v="21"/>
    <n v="6"/>
    <n v="67.3"/>
    <n v="1215"/>
    <n v="1278.4273156748141"/>
    <n v="90438.158344914977"/>
  </r>
  <r>
    <d v="2016-06-03T00:00:00"/>
    <x v="21"/>
    <n v="6"/>
    <n v="67.25"/>
    <n v="1215"/>
    <n v="1278.4273156748141"/>
    <n v="90374.236979131252"/>
  </r>
  <r>
    <d v="2016-06-06T00:00:00"/>
    <x v="22"/>
    <n v="6"/>
    <n v="66.959999999999994"/>
    <n v="1270"/>
    <n v="1334.2204612646119"/>
    <n v="93739.402086278409"/>
  </r>
  <r>
    <d v="2016-06-07T00:00:00"/>
    <x v="22"/>
    <n v="6"/>
    <n v="66.77"/>
    <n v="1270"/>
    <n v="1334.2204612646119"/>
    <n v="93485.900198638134"/>
  </r>
  <r>
    <d v="2016-06-08T00:00:00"/>
    <x v="22"/>
    <n v="6"/>
    <n v="66.650000000000006"/>
    <n v="1270"/>
    <n v="1334.2204612646119"/>
    <n v="93325.793743286398"/>
  </r>
  <r>
    <d v="2016-06-09T00:00:00"/>
    <x v="22"/>
    <n v="6"/>
    <n v="66.709999999999994"/>
    <n v="1305"/>
    <n v="1369.7251902763016"/>
    <n v="95774.36744333207"/>
  </r>
  <r>
    <d v="2016-06-10T00:00:00"/>
    <x v="22"/>
    <n v="6"/>
    <n v="66.760000000000005"/>
    <n v="1305"/>
    <n v="1369.7251902763016"/>
    <n v="95842.85370284591"/>
  </r>
  <r>
    <d v="2016-06-13T00:00:00"/>
    <x v="23"/>
    <n v="6"/>
    <n v="67.13"/>
    <n v="1310"/>
    <n v="1374.7972944208288"/>
    <n v="96690.142374470233"/>
  </r>
  <r>
    <d v="2016-06-14T00:00:00"/>
    <x v="23"/>
    <n v="6"/>
    <n v="67.150000000000006"/>
    <n v="1310"/>
    <n v="1374.7972944208288"/>
    <n v="96717.638320358659"/>
  </r>
  <r>
    <d v="2016-06-15T00:00:00"/>
    <x v="23"/>
    <n v="6"/>
    <n v="67.22"/>
    <n v="1310"/>
    <n v="1374.7972944208288"/>
    <n v="96813.874130968121"/>
  </r>
  <r>
    <d v="2016-06-16T00:00:00"/>
    <x v="23"/>
    <n v="6"/>
    <n v="67.3"/>
    <n v="1295"/>
    <n v="1359.5809819872475"/>
    <n v="95899.800087741751"/>
  </r>
  <r>
    <d v="2016-06-17T00:00:00"/>
    <x v="23"/>
    <n v="6"/>
    <n v="67.069999999999993"/>
    <n v="1295"/>
    <n v="1359.5809819872475"/>
    <n v="95587.096461884677"/>
  </r>
  <r>
    <d v="2016-06-20T00:00:00"/>
    <x v="24"/>
    <n v="6"/>
    <n v="67.31"/>
    <n v="1295"/>
    <n v="1359.5809819872475"/>
    <n v="95913.395897561626"/>
  </r>
  <r>
    <d v="2016-06-21T00:00:00"/>
    <x v="24"/>
    <n v="6"/>
    <n v="67.5"/>
    <n v="1295"/>
    <n v="1359.5809819872475"/>
    <n v="96171.716284139198"/>
  </r>
  <r>
    <d v="2016-06-22T00:00:00"/>
    <x v="24"/>
    <n v="6"/>
    <n v="67.48"/>
    <n v="1295"/>
    <n v="1359.5809819872475"/>
    <n v="96144.524664499462"/>
  </r>
  <r>
    <d v="2016-06-23T00:00:00"/>
    <x v="24"/>
    <n v="6"/>
    <n v="67.25"/>
    <n v="1295"/>
    <n v="1359.5809819872475"/>
    <n v="95831.821038642389"/>
  </r>
  <r>
    <d v="2016-06-24T00:00:00"/>
    <x v="24"/>
    <n v="6"/>
    <n v="67.959999999999994"/>
    <n v="1280"/>
    <n v="1344.3646695536663"/>
    <n v="95763.022942867159"/>
  </r>
  <r>
    <d v="2016-06-27T00:00:00"/>
    <x v="25"/>
    <n v="6"/>
    <n v="67.95"/>
    <n v="1285"/>
    <n v="1349.4367736981933"/>
    <n v="96094.228772792238"/>
  </r>
  <r>
    <d v="2016-06-28T00:00:00"/>
    <x v="25"/>
    <n v="6"/>
    <n v="67.95"/>
    <n v="1280"/>
    <n v="1344.3646695536663"/>
    <n v="95749.579296171636"/>
  </r>
  <r>
    <d v="2016-06-29T00:00:00"/>
    <x v="25"/>
    <n v="6"/>
    <n v="67.69"/>
    <n v="1270"/>
    <n v="1334.2204612646119"/>
    <n v="94713.383023001574"/>
  </r>
  <r>
    <d v="2016-06-30T00:00:00"/>
    <x v="25"/>
    <n v="6"/>
    <n v="67.52"/>
    <n v="1285"/>
    <n v="1349.4367736981933"/>
    <n v="95513.970960102"/>
  </r>
  <r>
    <d v="2016-07-01T00:00:00"/>
    <x v="25"/>
    <n v="7"/>
    <n v="67.319999999999993"/>
    <n v="1285"/>
    <n v="1349.4367736981933"/>
    <n v="95244.083605362364"/>
  </r>
  <r>
    <d v="2016-07-04T00:00:00"/>
    <x v="26"/>
    <n v="7"/>
    <n v="67.72"/>
    <n v="1270"/>
    <n v="1334.2204612646119"/>
    <n v="94753.409636839511"/>
  </r>
  <r>
    <d v="2016-07-05T00:00:00"/>
    <x v="26"/>
    <n v="7"/>
    <n v="67.56"/>
    <n v="1270"/>
    <n v="1334.2204612646119"/>
    <n v="94539.934363037188"/>
  </r>
  <r>
    <d v="2016-07-08T00:00:00"/>
    <x v="26"/>
    <n v="7"/>
    <n v="67.37"/>
    <n v="1250"/>
    <n v="1313.9320446865036"/>
    <n v="92919.601850529754"/>
  </r>
  <r>
    <d v="2016-07-11T00:00:00"/>
    <x v="27"/>
    <n v="7"/>
    <n v="67.13"/>
    <n v="1250"/>
    <n v="1313.9320446865036"/>
    <n v="92604.258159804973"/>
  </r>
  <r>
    <d v="2016-07-12T00:00:00"/>
    <x v="27"/>
    <n v="7"/>
    <n v="67.180000000000007"/>
    <n v="1225"/>
    <n v="1288.571523963868"/>
    <n v="90966.234979892659"/>
  </r>
  <r>
    <d v="2016-07-13T00:00:00"/>
    <x v="27"/>
    <n v="7"/>
    <n v="67.05"/>
    <n v="1240"/>
    <n v="1303.7878363974496"/>
    <n v="91818.974430448987"/>
  </r>
  <r>
    <d v="2016-07-14T00:00:00"/>
    <x v="27"/>
    <n v="7"/>
    <n v="66.91"/>
    <n v="1240"/>
    <n v="1303.7878363974496"/>
    <n v="91636.444133353347"/>
  </r>
  <r>
    <d v="2016-07-15T00:00:00"/>
    <x v="27"/>
    <n v="7"/>
    <n v="67.05"/>
    <n v="1240"/>
    <n v="1303.7878363974496"/>
    <n v="91818.974430448987"/>
  </r>
  <r>
    <d v="2016-07-18T00:00:00"/>
    <x v="28"/>
    <n v="7"/>
    <n v="67.08"/>
    <n v="1270"/>
    <n v="1334.2204612646119"/>
    <n v="93899.508541630159"/>
  </r>
  <r>
    <d v="2016-07-19T00:00:00"/>
    <x v="28"/>
    <n v="7"/>
    <n v="67.099999999999994"/>
    <n v="1260"/>
    <n v="1324.0762529755577"/>
    <n v="93245.516574659923"/>
  </r>
  <r>
    <d v="2016-07-20T00:00:00"/>
    <x v="28"/>
    <n v="7"/>
    <n v="67.19"/>
    <n v="1270"/>
    <n v="1334.2204612646119"/>
    <n v="94046.272792369273"/>
  </r>
  <r>
    <d v="2016-07-21T00:00:00"/>
    <x v="28"/>
    <n v="7"/>
    <n v="67.17"/>
    <n v="1290"/>
    <n v="1354.5088778427205"/>
    <n v="95382.361324695536"/>
  </r>
  <r>
    <d v="2016-07-22T00:00:00"/>
    <x v="28"/>
    <n v="7"/>
    <n v="67.09"/>
    <n v="1280"/>
    <n v="1344.3646695536663"/>
    <n v="94593.425680355474"/>
  </r>
  <r>
    <d v="2016-07-25T00:00:00"/>
    <x v="29"/>
    <n v="7"/>
    <n v="67.31"/>
    <n v="1290"/>
    <n v="1354.5088778427205"/>
    <n v="95571.992567593523"/>
  </r>
  <r>
    <d v="2016-07-26T00:00:00"/>
    <x v="29"/>
    <n v="7"/>
    <n v="67.27"/>
    <n v="1300"/>
    <n v="1364.6530861317747"/>
    <n v="96200.213104084483"/>
  </r>
  <r>
    <d v="2016-07-27T00:00:00"/>
    <x v="29"/>
    <n v="7"/>
    <n v="67.25"/>
    <n v="1310"/>
    <n v="1374.7972944208288"/>
    <n v="96855.118049800745"/>
  </r>
  <r>
    <d v="2016-07-28T00:00:00"/>
    <x v="29"/>
    <n v="7"/>
    <n v="67.040000000000006"/>
    <n v="1310"/>
    <n v="1374.7972944208288"/>
    <n v="96566.410617972375"/>
  </r>
  <r>
    <d v="2016-07-29T00:00:00"/>
    <x v="29"/>
    <n v="7"/>
    <n v="67.02"/>
    <n v="1320"/>
    <n v="1384.941502709883"/>
    <n v="97218.779511616362"/>
  </r>
  <r>
    <d v="2016-08-01T00:00:00"/>
    <x v="30"/>
    <n v="8"/>
    <n v="66.77"/>
    <n v="1320"/>
    <n v="1384.941502709883"/>
    <n v="96872.544135938879"/>
  </r>
  <r>
    <d v="2016-08-02T00:00:00"/>
    <x v="30"/>
    <n v="8"/>
    <n v="66.73"/>
    <n v="1320"/>
    <n v="1384.941502709883"/>
    <n v="96817.146475830494"/>
  </r>
  <r>
    <d v="2016-08-03T00:00:00"/>
    <x v="30"/>
    <n v="8"/>
    <n v="66.989999999999995"/>
    <n v="1330"/>
    <n v="1395.0857109989372"/>
    <n v="97856.791779818799"/>
  </r>
  <r>
    <d v="2016-08-04T00:00:00"/>
    <x v="30"/>
    <n v="8"/>
    <n v="66.91"/>
    <n v="1330"/>
    <n v="1395.0857109989372"/>
    <n v="97745.18492293889"/>
  </r>
  <r>
    <d v="2016-08-05T00:00:00"/>
    <x v="30"/>
    <n v="8"/>
    <n v="66.83"/>
    <n v="1320"/>
    <n v="1384.941502709883"/>
    <n v="96955.640626101478"/>
  </r>
  <r>
    <d v="2016-08-08T00:00:00"/>
    <x v="31"/>
    <n v="8"/>
    <n v="66.849999999999994"/>
    <n v="1330"/>
    <n v="1395.0857109989372"/>
    <n v="97661.47978027894"/>
  </r>
  <r>
    <d v="2016-08-09T00:00:00"/>
    <x v="31"/>
    <n v="8"/>
    <n v="66.84"/>
    <n v="1330"/>
    <n v="1395.0857109989372"/>
    <n v="97647.528923168968"/>
  </r>
  <r>
    <d v="2016-08-10T00:00:00"/>
    <x v="31"/>
    <n v="8"/>
    <n v="66.680000000000007"/>
    <n v="1330"/>
    <n v="1395.0857109989372"/>
    <n v="97424.315209409149"/>
  </r>
  <r>
    <d v="2016-08-11T00:00:00"/>
    <x v="31"/>
    <n v="8"/>
    <n v="66.84"/>
    <n v="1330"/>
    <n v="1395.0857109989372"/>
    <n v="97647.528923168968"/>
  </r>
  <r>
    <d v="2016-08-12T00:00:00"/>
    <x v="31"/>
    <n v="8"/>
    <n v="66.84"/>
    <n v="1350"/>
    <n v="1415.3741275770456"/>
    <n v="99003.606687249732"/>
  </r>
  <r>
    <d v="2016-08-18T00:00:00"/>
    <x v="32"/>
    <n v="8"/>
    <n v="66.8"/>
    <n v="1425"/>
    <n v="1491.455689744952"/>
    <n v="104029.24007496279"/>
  </r>
  <r>
    <d v="2016-08-19T00:00:00"/>
    <x v="32"/>
    <n v="8"/>
    <n v="66.98"/>
    <n v="1450"/>
    <n v="1516.8162104675876"/>
    <n v="105996.34977711902"/>
  </r>
  <r>
    <d v="2016-08-22T00:00:00"/>
    <x v="33"/>
    <n v="8"/>
    <n v="67.19"/>
    <n v="1430"/>
    <n v="1496.5277938894792"/>
    <n v="104951.70247143411"/>
  </r>
  <r>
    <d v="2016-08-23T00:00:00"/>
    <x v="33"/>
    <n v="8"/>
    <n v="67.06"/>
    <n v="1440"/>
    <n v="1506.6720021785334"/>
    <n v="105437.42446609245"/>
  </r>
  <r>
    <d v="2016-08-24T00:00:00"/>
    <x v="33"/>
    <n v="8"/>
    <n v="67.11"/>
    <n v="1450"/>
    <n v="1516.8162104675876"/>
    <n v="106193.5358844798"/>
  </r>
  <r>
    <d v="2016-08-25T00:00:00"/>
    <x v="33"/>
    <n v="8"/>
    <n v="67.05"/>
    <n v="1450"/>
    <n v="1516.8162104675876"/>
    <n v="106102.52691185175"/>
  </r>
  <r>
    <d v="2016-08-26T00:00:00"/>
    <x v="33"/>
    <n v="8"/>
    <n v="67.06"/>
    <n v="1450"/>
    <n v="1516.8162104675876"/>
    <n v="106117.69507395642"/>
  </r>
  <r>
    <d v="2016-08-29T00:00:00"/>
    <x v="34"/>
    <n v="8"/>
    <n v="67.25"/>
    <n v="1450"/>
    <n v="1516.8162104675876"/>
    <n v="106405.89015394526"/>
  </r>
  <r>
    <d v="2016-08-30T00:00:00"/>
    <x v="34"/>
    <n v="8"/>
    <n v="67.02"/>
    <n v="1450"/>
    <n v="1516.8162104675876"/>
    <n v="106057.02242553771"/>
  </r>
  <r>
    <d v="2016-08-31T00:00:00"/>
    <x v="34"/>
    <n v="8"/>
    <n v="66.959999999999994"/>
    <n v="1450"/>
    <n v="1516.8162104675876"/>
    <n v="105966.01345290965"/>
  </r>
  <r>
    <d v="2016-09-01T00:00:00"/>
    <x v="34"/>
    <n v="9"/>
    <n v="66.95"/>
    <n v="1450"/>
    <n v="1516.8162104675876"/>
    <n v="105950.84529080499"/>
  </r>
  <r>
    <d v="2016-09-02T00:00:00"/>
    <x v="34"/>
    <n v="9"/>
    <n v="66.819999999999993"/>
    <n v="1460"/>
    <n v="1526.9604187566417"/>
    <n v="106431.49518131879"/>
  </r>
  <r>
    <d v="2016-09-06T00:00:00"/>
    <x v="35"/>
    <n v="9"/>
    <n v="66.53"/>
    <n v="1465"/>
    <n v="1532.0325229011687"/>
    <n v="106326.12374861476"/>
  </r>
  <r>
    <d v="2016-09-07T00:00:00"/>
    <x v="35"/>
    <n v="9"/>
    <n v="66.37"/>
    <n v="1465"/>
    <n v="1532.0325229011687"/>
    <n v="106080.99854495058"/>
  </r>
  <r>
    <d v="2016-09-08T00:00:00"/>
    <x v="35"/>
    <n v="9"/>
    <n v="66.430000000000007"/>
    <n v="1465"/>
    <n v="1532.0325229011687"/>
    <n v="106172.92049632464"/>
  </r>
  <r>
    <d v="2016-09-09T00:00:00"/>
    <x v="35"/>
    <n v="9"/>
    <n v="66.680000000000007"/>
    <n v="1465"/>
    <n v="1532.0325229011687"/>
    <n v="106555.92862704994"/>
  </r>
  <r>
    <d v="2016-09-13T00:00:00"/>
    <x v="36"/>
    <n v="9"/>
    <n v="66.92"/>
    <n v="1455"/>
    <n v="1521.8883146121148"/>
    <n v="106244.76601384272"/>
  </r>
  <r>
    <d v="2016-09-14T00:00:00"/>
    <x v="36"/>
    <n v="9"/>
    <n v="66.89"/>
    <n v="1445"/>
    <n v="1511.7441063230606"/>
    <n v="105520.56327194952"/>
  </r>
  <r>
    <d v="2016-09-15T00:00:00"/>
    <x v="36"/>
    <n v="9"/>
    <n v="67.02"/>
    <n v="1430"/>
    <n v="1496.5277938894792"/>
    <n v="104697.29274647289"/>
  </r>
  <r>
    <d v="2016-09-16T00:00:00"/>
    <x v="36"/>
    <n v="9"/>
    <n v="66.989999999999995"/>
    <n v="1435"/>
    <n v="1501.5998980340064"/>
    <n v="104992.17716929808"/>
  </r>
  <r>
    <d v="2016-09-19T00:00:00"/>
    <x v="37"/>
    <n v="9"/>
    <n v="66.97"/>
    <n v="1440"/>
    <n v="1506.6720021785334"/>
    <n v="105301.82398589638"/>
  </r>
  <r>
    <d v="2016-09-20T00:00:00"/>
    <x v="37"/>
    <n v="9"/>
    <n v="67.010000000000005"/>
    <n v="1450"/>
    <n v="1516.8162104675876"/>
    <n v="106041.85426343305"/>
  </r>
  <r>
    <d v="2016-09-21T00:00:00"/>
    <x v="37"/>
    <n v="9"/>
    <n v="67.05"/>
    <n v="1450"/>
    <n v="1516.8162104675876"/>
    <n v="106102.52691185175"/>
  </r>
  <r>
    <d v="2016-09-22T00:00:00"/>
    <x v="37"/>
    <n v="9"/>
    <n v="66.66"/>
    <n v="1450"/>
    <n v="1516.8162104675876"/>
    <n v="105510.96858976939"/>
  </r>
  <r>
    <d v="2016-09-23T00:00:00"/>
    <x v="37"/>
    <n v="9"/>
    <n v="66.650000000000006"/>
    <n v="1450"/>
    <n v="1516.8162104675876"/>
    <n v="105495.80042766473"/>
  </r>
  <r>
    <d v="2016-09-26T00:00:00"/>
    <x v="38"/>
    <n v="9"/>
    <n v="66.599999999999994"/>
    <n v="1440"/>
    <n v="1506.6720021785334"/>
    <n v="104744.35534509031"/>
  </r>
  <r>
    <d v="2016-09-27T00:00:00"/>
    <x v="38"/>
    <n v="9"/>
    <n v="66.48"/>
    <n v="1440"/>
    <n v="1506.6720021785334"/>
    <n v="104563.5547048289"/>
  </r>
  <r>
    <d v="2016-09-28T00:00:00"/>
    <x v="38"/>
    <n v="9"/>
    <n v="66.459999999999994"/>
    <n v="1370"/>
    <n v="1435.6625441551539"/>
    <n v="99814.132684551514"/>
  </r>
  <r>
    <d v="2016-09-29T00:00:00"/>
    <x v="38"/>
    <n v="9"/>
    <n v="66.48"/>
    <n v="1350"/>
    <n v="1415.3741275770456"/>
    <n v="98494.072001321998"/>
  </r>
  <r>
    <d v="2016-09-30T00:00:00"/>
    <x v="38"/>
    <n v="9"/>
    <n v="66.61"/>
    <n v="1320"/>
    <n v="1384.941502709883"/>
    <n v="96650.95349550531"/>
  </r>
  <r>
    <d v="2016-10-03T00:00:00"/>
    <x v="39"/>
    <n v="10"/>
    <n v="66.59"/>
    <n v="1320"/>
    <n v="1384.941502709883"/>
    <n v="96623.25466545111"/>
  </r>
  <r>
    <d v="2016-10-04T00:00:00"/>
    <x v="39"/>
    <n v="10"/>
    <n v="66.459999999999994"/>
    <n v="1320"/>
    <n v="1384.941502709883"/>
    <n v="96443.212270098811"/>
  </r>
  <r>
    <d v="2016-10-05T00:00:00"/>
    <x v="39"/>
    <n v="10"/>
    <n v="66.5"/>
    <n v="1320"/>
    <n v="1384.941502709883"/>
    <n v="96498.609930207225"/>
  </r>
  <r>
    <d v="2016-10-06T00:00:00"/>
    <x v="39"/>
    <n v="10"/>
    <n v="66.78"/>
    <n v="1300"/>
    <n v="1364.6530861317747"/>
    <n v="95531.533091879915"/>
  </r>
  <r>
    <d v="2016-10-07T00:00:00"/>
    <x v="39"/>
    <n v="10"/>
    <n v="66.69"/>
    <n v="1300"/>
    <n v="1364.6530861317747"/>
    <n v="95408.714314128054"/>
  </r>
  <r>
    <d v="2016-10-10T00:00:00"/>
    <x v="40"/>
    <n v="10"/>
    <n v="66.53"/>
    <n v="1300"/>
    <n v="1364.6530861317747"/>
    <n v="95190.369820346968"/>
  </r>
  <r>
    <d v="2016-10-12T00:00:00"/>
    <x v="40"/>
    <n v="10"/>
    <n v="66.78"/>
    <n v="1285"/>
    <n v="1349.4367736981933"/>
    <n v="94515.387747565343"/>
  </r>
  <r>
    <d v="2016-10-13T00:00:00"/>
    <x v="40"/>
    <n v="10"/>
    <n v="66.930000000000007"/>
    <n v="1280"/>
    <n v="1344.3646695536663"/>
    <n v="94378.327333226902"/>
  </r>
  <r>
    <d v="2016-10-14T00:00:00"/>
    <x v="40"/>
    <n v="10"/>
    <n v="66.72"/>
    <n v="1280"/>
    <n v="1344.3646695536663"/>
    <n v="94096.010752620612"/>
  </r>
  <r>
    <d v="2016-10-17T00:00:00"/>
    <x v="41"/>
    <n v="10"/>
    <n v="66.89"/>
    <n v="1300"/>
    <n v="1364.6530861317747"/>
    <n v="95681.644931354414"/>
  </r>
  <r>
    <d v="2016-10-18T00:00:00"/>
    <x v="41"/>
    <n v="10"/>
    <n v="66.73"/>
    <n v="1300"/>
    <n v="1364.6530861317747"/>
    <n v="95463.300437573329"/>
  </r>
  <r>
    <d v="2016-10-19T00:00:00"/>
    <x v="41"/>
    <n v="10"/>
    <n v="66.69"/>
    <n v="1300"/>
    <n v="1364.6530861317747"/>
    <n v="95408.714314128054"/>
  </r>
  <r>
    <d v="2016-10-20T00:00:00"/>
    <x v="41"/>
    <n v="10"/>
    <n v="66.819999999999993"/>
    <n v="1300"/>
    <n v="1364.6530861317747"/>
    <n v="95586.119215325176"/>
  </r>
  <r>
    <d v="2016-10-21T00:00:00"/>
    <x v="41"/>
    <n v="10"/>
    <n v="66.87"/>
    <n v="1300"/>
    <n v="1364.6530861317747"/>
    <n v="95654.351869631777"/>
  </r>
  <r>
    <d v="2016-10-24T00:00:00"/>
    <x v="42"/>
    <n v="10"/>
    <n v="66.84"/>
    <n v="1320"/>
    <n v="1384.941502709883"/>
    <n v="96969.490041128593"/>
  </r>
  <r>
    <d v="2016-10-25T00:00:00"/>
    <x v="42"/>
    <n v="10"/>
    <n v="66.84"/>
    <n v="1330"/>
    <n v="1395.0857109989372"/>
    <n v="97647.52892316896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19">
  <r>
    <s v="SIDDHARTH OILS, LUDHIANA (P.B)"/>
    <x v="0"/>
    <d v="2016-11-01T00:00:00"/>
    <n v="11"/>
    <x v="0"/>
    <n v="26.44"/>
    <n v="49700"/>
    <n v="1314068"/>
    <n v="0"/>
    <n v="0"/>
    <n v="0"/>
    <n v="0"/>
    <n v="1314068"/>
    <n v="0"/>
    <n v="0"/>
    <n v="1314068"/>
    <n v="26.44"/>
  </r>
  <r>
    <s v="SIDDHARTH OILS, LUDHIANA (P.B)"/>
    <x v="1"/>
    <d v="2016-11-01T00:00:00"/>
    <n v="11"/>
    <x v="0"/>
    <n v="26.31"/>
    <n v="50700"/>
    <n v="1333917"/>
    <n v="0"/>
    <n v="0"/>
    <n v="0"/>
    <n v="0"/>
    <n v="1333917"/>
    <n v="0"/>
    <n v="0"/>
    <n v="1333917"/>
    <n v="26.31"/>
  </r>
  <r>
    <s v="HINDUSTAN OIL TRADERS, AMRITSAR (P.B) "/>
    <x v="1"/>
    <d v="2016-11-01T00:00:00"/>
    <n v="11"/>
    <x v="0"/>
    <n v="25.55"/>
    <n v="57689.42"/>
    <n v="1473964.6810000001"/>
    <n v="0"/>
    <n v="0"/>
    <n v="0"/>
    <n v="0"/>
    <n v="1473964.6810000001"/>
    <n v="0"/>
    <n v="0"/>
    <n v="1473964.6810000001"/>
    <n v="25.55"/>
  </r>
  <r>
    <s v="SIDDHARTH OILS, LUDHIANA (P.B)"/>
    <x v="1"/>
    <d v="2016-11-01T00:00:00"/>
    <n v="11"/>
    <x v="0"/>
    <n v="27.76"/>
    <n v="50900"/>
    <n v="1412984"/>
    <n v="0"/>
    <n v="0"/>
    <n v="0"/>
    <n v="0"/>
    <n v="1412984"/>
    <n v="0"/>
    <n v="0"/>
    <n v="1412984"/>
    <n v="27.76"/>
  </r>
  <r>
    <s v="SURUCHI REFINERY PRIVATE LTD., PALADAM- COIMBATORE"/>
    <x v="2"/>
    <d v="2016-11-01T00:00:00"/>
    <n v="11"/>
    <x v="0"/>
    <n v="19.670000000000002"/>
    <n v="92647"/>
    <n v="1822366.4900000002"/>
    <n v="0"/>
    <n v="0"/>
    <n v="0"/>
    <n v="0"/>
    <n v="1822366.4900000002"/>
    <n v="36447.329800000007"/>
    <n v="0"/>
    <n v="1858813.8198000002"/>
    <n v="19.670000000000002"/>
  </r>
  <r>
    <s v="SURUCHI REFINERY PRIVATE LTD., PALADAM- COIMBATORE"/>
    <x v="2"/>
    <d v="2016-11-01T00:00:00"/>
    <n v="11"/>
    <x v="0"/>
    <n v="19.899999999999999"/>
    <n v="92647"/>
    <n v="1843675.2999999998"/>
    <n v="0"/>
    <n v="0"/>
    <n v="0"/>
    <n v="0"/>
    <n v="1843675.2999999998"/>
    <n v="36873.505999999994"/>
    <n v="0"/>
    <n v="1880548.8059999999"/>
    <n v="19.899999999999999"/>
  </r>
  <r>
    <s v="SURUCHI REFINERY PRIVATE LTD., PALADAM- COIMBATORE"/>
    <x v="2"/>
    <d v="2016-11-01T00:00:00"/>
    <n v="11"/>
    <x v="0"/>
    <n v="19.940000000000001"/>
    <n v="90196"/>
    <n v="1798508.2400000002"/>
    <n v="0"/>
    <n v="0"/>
    <n v="0"/>
    <n v="0"/>
    <n v="1798508.2400000002"/>
    <n v="35970.164800000006"/>
    <n v="0"/>
    <n v="1834478.4048000001"/>
    <n v="19.940000000000001"/>
  </r>
  <r>
    <s v="RAHA OIL PVT LTD. NAMAKKAL , TAMIL NAIDU"/>
    <x v="3"/>
    <d v="2016-11-01T00:00:00"/>
    <n v="11"/>
    <x v="0"/>
    <n v="24.88"/>
    <n v="93140"/>
    <n v="2317323.1999999997"/>
    <n v="0"/>
    <n v="0"/>
    <n v="0"/>
    <n v="0"/>
    <n v="2317323.1999999997"/>
    <n v="46346.463999999993"/>
    <n v="0"/>
    <n v="2363669.6639999999"/>
    <n v="24.88"/>
  </r>
  <r>
    <s v="RAHA OIL PVT LTD. NAMAKKAL , TAMIL NAIDU"/>
    <x v="3"/>
    <d v="2016-11-01T00:00:00"/>
    <n v="11"/>
    <x v="0"/>
    <n v="24.03"/>
    <n v="93630"/>
    <n v="2249928.9"/>
    <n v="0"/>
    <n v="0"/>
    <n v="0"/>
    <n v="0"/>
    <n v="2249928.9"/>
    <n v="44998.578000000001"/>
    <n v="0"/>
    <n v="2294927.4780000001"/>
    <n v="24.03"/>
  </r>
  <r>
    <s v="RAHA OIL PVT LTD. NAMAKKAL , TAMIL NAIDU"/>
    <x v="3"/>
    <d v="2016-11-01T00:00:00"/>
    <n v="11"/>
    <x v="0"/>
    <n v="24.73"/>
    <n v="93630"/>
    <n v="2315469.9"/>
    <n v="0"/>
    <n v="0"/>
    <n v="0"/>
    <n v="0"/>
    <n v="2315469.9"/>
    <n v="46309.398000000001"/>
    <n v="0"/>
    <n v="2361779.298"/>
    <n v="24.73"/>
  </r>
  <r>
    <s v="SURUCHI REFINERY PRIVATE LTD., PALADAM- COIMBATORE"/>
    <x v="2"/>
    <d v="2016-11-02T00:00:00"/>
    <n v="11"/>
    <x v="0"/>
    <n v="20.37"/>
    <n v="90196"/>
    <n v="1837292.52"/>
    <n v="0"/>
    <n v="0"/>
    <n v="0"/>
    <n v="0"/>
    <n v="1837292.52"/>
    <n v="36745.850400000003"/>
    <n v="0"/>
    <n v="1874038.3704000001"/>
    <n v="20.37"/>
  </r>
  <r>
    <s v="RAHA OIL PVT LTD. NAMAKKAL , TAMIL NAIDU"/>
    <x v="3"/>
    <d v="2016-11-02T00:00:00"/>
    <n v="11"/>
    <x v="0"/>
    <n v="20.350000000000001"/>
    <n v="93630"/>
    <n v="1905370.5000000002"/>
    <n v="0"/>
    <n v="0"/>
    <n v="0"/>
    <n v="0"/>
    <n v="1905370.5000000002"/>
    <n v="38107.410000000003"/>
    <n v="0"/>
    <n v="1943477.9100000001"/>
    <n v="20.350000000000001"/>
  </r>
  <r>
    <s v="HARKARAN DASS VEDPAL, LUDHIANA (P.B)"/>
    <x v="1"/>
    <d v="2016-11-02T00:00:00"/>
    <n v="11"/>
    <x v="0"/>
    <n v="29.64"/>
    <n v="57600"/>
    <n v="1707264"/>
    <n v="0"/>
    <n v="0"/>
    <n v="0"/>
    <n v="0"/>
    <n v="1707264"/>
    <n v="0"/>
    <n v="0"/>
    <n v="1707264"/>
    <n v="29.64"/>
  </r>
  <r>
    <s v="SABIC ASIA PACIFIC PTE LTD - SINGAPORE"/>
    <x v="4"/>
    <d v="2016-11-02T00:00:00"/>
    <n v="11"/>
    <x v="0"/>
    <n v="20.059999999999999"/>
    <n v="46402.66"/>
    <n v="930837.35959999997"/>
    <n v="0"/>
    <n v="116354.66995"/>
    <n v="2327.0933989999999"/>
    <n v="1163.5466994999999"/>
    <n v="1050682.6696484999"/>
    <n v="0"/>
    <n v="130291.30678593999"/>
    <n v="1180973.9764344399"/>
    <n v="20.07"/>
  </r>
  <r>
    <s v="SABIC ASIA PACIFIC PTE LTD - SINGAPORE"/>
    <x v="4"/>
    <d v="2016-11-02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10000000000002"/>
  </r>
  <r>
    <s v="SABIC ASIA PACIFIC PTE LTD - SINGAPORE"/>
    <x v="4"/>
    <d v="2016-11-02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4"/>
    <d v="2016-11-02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5"/>
  </r>
  <r>
    <s v="KUMARAN OIL PRODUCTS, KANGAYAM (T.N)"/>
    <x v="3"/>
    <d v="2016-11-03T00:00:00"/>
    <n v="11"/>
    <x v="0"/>
    <n v="20.14"/>
    <n v="94117.6"/>
    <n v="1895528.4640000002"/>
    <n v="0"/>
    <n v="0"/>
    <n v="0"/>
    <n v="0"/>
    <n v="1895528.4640000002"/>
    <n v="37910.569280000003"/>
    <n v="0"/>
    <n v="1933439.0332800001"/>
    <n v="20.14"/>
  </r>
  <r>
    <s v="SURUCHI REFINERY PRIVATE LTD., PALADAM- COIMBATORE"/>
    <x v="2"/>
    <d v="2016-11-03T00:00:00"/>
    <n v="11"/>
    <x v="0"/>
    <n v="19.71"/>
    <n v="92647"/>
    <n v="1826072.37"/>
    <n v="0"/>
    <n v="0"/>
    <n v="0"/>
    <n v="0"/>
    <n v="1826072.37"/>
    <n v="36521.447400000005"/>
    <n v="0"/>
    <n v="1862593.8174000001"/>
    <n v="19.71"/>
  </r>
  <r>
    <s v="KUMARAN OIL PRODUCTS, KANGAYAM (T.N)"/>
    <x v="3"/>
    <d v="2016-11-03T00:00:00"/>
    <n v="11"/>
    <x v="0"/>
    <n v="19.71"/>
    <n v="94117.6"/>
    <n v="1855057.8960000002"/>
    <n v="0"/>
    <n v="0"/>
    <n v="0"/>
    <n v="0"/>
    <n v="1855057.8960000002"/>
    <n v="37101.157920000005"/>
    <n v="0"/>
    <n v="1892159.0539200001"/>
    <n v="19.71"/>
  </r>
  <r>
    <s v="RAHA OIL PVT LTD. NAMAKKAL , TAMIL NAIDU"/>
    <x v="3"/>
    <d v="2016-11-03T00:00:00"/>
    <n v="11"/>
    <x v="0"/>
    <n v="24.68"/>
    <n v="93140"/>
    <n v="2298695.2000000002"/>
    <n v="0"/>
    <n v="0"/>
    <n v="0"/>
    <n v="0"/>
    <n v="2298695.2000000002"/>
    <n v="45973.904000000002"/>
    <n v="0"/>
    <n v="2344669.1040000003"/>
    <n v="24.68"/>
  </r>
  <r>
    <s v="RAHA OIL PVT LTD. NAMAKKAL , TAMIL NAIDU"/>
    <x v="3"/>
    <d v="2016-11-03T00:00:00"/>
    <n v="11"/>
    <x v="0"/>
    <n v="19.93"/>
    <n v="93630"/>
    <n v="1866045.9"/>
    <n v="0"/>
    <n v="0"/>
    <n v="0"/>
    <n v="0"/>
    <n v="1866045.9"/>
    <n v="37320.917999999998"/>
    <n v="0"/>
    <n v="1903366.818"/>
    <n v="19.93"/>
  </r>
  <r>
    <s v="AMRITSAR OIL TRADERS, AMRITSAR (P.B) "/>
    <x v="0"/>
    <d v="2016-11-03T00:00:00"/>
    <n v="11"/>
    <x v="0"/>
    <n v="27.14"/>
    <n v="57200"/>
    <n v="1552408"/>
    <n v="0"/>
    <n v="0"/>
    <n v="0"/>
    <n v="0"/>
    <n v="1552408"/>
    <n v="0"/>
    <n v="0"/>
    <n v="1552408"/>
    <n v="27.14"/>
  </r>
  <r>
    <s v="RICELA HEALTH FOODS LIMITED, DHURI (P.B)"/>
    <x v="5"/>
    <d v="2016-11-03T00:00:00"/>
    <n v="11"/>
    <x v="0"/>
    <n v="28.42"/>
    <n v="48529.4"/>
    <n v="1379205.5480000002"/>
    <n v="0"/>
    <n v="0"/>
    <n v="0"/>
    <n v="0"/>
    <n v="1379205.5480000002"/>
    <n v="27584.110960000005"/>
    <n v="0"/>
    <n v="1406789.6589600001"/>
    <n v="28.42"/>
  </r>
  <r>
    <s v="RICELA HEALTH FOODS LIMITED, DHURI (P.B)"/>
    <x v="5"/>
    <d v="2016-11-03T00:00:00"/>
    <n v="11"/>
    <x v="0"/>
    <n v="28.55"/>
    <n v="48529.4"/>
    <n v="1385514.37"/>
    <n v="0"/>
    <n v="0"/>
    <n v="0"/>
    <n v="0"/>
    <n v="1385514.37"/>
    <n v="27710.287400000001"/>
    <n v="0"/>
    <n v="1413224.6574000001"/>
    <n v="28.55"/>
  </r>
  <r>
    <s v="SABIC ASIA PACIFIC PTE LTD - SINGAPORE"/>
    <x v="4"/>
    <d v="2016-11-04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3"/>
  </r>
  <r>
    <s v="SABIC ASIA PACIFIC PTE LTD - SINGAPORE"/>
    <x v="4"/>
    <d v="2016-11-04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4"/>
  </r>
  <r>
    <s v="SABIC ASIA PACIFIC PTE LTD - SINGAPORE"/>
    <x v="4"/>
    <d v="2016-11-04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4"/>
    <d v="2016-11-04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4"/>
  </r>
  <r>
    <s v="SIDDHARTH OILS, LUDHIANA (P.B)"/>
    <x v="0"/>
    <d v="2016-11-05T00:00:00"/>
    <n v="11"/>
    <x v="0"/>
    <n v="27.66"/>
    <n v="56500"/>
    <n v="1562790"/>
    <n v="0"/>
    <n v="0"/>
    <n v="0"/>
    <n v="0"/>
    <n v="1562790"/>
    <n v="0"/>
    <n v="0"/>
    <n v="1562790"/>
    <n v="27.66"/>
  </r>
  <r>
    <s v="AMARJIT OIL TRADERS, AMRITSAR (P.B) "/>
    <x v="0"/>
    <d v="2016-11-05T00:00:00"/>
    <n v="11"/>
    <x v="0"/>
    <n v="26.41"/>
    <n v="49700"/>
    <n v="1312577"/>
    <n v="0"/>
    <n v="0"/>
    <n v="0"/>
    <n v="0"/>
    <n v="1312577"/>
    <n v="0"/>
    <n v="0"/>
    <n v="1312577"/>
    <n v="26.41"/>
  </r>
  <r>
    <s v="RICELA HEALTH FOODS LIMITED, DHURI (P.B)"/>
    <x v="5"/>
    <d v="2016-11-05T00:00:00"/>
    <n v="11"/>
    <x v="0"/>
    <n v="28.66"/>
    <n v="48529.4"/>
    <n v="1390852.6040000001"/>
    <n v="0"/>
    <n v="0"/>
    <n v="0"/>
    <n v="0"/>
    <n v="1390852.6040000001"/>
    <n v="27817.052080000001"/>
    <n v="0"/>
    <n v="1418669.6560800001"/>
    <n v="28.66"/>
  </r>
  <r>
    <s v="SIDDHARTH OILS, LUDHIANA (P.B)"/>
    <x v="1"/>
    <d v="2016-11-05T00:00:00"/>
    <n v="11"/>
    <x v="0"/>
    <n v="28.07"/>
    <n v="57000"/>
    <n v="1599990"/>
    <n v="0"/>
    <n v="0"/>
    <n v="0"/>
    <n v="0"/>
    <n v="1599990"/>
    <n v="0"/>
    <n v="0"/>
    <n v="1599990"/>
    <n v="28.07"/>
  </r>
  <r>
    <s v="SURUCHI REFINERY PRIVATE LTD., PALADAM- COIMBATORE"/>
    <x v="2"/>
    <d v="2016-11-05T00:00:00"/>
    <n v="11"/>
    <x v="0"/>
    <n v="19.64"/>
    <n v="90196"/>
    <n v="1771449.44"/>
    <n v="0"/>
    <n v="0"/>
    <n v="0"/>
    <n v="0"/>
    <n v="1771449.44"/>
    <n v="35428.988799999999"/>
    <n v="0"/>
    <n v="1806878.4287999999"/>
    <n v="19.64"/>
  </r>
  <r>
    <s v="SURUCHI REFINERY PRIVATE LTD., PALADAM- COIMBATORE"/>
    <x v="2"/>
    <d v="2016-11-05T00:00:00"/>
    <n v="11"/>
    <x v="0"/>
    <n v="19.95"/>
    <n v="90196"/>
    <n v="1799410.2"/>
    <n v="0"/>
    <n v="0"/>
    <n v="0"/>
    <n v="0"/>
    <n v="1799410.2"/>
    <n v="35988.203999999998"/>
    <n v="0"/>
    <n v="1835398.4039999999"/>
    <n v="19.95"/>
  </r>
  <r>
    <s v="SIDDHARTH OILS, LUDHIANA (P.B)"/>
    <x v="1"/>
    <d v="2016-11-05T00:00:00"/>
    <n v="11"/>
    <x v="0"/>
    <n v="28.96"/>
    <n v="57000"/>
    <n v="1650720"/>
    <n v="0"/>
    <n v="0"/>
    <n v="0"/>
    <n v="0"/>
    <n v="1650720"/>
    <n v="0"/>
    <n v="0"/>
    <n v="1650720"/>
    <n v="28.96"/>
  </r>
  <r>
    <s v="SIDDHARTH OILS, LUDHIANA (P.B)"/>
    <x v="0"/>
    <d v="2016-11-05T00:00:00"/>
    <n v="11"/>
    <x v="0"/>
    <n v="27.41"/>
    <n v="51429.65"/>
    <n v="1409686.7065000001"/>
    <n v="0"/>
    <n v="0"/>
    <n v="0"/>
    <n v="0"/>
    <n v="1409686.7065000001"/>
    <n v="0"/>
    <n v="0"/>
    <n v="1409686.7065000001"/>
    <n v="27.41"/>
  </r>
  <r>
    <s v="PUNJAB OILS, AMRITSAR (P.B) "/>
    <x v="0"/>
    <d v="2016-11-05T00:00:00"/>
    <n v="11"/>
    <x v="0"/>
    <n v="28.27"/>
    <n v="54535.79"/>
    <n v="1541726.7833"/>
    <n v="0"/>
    <n v="0"/>
    <n v="0"/>
    <n v="0"/>
    <n v="1541726.7833"/>
    <n v="0"/>
    <n v="0"/>
    <n v="1541726.7833"/>
    <n v="28.27"/>
  </r>
  <r>
    <s v="HARKARAN DASS VEDPAL, NOIDA (U.P)"/>
    <x v="0"/>
    <d v="2016-11-05T00:00:00"/>
    <n v="11"/>
    <x v="0"/>
    <n v="19.940000000000001"/>
    <n v="57200"/>
    <n v="1140568"/>
    <n v="0"/>
    <n v="0"/>
    <n v="0"/>
    <n v="0"/>
    <n v="1140568"/>
    <n v="0"/>
    <n v="0"/>
    <n v="1140568"/>
    <n v="19.940000000000001"/>
  </r>
  <r>
    <s v="HARKARAN DASS VEDPAL, LUDHIANA (P.B)"/>
    <x v="1"/>
    <d v="2016-11-06T00:00:00"/>
    <n v="11"/>
    <x v="1"/>
    <n v="30.71"/>
    <n v="57483.29"/>
    <n v="1765311.8359000001"/>
    <m/>
    <n v="0"/>
    <m/>
    <m/>
    <n v="1765311.8359000001"/>
    <n v="0"/>
    <m/>
    <n v="1765311.8359000001"/>
    <n v="30.71"/>
  </r>
  <r>
    <s v="SURUCHI REFINERY PRIVATE LTD., PALADAM- COIMBATORE"/>
    <x v="2"/>
    <d v="2016-11-07T00:00:00"/>
    <n v="11"/>
    <x v="1"/>
    <n v="19.920000000000002"/>
    <n v="92647"/>
    <n v="1845528.2400000002"/>
    <n v="0"/>
    <n v="0"/>
    <n v="0"/>
    <n v="0"/>
    <n v="1845528.2400000002"/>
    <n v="36910.564800000007"/>
    <n v="0"/>
    <n v="1882438.8048000003"/>
    <n v="19.920000000000002"/>
  </r>
  <r>
    <s v="M.D. TRADING CO., LUDHIANA (P.B)"/>
    <x v="1"/>
    <d v="2016-11-07T00:00:00"/>
    <n v="11"/>
    <x v="1"/>
    <n v="29.01"/>
    <n v="57000"/>
    <n v="1653570"/>
    <n v="0"/>
    <n v="0"/>
    <n v="0"/>
    <n v="0"/>
    <n v="1653570"/>
    <n v="0"/>
    <n v="0"/>
    <n v="1653570"/>
    <n v="29.01"/>
  </r>
  <r>
    <s v="HINDUSTAN OIL TRADERS, AMRITSAR (P.B) "/>
    <x v="0"/>
    <d v="2016-11-07T00:00:00"/>
    <n v="11"/>
    <x v="1"/>
    <n v="26.82"/>
    <n v="57200"/>
    <n v="1534104"/>
    <n v="0"/>
    <n v="0"/>
    <n v="0"/>
    <n v="0"/>
    <n v="1534104"/>
    <n v="0"/>
    <n v="0"/>
    <n v="1534104"/>
    <n v="26.82"/>
  </r>
  <r>
    <s v="RICELA HEALTH FOODS LIMITED, DHURI (P.B)"/>
    <x v="5"/>
    <d v="2016-11-07T00:00:00"/>
    <n v="11"/>
    <x v="1"/>
    <n v="28.9"/>
    <n v="48529.4"/>
    <n v="1402499.66"/>
    <n v="0"/>
    <n v="0"/>
    <n v="0"/>
    <n v="0"/>
    <n v="1402499.66"/>
    <n v="28049.993199999997"/>
    <n v="0"/>
    <n v="1430549.6531999998"/>
    <n v="28.9"/>
  </r>
  <r>
    <s v="SIVAM TRADERS, ARIYANKUPPAM - PUDUCHERRY"/>
    <x v="3"/>
    <d v="2016-11-08T00:00:00"/>
    <n v="11"/>
    <x v="1"/>
    <n v="24.09"/>
    <n v="97100"/>
    <n v="2339139"/>
    <n v="0"/>
    <n v="0"/>
    <n v="0"/>
    <n v="0"/>
    <n v="2339139"/>
    <n v="46782.78"/>
    <n v="0"/>
    <n v="2385921.7799999998"/>
    <n v="24.11"/>
  </r>
  <r>
    <s v="KUMARAN OIL PRODUCTS, KANGAYAM (T.N)"/>
    <x v="3"/>
    <d v="2016-11-08T00:00:00"/>
    <n v="11"/>
    <x v="1"/>
    <n v="25.22"/>
    <n v="94117.6"/>
    <n v="2373645.872"/>
    <n v="0"/>
    <n v="0"/>
    <n v="0"/>
    <n v="0"/>
    <n v="2373645.872"/>
    <n v="47472.917439999997"/>
    <n v="0"/>
    <n v="2421118.78944"/>
    <n v="25.22"/>
  </r>
  <r>
    <s v="SURUCHI REFINERY PRIVATE LTD., PALADAM- COIMBATORE"/>
    <x v="2"/>
    <d v="2016-11-08T00:00:00"/>
    <n v="11"/>
    <x v="1"/>
    <n v="20.09"/>
    <n v="92647"/>
    <n v="1861278.23"/>
    <n v="0"/>
    <n v="0"/>
    <n v="0"/>
    <n v="0"/>
    <n v="1861278.23"/>
    <n v="37225.564599999998"/>
    <n v="0"/>
    <n v="1898503.7945999999"/>
    <n v="20.09"/>
  </r>
  <r>
    <s v="M.D. TRADING CO., LUDHIANA (P.B)"/>
    <x v="1"/>
    <d v="2016-11-09T00:00:00"/>
    <n v="11"/>
    <x v="1"/>
    <n v="29.15"/>
    <n v="57000"/>
    <n v="1661550"/>
    <n v="0"/>
    <n v="0"/>
    <n v="0"/>
    <n v="0"/>
    <n v="1661550"/>
    <n v="0"/>
    <n v="0"/>
    <n v="1661550"/>
    <n v="29.15"/>
  </r>
  <r>
    <s v="RAHA OIL PVT LTD. NAMAKKAL , TAMIL NAIDU"/>
    <x v="3"/>
    <d v="2016-11-09T00:00:00"/>
    <n v="11"/>
    <x v="1"/>
    <n v="24.92"/>
    <n v="93140"/>
    <n v="2321048.8000000003"/>
    <n v="0"/>
    <n v="0"/>
    <n v="0"/>
    <n v="0"/>
    <n v="2321048.8000000003"/>
    <n v="46420.97600000001"/>
    <n v="0"/>
    <n v="2367469.7760000001"/>
    <n v="24.92"/>
  </r>
  <r>
    <s v="HINDUSTAN OIL TRADERS, AMRITSAR (P.B) "/>
    <x v="0"/>
    <d v="2016-11-10T00:00:00"/>
    <n v="11"/>
    <x v="1"/>
    <n v="26.26"/>
    <n v="55944.54"/>
    <n v="1469103.6204000001"/>
    <n v="0"/>
    <n v="0"/>
    <n v="0"/>
    <n v="0"/>
    <n v="1469103.6204000001"/>
    <n v="0"/>
    <n v="0"/>
    <n v="1469103.6204000001"/>
    <n v="26.26"/>
  </r>
  <r>
    <s v="M.D. TRADING CO., LUDHIANA (P.B)"/>
    <x v="0"/>
    <d v="2016-11-10T00:00:00"/>
    <n v="11"/>
    <x v="1"/>
    <n v="29.62"/>
    <n v="52811"/>
    <n v="1564261.82"/>
    <n v="0"/>
    <n v="0"/>
    <n v="0"/>
    <n v="0"/>
    <n v="1564261.82"/>
    <n v="0"/>
    <n v="0"/>
    <n v="1564261.82"/>
    <n v="29.62"/>
  </r>
  <r>
    <s v="SIDDHARTH OILS, LUDHIANA (P.B)"/>
    <x v="1"/>
    <d v="2016-11-11T00:00:00"/>
    <n v="11"/>
    <x v="1"/>
    <n v="26.97"/>
    <n v="50700"/>
    <n v="1367379"/>
    <n v="0"/>
    <n v="0"/>
    <n v="0"/>
    <n v="0"/>
    <n v="1367379"/>
    <n v="0"/>
    <n v="0"/>
    <n v="1367379"/>
    <n v="26.97"/>
  </r>
  <r>
    <s v="SIDDHARTH OILS, LUDHIANA (P.B)"/>
    <x v="1"/>
    <d v="2016-11-11T00:00:00"/>
    <n v="11"/>
    <x v="1"/>
    <n v="27.41"/>
    <n v="57954.14"/>
    <n v="1588522.9774"/>
    <n v="0"/>
    <n v="0"/>
    <n v="0"/>
    <n v="0"/>
    <n v="1588522.9774"/>
    <n v="0"/>
    <n v="0"/>
    <n v="1588522.9774"/>
    <n v="27.41"/>
  </r>
  <r>
    <s v="SIDDHARTH OILS, LUDHIANA (P.B)"/>
    <x v="1"/>
    <d v="2016-11-11T00:00:00"/>
    <n v="11"/>
    <x v="1"/>
    <n v="27.69"/>
    <n v="57000"/>
    <n v="1578330"/>
    <n v="0"/>
    <n v="0"/>
    <n v="0"/>
    <n v="0"/>
    <n v="1578330"/>
    <n v="0"/>
    <n v="0"/>
    <n v="1578330"/>
    <n v="27.69"/>
  </r>
  <r>
    <s v="KUMARAN OIL PRODUCTS, KANGAYAM (T.N)"/>
    <x v="3"/>
    <d v="2016-11-13T00:00:00"/>
    <n v="11"/>
    <x v="2"/>
    <n v="20.23"/>
    <n v="97549"/>
    <n v="1973416.27"/>
    <n v="0"/>
    <n v="0"/>
    <n v="0"/>
    <n v="0"/>
    <n v="1973416.27"/>
    <n v="39468.325400000002"/>
    <n v="0"/>
    <n v="2012884.5954"/>
    <n v="20.23"/>
  </r>
  <r>
    <s v="RICELA HEALTH FOODS LIMITED, DHURI (P.B)"/>
    <x v="5"/>
    <d v="2016-11-12T00:00:00"/>
    <n v="11"/>
    <x v="1"/>
    <n v="28.25"/>
    <n v="48529.4"/>
    <n v="1370955.55"/>
    <n v="0"/>
    <n v="0"/>
    <n v="0"/>
    <n v="0"/>
    <n v="1370955.55"/>
    <n v="27419.111000000001"/>
    <n v="0"/>
    <n v="1398374.6610000001"/>
    <n v="28.25"/>
  </r>
  <r>
    <s v="PUNJAB OILS, AMRITSAR (P.B) "/>
    <x v="1"/>
    <d v="2016-11-14T00:00:00"/>
    <n v="11"/>
    <x v="2"/>
    <n v="20"/>
    <n v="57600"/>
    <n v="1152000"/>
    <n v="0"/>
    <n v="0"/>
    <n v="0"/>
    <n v="0"/>
    <n v="1152000"/>
    <n v="0"/>
    <n v="0"/>
    <n v="1152000"/>
    <n v="20"/>
  </r>
  <r>
    <s v="PUNJAB OILS, AMRITSAR (P.B) "/>
    <x v="1"/>
    <d v="2016-11-14T00:00:00"/>
    <n v="11"/>
    <x v="2"/>
    <n v="20.2"/>
    <n v="57758.22"/>
    <n v="1166716.044"/>
    <n v="0"/>
    <n v="0"/>
    <n v="0"/>
    <n v="0"/>
    <n v="1166716.044"/>
    <n v="0"/>
    <n v="0"/>
    <n v="1166716.044"/>
    <n v="20.2"/>
  </r>
  <r>
    <s v="PUNJAB OILS, AMRITSAR (P.B) "/>
    <x v="1"/>
    <d v="2016-11-14T00:00:00"/>
    <n v="11"/>
    <x v="2"/>
    <n v="19.440000000000001"/>
    <n v="57600"/>
    <n v="1119744"/>
    <n v="0"/>
    <n v="0"/>
    <n v="0"/>
    <n v="0"/>
    <n v="1119744"/>
    <n v="0"/>
    <n v="0"/>
    <n v="1119744"/>
    <n v="19.440000000000001"/>
  </r>
  <r>
    <s v="KUMARAN OIL PRODUCTS, KANGAYAM (T.N)"/>
    <x v="3"/>
    <d v="2016-11-14T00:00:00"/>
    <n v="11"/>
    <x v="2"/>
    <n v="19.899999999999999"/>
    <n v="97549"/>
    <n v="1941225.0999999999"/>
    <n v="0"/>
    <n v="0"/>
    <n v="0"/>
    <n v="0"/>
    <n v="1941225.0999999999"/>
    <n v="38824.502"/>
    <n v="0"/>
    <n v="1980049.602"/>
    <n v="19.899999999999999"/>
  </r>
  <r>
    <s v="RAHA OIL PVT LTD. NAMAKKAL , TAMIL NAIDU"/>
    <x v="3"/>
    <d v="2016-11-14T00:00:00"/>
    <n v="11"/>
    <x v="2"/>
    <n v="20.46"/>
    <n v="95100"/>
    <n v="1945746"/>
    <n v="0"/>
    <n v="0"/>
    <n v="0"/>
    <n v="0"/>
    <n v="1945746"/>
    <n v="38914.92"/>
    <n v="0"/>
    <n v="1984660.92"/>
    <n v="20.46"/>
  </r>
  <r>
    <s v="RAHA OIL PVT LTD. NAMAKKAL , TAMIL NAIDU"/>
    <x v="3"/>
    <d v="2016-11-14T00:00:00"/>
    <n v="11"/>
    <x v="2"/>
    <n v="24.78"/>
    <n v="95100"/>
    <n v="2356578"/>
    <n v="0"/>
    <n v="0"/>
    <n v="0"/>
    <n v="0"/>
    <n v="2356578"/>
    <n v="47131.56"/>
    <n v="0"/>
    <n v="2403709.56"/>
    <n v="24.87"/>
  </r>
  <r>
    <s v="PUNJAB OILS, AMRITSAR (P.B) "/>
    <x v="0"/>
    <d v="2016-11-15T00:00:00"/>
    <n v="11"/>
    <x v="2"/>
    <n v="18.75"/>
    <n v="57054.93"/>
    <n v="1069779.9375"/>
    <n v="0"/>
    <n v="0"/>
    <n v="0"/>
    <n v="0"/>
    <n v="1069779.9375"/>
    <n v="0"/>
    <n v="0"/>
    <n v="1069779.9375"/>
    <n v="18.75"/>
  </r>
  <r>
    <s v="RAHA OIL PVT LTD. NAMAKKAL , TAMIL NAIDU"/>
    <x v="3"/>
    <d v="2016-11-15T00:00:00"/>
    <n v="11"/>
    <x v="2"/>
    <n v="24.42"/>
    <n v="95100"/>
    <n v="2322342"/>
    <n v="0"/>
    <n v="0"/>
    <n v="0"/>
    <n v="0"/>
    <n v="2322342"/>
    <n v="46446.840000000004"/>
    <n v="0"/>
    <n v="2368788.84"/>
    <n v="24.42"/>
  </r>
  <r>
    <s v="RICELA HEALTH FOODS LIMITED, DHURI (P.B)"/>
    <x v="5"/>
    <d v="2016-11-15T00:00:00"/>
    <n v="11"/>
    <x v="2"/>
    <n v="28.42"/>
    <n v="48529.4"/>
    <n v="1379205.5480000002"/>
    <n v="0"/>
    <n v="0"/>
    <n v="0"/>
    <n v="0"/>
    <n v="1379205.5480000002"/>
    <n v="27584.110960000005"/>
    <n v="0"/>
    <n v="1406789.6589600001"/>
    <n v="28.42"/>
  </r>
  <r>
    <s v="ASIAN FOOD INGREDIENTS SDN.BHD.,MALAYSIA"/>
    <x v="6"/>
    <d v="2016-11-16T00:00:00"/>
    <n v="11"/>
    <x v="2"/>
    <n v="20.23"/>
    <n v="75786.350000000006"/>
    <n v="1533157.8605000002"/>
    <n v="0"/>
    <n v="191644.73256250002"/>
    <n v="3832.8946512500006"/>
    <n v="1916.4473256250003"/>
    <n v="1730551.9350393752"/>
    <n v="0"/>
    <n v="158234.07740157499"/>
    <n v="1888786.0124409501"/>
    <n v="21"/>
  </r>
  <r>
    <s v="ASIAN FOOD INGREDIENTS SDN.BHD.,MALAYSIA"/>
    <x v="6"/>
    <d v="2016-11-16T00:00:00"/>
    <n v="11"/>
    <x v="2"/>
    <n v="21.11"/>
    <n v="75786.350000000006"/>
    <n v="1599849.8485000001"/>
    <n v="0"/>
    <n v="199981.23106250001"/>
    <n v="3999.6246212500005"/>
    <n v="1999.8123106250002"/>
    <n v="1805830.5164943752"/>
    <n v="0"/>
    <n v="165117.22065977502"/>
    <n v="1970947.7371541501"/>
    <n v="21.13"/>
  </r>
  <r>
    <s v="ASIAN FOOD INGREDIENTS SDN.BHD.,MALAYSIA"/>
    <x v="6"/>
    <d v="2016-11-16T00:00:00"/>
    <n v="11"/>
    <x v="2"/>
    <n v="21.01"/>
    <n v="75786.350000000006"/>
    <n v="1592271.2135000003"/>
    <n v="0"/>
    <n v="199033.90168750004"/>
    <n v="3980.6780337500008"/>
    <n v="1990.3390168750004"/>
    <n v="1797276.1322381254"/>
    <n v="0"/>
    <n v="164335.04528952501"/>
    <n v="1961611.1775276505"/>
    <n v="20.94"/>
  </r>
  <r>
    <s v="ASIAN FOOD INGREDIENTS SDN.BHD.,MALAYSIA"/>
    <x v="6"/>
    <d v="2016-11-16T00:00:00"/>
    <n v="11"/>
    <x v="2"/>
    <n v="21.15"/>
    <n v="75786.350000000006"/>
    <n v="1602881.3025"/>
    <n v="0"/>
    <n v="200360.1628125"/>
    <n v="4007.2032562499999"/>
    <n v="2003.6016281249999"/>
    <n v="1809252.2701968749"/>
    <n v="0"/>
    <n v="165430.09080787498"/>
    <n v="1974682.3610047498"/>
    <n v="21.01"/>
  </r>
  <r>
    <s v="ASIAN FOOD INGREDIENTS SDN.BHD.,MALAYSIA"/>
    <x v="6"/>
    <d v="2016-11-16T00:00:00"/>
    <n v="11"/>
    <x v="2"/>
    <n v="20.309999999999999"/>
    <n v="75786.350000000006"/>
    <n v="1539220.7685"/>
    <n v="0"/>
    <n v="192402.5960625"/>
    <n v="3848.0519212500003"/>
    <n v="1924.0259606250002"/>
    <n v="1737395.442444375"/>
    <n v="0"/>
    <n v="158859.817697775"/>
    <n v="1896255.2601421501"/>
    <n v="20.100000000000001"/>
  </r>
  <r>
    <s v="RAHA OIL PVT LTD. NAMAKKAL , TAMIL NAIDU"/>
    <x v="3"/>
    <d v="2016-11-17T00:00:00"/>
    <n v="11"/>
    <x v="2"/>
    <n v="19.829999999999998"/>
    <n v="95100"/>
    <n v="1885832.9999999998"/>
    <n v="0"/>
    <n v="0"/>
    <n v="0"/>
    <n v="0"/>
    <n v="1885832.9999999998"/>
    <n v="37716.659999999996"/>
    <n v="0"/>
    <n v="1923549.6599999997"/>
    <n v="19.829999999999998"/>
  </r>
  <r>
    <s v="J.D TRADING CO., LUDHIANA (P.B)"/>
    <x v="1"/>
    <d v="2016-11-17T00:00:00"/>
    <n v="11"/>
    <x v="2"/>
    <n v="28.36"/>
    <n v="55200.1"/>
    <n v="1565474.8359999999"/>
    <n v="0"/>
    <n v="0"/>
    <n v="0"/>
    <n v="0"/>
    <n v="1565474.8359999999"/>
    <n v="0"/>
    <n v="0"/>
    <n v="1565474.8359999999"/>
    <n v="28.36"/>
  </r>
  <r>
    <s v="PUNJAB OILS, AMRITSAR (P.B) "/>
    <x v="1"/>
    <d v="2016-11-17T00:00:00"/>
    <n v="11"/>
    <x v="2"/>
    <n v="27.56"/>
    <n v="56215.29"/>
    <n v="1549293.3924"/>
    <n v="0"/>
    <n v="0"/>
    <n v="0"/>
    <n v="0"/>
    <n v="1549293.3924"/>
    <n v="0"/>
    <n v="0"/>
    <n v="1549293.3924"/>
    <n v="27.56"/>
  </r>
  <r>
    <s v="RAHA OIL PVT LTD. NAMAKKAL , TAMIL NAIDU"/>
    <x v="3"/>
    <d v="2016-11-17T00:00:00"/>
    <n v="11"/>
    <x v="2"/>
    <n v="19.98"/>
    <n v="94320.82"/>
    <n v="1884529.9836000002"/>
    <n v="0"/>
    <n v="0"/>
    <n v="0"/>
    <n v="0"/>
    <n v="1884529.9836000002"/>
    <n v="37690.599672000004"/>
    <n v="0"/>
    <n v="1922220.5832720001"/>
    <n v="19.98"/>
  </r>
  <r>
    <s v="PAVITHRA OIL INDUSTRIES, KANGAYAM - TIRUPUR (T.N) "/>
    <x v="3"/>
    <d v="2016-11-17T00:00:00"/>
    <n v="11"/>
    <x v="2"/>
    <n v="20"/>
    <n v="97549"/>
    <n v="1950980"/>
    <n v="0"/>
    <n v="0"/>
    <n v="0"/>
    <n v="0"/>
    <n v="1950980"/>
    <n v="39019.599999999999"/>
    <n v="0"/>
    <n v="1989999.6"/>
    <n v="20"/>
  </r>
  <r>
    <s v="SURUCHI REFINERY PRIVATE LTD., PALADAM- COIMBATORE"/>
    <x v="2"/>
    <d v="2016-11-18T00:00:00"/>
    <n v="11"/>
    <x v="2"/>
    <n v="19.96"/>
    <n v="90196"/>
    <n v="1800312.1600000001"/>
    <n v="0"/>
    <n v="0"/>
    <n v="0"/>
    <n v="0"/>
    <n v="1800312.1600000001"/>
    <n v="36006.243200000004"/>
    <n v="0"/>
    <n v="1836318.4032000001"/>
    <n v="19.96"/>
  </r>
  <r>
    <s v="SURUCHI REFINERY PRIVATE LTD., PALADAM- COIMBATORE"/>
    <x v="2"/>
    <d v="2016-11-18T00:00:00"/>
    <n v="11"/>
    <x v="2"/>
    <n v="19.989999999999998"/>
    <n v="90196"/>
    <n v="1803018.0399999998"/>
    <n v="0"/>
    <n v="0"/>
    <n v="0"/>
    <n v="0"/>
    <n v="1803018.0399999998"/>
    <n v="36060.360799999995"/>
    <n v="0"/>
    <n v="1839078.4007999997"/>
    <n v="19.989999999999998"/>
  </r>
  <r>
    <s v="RICELA HEALTH FOODS LIMITED, DHURI (P.B)"/>
    <x v="5"/>
    <d v="2016-11-18T00:00:00"/>
    <n v="11"/>
    <x v="2"/>
    <n v="28.61"/>
    <n v="48529.4"/>
    <n v="1388426.1340000001"/>
    <n v="0"/>
    <n v="0"/>
    <n v="0"/>
    <n v="0"/>
    <n v="1388426.1340000001"/>
    <n v="27768.522680000002"/>
    <n v="0"/>
    <n v="1416194.65668"/>
    <n v="28.61"/>
  </r>
  <r>
    <s v="M.D. TRADING CO., LUDHIANA (P.B)"/>
    <x v="1"/>
    <d v="2016-11-19T00:00:00"/>
    <n v="11"/>
    <x v="2"/>
    <n v="29.52"/>
    <n v="57000"/>
    <n v="1682640"/>
    <n v="0"/>
    <n v="0"/>
    <n v="0"/>
    <n v="0"/>
    <n v="1682640"/>
    <n v="0"/>
    <n v="0"/>
    <n v="1682640"/>
    <n v="29.52"/>
  </r>
  <r>
    <s v="DEEPCHAND ARYA INDUSTRIES, DELHI"/>
    <x v="1"/>
    <d v="2016-11-19T00:00:00"/>
    <n v="11"/>
    <x v="2"/>
    <n v="27.69"/>
    <n v="57336.39"/>
    <n v="1587644.6391"/>
    <n v="0"/>
    <n v="0"/>
    <n v="0"/>
    <n v="0"/>
    <n v="1587644.6391"/>
    <n v="0"/>
    <n v="0"/>
    <n v="1587644.6391"/>
    <n v="27.69"/>
  </r>
  <r>
    <s v="RAHA OIL PVT LTD. NAMAKKAL , TAMIL NAIDU"/>
    <x v="3"/>
    <d v="2016-11-19T00:00:00"/>
    <n v="11"/>
    <x v="2"/>
    <n v="24.07"/>
    <n v="97288.22"/>
    <n v="2341727.4553999999"/>
    <n v="0"/>
    <n v="0"/>
    <n v="0"/>
    <n v="0"/>
    <n v="2341727.4553999999"/>
    <n v="46834.549107999999"/>
    <n v="0"/>
    <n v="2388562.0045079999"/>
    <n v="24.07"/>
  </r>
  <r>
    <s v="PAVITHRA OIL INDUSTRIES, KANGAYAM - TIRUPUR (T.N) "/>
    <x v="3"/>
    <d v="2016-11-19T00:00:00"/>
    <n v="11"/>
    <x v="2"/>
    <n v="20.04"/>
    <n v="97549.5"/>
    <n v="1954891.98"/>
    <n v="0"/>
    <n v="0"/>
    <n v="0"/>
    <n v="0"/>
    <n v="1954891.98"/>
    <n v="39097.839599999999"/>
    <n v="0"/>
    <n v="1993989.8196"/>
    <n v="20.04"/>
  </r>
  <r>
    <s v="SURUCHI REFINERY PRIVATE LTD., PALADAM- COIMBATORE"/>
    <x v="2"/>
    <d v="2016-11-19T00:00:00"/>
    <n v="11"/>
    <x v="2"/>
    <n v="20.34"/>
    <n v="90196"/>
    <n v="1834586.64"/>
    <n v="0"/>
    <n v="0"/>
    <n v="0"/>
    <n v="0"/>
    <n v="1834586.64"/>
    <n v="36691.732799999998"/>
    <n v="0"/>
    <n v="1871278.3728"/>
    <n v="20.34"/>
  </r>
  <r>
    <s v="SURUCHI REFINERY PRIVATE LTD., PALADAM- COIMBATORE"/>
    <x v="2"/>
    <d v="2016-11-19T00:00:00"/>
    <n v="11"/>
    <x v="2"/>
    <n v="20.23"/>
    <n v="90196"/>
    <n v="1824665.08"/>
    <n v="0"/>
    <n v="0"/>
    <n v="0"/>
    <n v="0"/>
    <n v="1824665.08"/>
    <n v="36493.301599999999"/>
    <n v="0"/>
    <n v="1861158.3816"/>
    <n v="20.23"/>
  </r>
  <r>
    <s v="DEEPCHAND ARYA INDUSTRIES, DELHI"/>
    <x v="1"/>
    <d v="2016-11-21T00:00:00"/>
    <n v="11"/>
    <x v="3"/>
    <n v="23.86"/>
    <n v="57600"/>
    <n v="1374336"/>
    <n v="0"/>
    <n v="0"/>
    <n v="0"/>
    <n v="0"/>
    <n v="1374336"/>
    <n v="0"/>
    <n v="0"/>
    <n v="1374336"/>
    <n v="23.86"/>
  </r>
  <r>
    <s v="GUJARAT AMBUJA EXPORTS LTD., KADI-MEHSANA (GUJARAT)"/>
    <x v="7"/>
    <d v="2016-11-21T00:00:00"/>
    <n v="11"/>
    <x v="3"/>
    <n v="25.96"/>
    <n v="57000"/>
    <n v="1479720"/>
    <n v="0"/>
    <n v="0"/>
    <n v="0"/>
    <n v="0"/>
    <n v="1479720"/>
    <n v="29594.400000000001"/>
    <n v="83072"/>
    <n v="1592386.4"/>
    <n v="25.96"/>
  </r>
  <r>
    <s v="GUJARAT AMBUJA EXPORTS LTD., KADI-MEHSANA (GUJARAT)"/>
    <x v="7"/>
    <d v="2016-11-21T00:00:00"/>
    <n v="11"/>
    <x v="3"/>
    <n v="27.44"/>
    <n v="57000"/>
    <n v="1564080"/>
    <n v="0"/>
    <n v="0"/>
    <n v="0"/>
    <n v="0"/>
    <n v="1564080"/>
    <n v="31281.600000000002"/>
    <n v="87808"/>
    <n v="1683169.6"/>
    <n v="27.44"/>
  </r>
  <r>
    <s v="GUJARAT AMBUJA EXPORTS LTD., KADI-MEHSANA (GUJARAT)"/>
    <x v="7"/>
    <d v="2016-11-21T00:00:00"/>
    <n v="11"/>
    <x v="3"/>
    <n v="25.56"/>
    <n v="57000"/>
    <n v="1456920"/>
    <n v="0"/>
    <n v="0"/>
    <n v="0"/>
    <n v="0"/>
    <n v="1456920"/>
    <n v="29138.400000000001"/>
    <n v="81792"/>
    <n v="1567850.4"/>
    <n v="25.56"/>
  </r>
  <r>
    <s v="PUNJAB OILS, AMRITSAR (P.B) "/>
    <x v="1"/>
    <d v="2016-11-22T00:00:00"/>
    <n v="11"/>
    <x v="3"/>
    <n v="20.53"/>
    <n v="56000"/>
    <n v="1149680"/>
    <n v="0"/>
    <n v="0"/>
    <n v="0"/>
    <n v="0"/>
    <n v="1149680"/>
    <n v="0"/>
    <n v="0"/>
    <n v="1149680"/>
    <n v="20.53"/>
  </r>
  <r>
    <s v="SABIC ASIA PACIFIC PTE LTD - SINGAPORE"/>
    <x v="4"/>
    <d v="2016-11-23T00:00:00"/>
    <n v="11"/>
    <x v="3"/>
    <n v="20.04"/>
    <n v="46444.36"/>
    <n v="930744.97439999995"/>
    <n v="0"/>
    <n v="116343.12179999999"/>
    <n v="2326.8624359999999"/>
    <n v="1163.4312179999999"/>
    <n v="1050578.3898539997"/>
    <n v="0"/>
    <n v="130199.13559415999"/>
    <n v="1180777.5254481598"/>
    <n v="20.02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20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19.98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19.98"/>
  </r>
  <r>
    <s v="PUNJAB OILS, AMRITSAR (P.B) "/>
    <x v="0"/>
    <d v="2016-11-23T00:00:00"/>
    <n v="11"/>
    <x v="3"/>
    <n v="27.95"/>
    <n v="55165.11"/>
    <n v="1541864.8244999999"/>
    <n v="0"/>
    <n v="0"/>
    <n v="0"/>
    <n v="0"/>
    <n v="1541864.8244999999"/>
    <n v="0"/>
    <n v="0"/>
    <n v="1541864.8244999999"/>
    <n v="27.95"/>
  </r>
  <r>
    <s v="RICELA HEALTH FOODS LIMITED, DHURI (P.B)"/>
    <x v="5"/>
    <d v="2016-11-23T00:00:00"/>
    <n v="11"/>
    <x v="3"/>
    <n v="28.72"/>
    <n v="48039.199999999997"/>
    <n v="1379685.8239999998"/>
    <n v="0"/>
    <n v="0"/>
    <n v="0"/>
    <n v="0"/>
    <n v="1379685.8239999998"/>
    <n v="27593.716479999995"/>
    <n v="0"/>
    <n v="1407279.5404799997"/>
    <n v="28.72"/>
  </r>
  <r>
    <s v="GUJARAT AMBUJA EXPORTS LTD., KADI-MEHSANA (GUJARAT)"/>
    <x v="7"/>
    <d v="2016-11-23T00:00:00"/>
    <n v="11"/>
    <x v="3"/>
    <n v="24.98"/>
    <n v="57000"/>
    <n v="1423860"/>
    <n v="0"/>
    <n v="0"/>
    <n v="0"/>
    <n v="0"/>
    <n v="1423860"/>
    <n v="28477.200000000001"/>
    <n v="79936"/>
    <n v="1532273.2"/>
    <n v="24.98"/>
  </r>
  <r>
    <s v="HARKARAN DASS VEDPAL, LUDHIANA (P.B)"/>
    <x v="1"/>
    <d v="2016-11-27T00:00:00"/>
    <n v="11"/>
    <x v="4"/>
    <n v="28.35"/>
    <n v="56000"/>
    <n v="1587600"/>
    <n v="0"/>
    <n v="0"/>
    <n v="0"/>
    <n v="0"/>
    <n v="1587600"/>
    <n v="0"/>
    <n v="0"/>
    <n v="1587600"/>
    <n v="28.35"/>
  </r>
  <r>
    <s v="RICELA HEALTH FOODS LIMITED, DHURI (P.B)"/>
    <x v="5"/>
    <d v="2016-11-24T00:00:00"/>
    <n v="11"/>
    <x v="3"/>
    <n v="28.01"/>
    <n v="48039.199999999997"/>
    <n v="1345577.9920000001"/>
    <n v="0"/>
    <n v="0"/>
    <n v="0"/>
    <n v="0"/>
    <n v="1345577.9920000001"/>
    <n v="26911.559840000002"/>
    <n v="0"/>
    <n v="1372489.5518400001"/>
    <n v="28.01"/>
  </r>
  <r>
    <s v="HINDUSTAN OIL TRADERS, AMRITSAR (P.B) "/>
    <x v="1"/>
    <d v="2016-11-24T00:00:00"/>
    <n v="11"/>
    <x v="3"/>
    <n v="19.920000000000002"/>
    <n v="56000"/>
    <n v="1115520"/>
    <n v="0"/>
    <n v="0"/>
    <n v="0"/>
    <n v="0"/>
    <n v="1115520"/>
    <n v="0"/>
    <n v="0"/>
    <n v="1115520"/>
    <n v="19.920000000000002"/>
  </r>
  <r>
    <s v="SURUCHI REFINERY PRIVATE LTD., PALADAM- COIMBATORE"/>
    <x v="2"/>
    <d v="2016-11-25T00:00:00"/>
    <n v="11"/>
    <x v="3"/>
    <n v="20.11"/>
    <n v="90196"/>
    <n v="1813841.56"/>
    <n v="0"/>
    <n v="0"/>
    <n v="0"/>
    <n v="0"/>
    <n v="1813841.56"/>
    <n v="36276.831200000001"/>
    <n v="0"/>
    <n v="1850118.3912"/>
    <n v="20.11"/>
  </r>
  <r>
    <s v="HARKARAN DASS VEDPAL, LUDHIANA (P.B)"/>
    <x v="1"/>
    <d v="2016-11-25T00:00:00"/>
    <n v="11"/>
    <x v="3"/>
    <n v="25.52"/>
    <n v="56000"/>
    <n v="1429120"/>
    <n v="0"/>
    <n v="0"/>
    <n v="0"/>
    <n v="0"/>
    <n v="1429120"/>
    <n v="0"/>
    <n v="0"/>
    <n v="1429120"/>
    <n v="25.52"/>
  </r>
  <r>
    <s v="HARKARAN DASS VEDPAL, LUDHIANA (P.B)"/>
    <x v="1"/>
    <d v="2016-11-25T00:00:00"/>
    <n v="11"/>
    <x v="3"/>
    <n v="27.56"/>
    <n v="56000"/>
    <n v="1543360"/>
    <n v="0"/>
    <n v="0"/>
    <n v="0"/>
    <n v="0"/>
    <n v="1543360"/>
    <n v="0"/>
    <n v="0"/>
    <n v="1543360"/>
    <n v="27.56"/>
  </r>
  <r>
    <s v="PAVITHRA OIL INDUSTRIES, KANGAYAM - TIRUPUR (T.N) "/>
    <x v="3"/>
    <d v="2016-11-26T00:00:00"/>
    <n v="11"/>
    <x v="3"/>
    <n v="20.13"/>
    <n v="97549"/>
    <n v="1963661.3699999999"/>
    <n v="0"/>
    <n v="0"/>
    <n v="0"/>
    <n v="0"/>
    <n v="1963661.3699999999"/>
    <n v="39273.227399999996"/>
    <n v="0"/>
    <n v="2002934.5973999999"/>
    <n v="20.13"/>
  </r>
  <r>
    <s v="RICELA HEALTH FOODS LIMITED, DHURI (P.B)"/>
    <x v="5"/>
    <d v="2016-11-26T00:00:00"/>
    <n v="11"/>
    <x v="3"/>
    <n v="28.55"/>
    <n v="48039.199999999997"/>
    <n v="1371519.16"/>
    <n v="0"/>
    <n v="0"/>
    <n v="0"/>
    <n v="0"/>
    <n v="1371519.16"/>
    <n v="27430.3832"/>
    <n v="0"/>
    <n v="1398949.5432"/>
    <n v="28.55"/>
  </r>
  <r>
    <s v="PUNJAB OILS, AMRITSAR (P.B) "/>
    <x v="0"/>
    <d v="2016-11-26T00:00:00"/>
    <n v="11"/>
    <x v="3"/>
    <n v="27.33"/>
    <n v="55500"/>
    <n v="1516815"/>
    <n v="0"/>
    <n v="0"/>
    <n v="0"/>
    <n v="0"/>
    <n v="1516815"/>
    <n v="0"/>
    <n v="0"/>
    <n v="1516815"/>
    <n v="27.33"/>
  </r>
  <r>
    <s v="RICELA HEALTH FOODS LIMITED, DHURI (P.B)"/>
    <x v="5"/>
    <d v="2016-11-28T00:00:00"/>
    <n v="11"/>
    <x v="4"/>
    <n v="28.06"/>
    <n v="48039.199999999997"/>
    <n v="1347979.9519999998"/>
    <n v="0"/>
    <n v="0"/>
    <n v="0"/>
    <n v="0"/>
    <n v="1347979.9519999998"/>
    <n v="26959.599039999997"/>
    <n v="0"/>
    <n v="1374939.5510399998"/>
    <n v="28.06"/>
  </r>
  <r>
    <s v="LOK NATH VARINDER KUMAR IMPEX LTD, LUDHIANA (P.B)"/>
    <x v="0"/>
    <d v="2016-11-24T00:00:00"/>
    <n v="11"/>
    <x v="3"/>
    <n v="30.37"/>
    <n v="50000"/>
    <n v="1518500"/>
    <n v="0"/>
    <n v="0"/>
    <n v="0"/>
    <n v="0"/>
    <n v="1518500"/>
    <n v="0"/>
    <n v="0"/>
    <n v="1518500"/>
    <n v="30.37"/>
  </r>
  <r>
    <s v="DEEPCHAND ARYA INDUSTRIES, DADRI (U.P)"/>
    <x v="0"/>
    <d v="2016-11-26T00:00:00"/>
    <n v="11"/>
    <x v="3"/>
    <n v="29.41"/>
    <n v="57200"/>
    <n v="1682252"/>
    <n v="0"/>
    <n v="0"/>
    <n v="0"/>
    <n v="0"/>
    <n v="1682252"/>
    <n v="0"/>
    <n v="0"/>
    <n v="1682252"/>
    <n v="29.41"/>
  </r>
  <r>
    <s v="M.D. TRADING CO., LUDHIANA (P.B)"/>
    <x v="0"/>
    <d v="2016-11-27T00:00:00"/>
    <n v="11"/>
    <x v="4"/>
    <n v="28.09"/>
    <n v="55800"/>
    <n v="1567422"/>
    <n v="0"/>
    <n v="0"/>
    <n v="0"/>
    <n v="0"/>
    <n v="1567422"/>
    <n v="0"/>
    <n v="0"/>
    <n v="1567422"/>
    <n v="28.09"/>
  </r>
  <r>
    <s v="SIDDHARTH OILS, LUDHIANA (P.B)"/>
    <x v="0"/>
    <d v="2016-11-28T00:00:00"/>
    <n v="11"/>
    <x v="4"/>
    <n v="27.3"/>
    <n v="56464.160000000003"/>
    <n v="1541471.5680000002"/>
    <n v="0"/>
    <n v="0"/>
    <n v="0"/>
    <n v="0"/>
    <n v="1541471.5680000002"/>
    <n v="0"/>
    <n v="0"/>
    <n v="1541471.5680000002"/>
    <n v="27.3"/>
  </r>
  <r>
    <s v="PUNJAB OILS, AMRITSAR (P.B) "/>
    <x v="1"/>
    <d v="2016-11-29T00:00:00"/>
    <n v="11"/>
    <x v="4"/>
    <n v="19.96"/>
    <n v="55637"/>
    <n v="1110514.52"/>
    <n v="0"/>
    <n v="0"/>
    <n v="0"/>
    <n v="0"/>
    <n v="1110514.52"/>
    <n v="0"/>
    <n v="0"/>
    <n v="1110514.52"/>
    <n v="19.96"/>
  </r>
  <r>
    <s v="PUNJAB OILS, AMRITSAR (P.B) "/>
    <x v="1"/>
    <d v="2016-11-29T00:00:00"/>
    <n v="11"/>
    <x v="4"/>
    <n v="19.55"/>
    <n v="55400"/>
    <n v="1083070"/>
    <n v="0"/>
    <n v="0"/>
    <n v="0"/>
    <n v="0"/>
    <n v="1083070"/>
    <n v="0"/>
    <n v="0"/>
    <n v="1083070"/>
    <n v="19.55"/>
  </r>
  <r>
    <s v="PUNJAB OILS, AMRITSAR (P.B) "/>
    <x v="1"/>
    <d v="2016-11-29T00:00:00"/>
    <n v="11"/>
    <x v="4"/>
    <n v="19.899999999999999"/>
    <n v="55477.43"/>
    <n v="1104000.8569999998"/>
    <n v="0"/>
    <n v="0"/>
    <n v="0"/>
    <n v="0"/>
    <n v="1104000.8569999998"/>
    <n v="0"/>
    <n v="0"/>
    <n v="1104000.8569999998"/>
    <n v="19.899999999999999"/>
  </r>
  <r>
    <s v="PUNJAB OILS, AMRITSAR (P.B) "/>
    <x v="1"/>
    <d v="2016-11-29T00:00:00"/>
    <n v="11"/>
    <x v="4"/>
    <n v="19.21"/>
    <n v="55400"/>
    <n v="1064234"/>
    <n v="0"/>
    <n v="0"/>
    <n v="0"/>
    <n v="0"/>
    <n v="1064234"/>
    <n v="0"/>
    <n v="0"/>
    <n v="1064234"/>
    <n v="19.21"/>
  </r>
  <r>
    <s v="ASIAN FOOD INGREDIENTS SDN.BHD.,MALAYSIA"/>
    <x v="6"/>
    <d v="2016-11-30T00:00:00"/>
    <n v="11"/>
    <x v="4"/>
    <n v="19.97"/>
    <n v="75786.36"/>
    <n v="1513453.6091999998"/>
    <n v="0"/>
    <n v="189181.70114999998"/>
    <n v="3783.6340229999996"/>
    <n v="1891.8170114999998"/>
    <n v="1708310.7613845"/>
    <n v="0"/>
    <n v="156200.43045538"/>
    <n v="1864511.1918398798"/>
    <n v="19.96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20.010000000000002"/>
  </r>
  <r>
    <s v="ASIAN FOOD INGREDIENTS SDN.BHD.,MALAYSIA"/>
    <x v="6"/>
    <d v="2016-11-30T00:00:00"/>
    <n v="11"/>
    <x v="4"/>
    <n v="19.97"/>
    <n v="75786.36"/>
    <n v="1513453.6091999998"/>
    <n v="0"/>
    <n v="189181.70114999998"/>
    <n v="3783.6340229999996"/>
    <n v="1891.8170114999998"/>
    <n v="1708310.7613845"/>
    <n v="0"/>
    <n v="156200.43045538"/>
    <n v="1864511.1918398798"/>
    <n v="19.97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20.010000000000002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19.989999999999998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89">
  <r>
    <s v="AMARJIT OIL TRADERS, AMRITSAR (P.B) "/>
    <x v="0"/>
    <d v="2016-12-01T00:00:00"/>
    <n v="12"/>
    <x v="0"/>
    <n v="19.71"/>
    <n v="51932.27"/>
    <n v="1023585.0416999999"/>
    <n v="0"/>
    <n v="0"/>
    <n v="0"/>
    <n v="0"/>
    <n v="1023585.0416999999"/>
    <n v="0"/>
    <n v="0"/>
    <n v="1023585.0416999999"/>
    <n v="19.71"/>
  </r>
  <r>
    <s v="HARKARAN DASS VEDPAL, NOIDA (U.P)"/>
    <x v="0"/>
    <d v="2016-12-01T00:00:00"/>
    <n v="12"/>
    <x v="0"/>
    <n v="19.16"/>
    <n v="57200"/>
    <n v="1095952"/>
    <n v="0"/>
    <n v="0"/>
    <n v="0"/>
    <n v="0"/>
    <n v="1095952"/>
    <n v="0"/>
    <n v="0"/>
    <n v="1095952"/>
    <n v="19.16"/>
  </r>
  <r>
    <s v="HARKARAN DASS VEDPAL, LUDHIANA (P.B)"/>
    <x v="1"/>
    <d v="2016-12-01T00:00:00"/>
    <n v="12"/>
    <x v="0"/>
    <n v="19.829999999999998"/>
    <n v="55500"/>
    <n v="1100565"/>
    <n v="0"/>
    <n v="0"/>
    <n v="0"/>
    <n v="0"/>
    <n v="1100565"/>
    <n v="0"/>
    <n v="0"/>
    <n v="1100565"/>
    <n v="19.829999999999998"/>
  </r>
  <r>
    <s v="HARKARAN DASS VEDPAL, LUDHIANA (P.B)"/>
    <x v="1"/>
    <d v="2016-12-01T00:00:00"/>
    <n v="12"/>
    <x v="0"/>
    <n v="24.58"/>
    <n v="55400"/>
    <n v="1361732"/>
    <n v="0"/>
    <n v="0"/>
    <n v="0"/>
    <n v="0"/>
    <n v="1361732"/>
    <n v="0"/>
    <n v="0"/>
    <n v="1361732"/>
    <n v="24.58"/>
  </r>
  <r>
    <s v="HARKARAN DASS VEDPAL, LUDHIANA (P.B)"/>
    <x v="1"/>
    <d v="2016-12-01T00:00:00"/>
    <n v="12"/>
    <x v="0"/>
    <n v="24.48"/>
    <n v="55500"/>
    <n v="1358640"/>
    <n v="0"/>
    <n v="0"/>
    <n v="0"/>
    <n v="0"/>
    <n v="1358640"/>
    <n v="0"/>
    <n v="0"/>
    <n v="1358640"/>
    <n v="24.48"/>
  </r>
  <r>
    <s v="RICELA HEALTH FOODS LIMITED, DHURI (P.B)"/>
    <x v="2"/>
    <d v="2016-12-01T00:00:00"/>
    <n v="12"/>
    <x v="0"/>
    <n v="28.36"/>
    <n v="48039.199999999997"/>
    <n v="1362391.7119999998"/>
    <n v="0"/>
    <n v="0"/>
    <n v="0"/>
    <n v="0"/>
    <n v="1362391.7119999998"/>
    <n v="27247.834239999996"/>
    <n v="0"/>
    <n v="1389639.5462399998"/>
    <n v="28.36"/>
  </r>
  <r>
    <s v="SABIC ASIA PACIFIC PTE LTD - SINGAPORE"/>
    <x v="3"/>
    <d v="2016-12-02T00:00:00"/>
    <n v="12"/>
    <x v="0"/>
    <n v="20"/>
    <n v="46444.36"/>
    <n v="928887.2"/>
    <n v="0"/>
    <n v="116110.9"/>
    <n v="2322.2179999999998"/>
    <n v="1161.1089999999999"/>
    <n v="1048481.427"/>
    <n v="0"/>
    <n v="129983.25708000001"/>
    <n v="1178464.68408"/>
    <n v="20.010000000000002"/>
  </r>
  <r>
    <s v="SABIC ASIA PACIFIC PTE LTD - SINGAPORE"/>
    <x v="3"/>
    <d v="2016-12-02T00:00:00"/>
    <n v="12"/>
    <x v="0"/>
    <n v="19.96"/>
    <n v="46444.36"/>
    <n v="927029.42560000008"/>
    <n v="0"/>
    <n v="115878.67820000001"/>
    <n v="2317.5735640000003"/>
    <n v="1158.7867820000001"/>
    <n v="1046384.464146"/>
    <n v="0"/>
    <n v="129679.37856584"/>
    <n v="1176063.8427118401"/>
    <n v="19.96"/>
  </r>
  <r>
    <s v="DEEPCHAND ARYA INDUSTRIES, DADRI (U.P)"/>
    <x v="1"/>
    <d v="2016-12-02T00:00:00"/>
    <n v="12"/>
    <x v="0"/>
    <n v="28.31"/>
    <n v="56000"/>
    <n v="1585360"/>
    <n v="0"/>
    <n v="0"/>
    <n v="0"/>
    <n v="0"/>
    <n v="1585360"/>
    <n v="0"/>
    <n v="0"/>
    <n v="1585360"/>
    <n v="28.31"/>
  </r>
  <r>
    <s v="HARKARAN DASS VEDPAL, LUDHIANA (P.B)"/>
    <x v="1"/>
    <d v="2016-12-02T00:00:00"/>
    <n v="12"/>
    <x v="0"/>
    <n v="19.84"/>
    <n v="55400"/>
    <n v="1099136"/>
    <n v="0"/>
    <n v="0"/>
    <n v="0"/>
    <n v="0"/>
    <n v="1099136"/>
    <n v="0"/>
    <n v="0"/>
    <n v="1099136"/>
    <n v="19.84"/>
  </r>
  <r>
    <s v="HORIZON OIL INDUSTRIES, LUDHIANA (P.B)"/>
    <x v="0"/>
    <d v="2016-12-03T00:00:00"/>
    <n v="12"/>
    <x v="0"/>
    <n v="27.11"/>
    <n v="50500"/>
    <n v="1369055"/>
    <n v="0"/>
    <n v="0"/>
    <n v="0"/>
    <n v="0"/>
    <n v="1369055"/>
    <n v="0"/>
    <n v="0"/>
    <n v="1369055"/>
    <n v="27.11"/>
  </r>
  <r>
    <s v="SIDDHARTH OILS, LUDHIANA (P.B)"/>
    <x v="1"/>
    <d v="2016-12-03T00:00:00"/>
    <n v="12"/>
    <x v="0"/>
    <n v="20.69"/>
    <n v="58500"/>
    <n v="1210365"/>
    <n v="0"/>
    <n v="0"/>
    <n v="0"/>
    <n v="0"/>
    <n v="1210365"/>
    <n v="0"/>
    <n v="0"/>
    <n v="1210365"/>
    <n v="20.69"/>
  </r>
  <r>
    <s v="JAI BHAGWATI AGRO OILS , LUDHIANA (P.B)"/>
    <x v="1"/>
    <d v="2016-12-03T00:00:00"/>
    <n v="12"/>
    <x v="0"/>
    <n v="26.89"/>
    <n v="56000"/>
    <n v="1505840"/>
    <n v="0"/>
    <n v="0"/>
    <n v="0"/>
    <n v="0"/>
    <n v="1505840"/>
    <n v="0"/>
    <n v="0"/>
    <n v="1505840"/>
    <n v="26.89"/>
  </r>
  <r>
    <s v="DEEPCHAND ARYA INDUSTRIES, DADRI (U.P)"/>
    <x v="0"/>
    <d v="2016-12-03T00:00:00"/>
    <n v="12"/>
    <x v="0"/>
    <n v="29.35"/>
    <n v="57200"/>
    <n v="1678820"/>
    <n v="0"/>
    <n v="0"/>
    <n v="0"/>
    <n v="0"/>
    <n v="1678820"/>
    <n v="0"/>
    <n v="0"/>
    <n v="1678820"/>
    <n v="29.35"/>
  </r>
  <r>
    <s v="RICELA HEALTH FOODS LIMITED, DHURI (P.B)"/>
    <x v="2"/>
    <d v="2016-12-04T00:00:00"/>
    <n v="12"/>
    <x v="1"/>
    <n v="28.04"/>
    <n v="48039.199999999997"/>
    <n v="1347019.1679999998"/>
    <n v="0"/>
    <n v="0"/>
    <n v="0"/>
    <n v="0"/>
    <n v="1347019.1679999998"/>
    <n v="26940.383359999996"/>
    <n v="0"/>
    <n v="1373959.5513599999"/>
    <n v="28.04"/>
  </r>
  <r>
    <s v="SIDDHARTH OILS, LUDHIANA (P.B)"/>
    <x v="0"/>
    <d v="2016-12-05T00:00:00"/>
    <n v="12"/>
    <x v="1"/>
    <n v="28.46"/>
    <n v="56100"/>
    <n v="1596606"/>
    <n v="0"/>
    <n v="0"/>
    <n v="0"/>
    <n v="0"/>
    <n v="1596606"/>
    <n v="0"/>
    <n v="0"/>
    <n v="1596606"/>
    <n v="28.46"/>
  </r>
  <r>
    <s v="HARKARAN DASS VEDPAL, LUDHIANA (P.B)"/>
    <x v="1"/>
    <d v="2016-12-05T00:00:00"/>
    <n v="12"/>
    <x v="1"/>
    <n v="19.73"/>
    <n v="55400"/>
    <n v="1093042"/>
    <n v="0"/>
    <n v="0"/>
    <n v="0"/>
    <n v="0"/>
    <n v="1093042"/>
    <n v="0"/>
    <n v="0"/>
    <n v="1093042"/>
    <n v="19.73"/>
  </r>
  <r>
    <s v="HARKARAN DASS VEDPAL, LUDHIANA (P.B)"/>
    <x v="1"/>
    <d v="2016-12-05T00:00:00"/>
    <n v="12"/>
    <x v="1"/>
    <n v="27.78"/>
    <n v="55767.73"/>
    <n v="1549227.5394000001"/>
    <n v="0"/>
    <n v="0"/>
    <n v="0"/>
    <n v="0"/>
    <n v="1549227.5394000001"/>
    <n v="0"/>
    <n v="0"/>
    <n v="1549227.5394000001"/>
    <n v="27.78"/>
  </r>
  <r>
    <s v="SABIC ASIA PACIFIC PTE LTD - SINGAPORE"/>
    <x v="3"/>
    <d v="2016-12-06T00:00:00"/>
    <n v="12"/>
    <x v="1"/>
    <n v="19.98"/>
    <n v="46444.36"/>
    <n v="927958.31280000007"/>
    <n v="0"/>
    <n v="115994.78910000001"/>
    <n v="2319.8957820000001"/>
    <n v="1159.947891"/>
    <n v="1047432.9455730001"/>
    <n v="0"/>
    <n v="129853.31782292001"/>
    <n v="1177286.2633959202"/>
    <n v="19.989999999999998"/>
  </r>
  <r>
    <s v="SABIC ASIA PACIFIC PTE LTD - SINGAPORE"/>
    <x v="3"/>
    <d v="2016-12-06T00:00:00"/>
    <n v="12"/>
    <x v="1"/>
    <n v="20"/>
    <n v="46444.36"/>
    <n v="928887.2"/>
    <n v="0"/>
    <n v="116110.9"/>
    <n v="2322.2179999999998"/>
    <n v="1161.1089999999999"/>
    <n v="1048481.427"/>
    <n v="0"/>
    <n v="130027.25708000001"/>
    <n v="1178508.68408"/>
    <n v="20.02"/>
  </r>
  <r>
    <s v="SABIC ASIA PACIFIC PTE LTD - SINGAPORE"/>
    <x v="3"/>
    <d v="2016-12-06T00:00:00"/>
    <n v="12"/>
    <x v="1"/>
    <n v="20"/>
    <n v="46444.36"/>
    <n v="928887.2"/>
    <n v="0"/>
    <n v="116110.9"/>
    <n v="2322.2179999999998"/>
    <n v="1161.1089999999999"/>
    <n v="1048481.427"/>
    <n v="0"/>
    <n v="130115.25708000001"/>
    <n v="1178596.68408"/>
    <n v="20.04"/>
  </r>
  <r>
    <s v="SABIC ASIA PACIFIC PTE LTD - SINGAPORE"/>
    <x v="3"/>
    <d v="2016-12-06T00:00:00"/>
    <n v="12"/>
    <x v="1"/>
    <n v="20.02"/>
    <n v="46444.36"/>
    <n v="929816.08719999995"/>
    <n v="0"/>
    <n v="116227.01089999999"/>
    <n v="2324.5402180000001"/>
    <n v="1162.270109"/>
    <n v="1049529.9084269998"/>
    <n v="0"/>
    <n v="130113.19633707999"/>
    <n v="1179643.1047640799"/>
    <n v="20.03"/>
  </r>
  <r>
    <s v="RICELA HEALTH FOODS LIMITED, DHURI (P.B)"/>
    <x v="2"/>
    <d v="2016-12-06T00:00:00"/>
    <n v="12"/>
    <x v="1"/>
    <n v="29.08"/>
    <n v="48039.199999999997"/>
    <n v="1396979.9359999998"/>
    <n v="0"/>
    <n v="0"/>
    <n v="0"/>
    <n v="0"/>
    <n v="1396979.9359999998"/>
    <n v="27939.598719999995"/>
    <n v="0"/>
    <n v="1424919.5347199996"/>
    <n v="29.08"/>
  </r>
  <r>
    <s v="JAI BHAGWATI AGRO OILS , LUDHIANA (P.B)"/>
    <x v="1"/>
    <d v="2016-12-06T00:00:00"/>
    <n v="12"/>
    <x v="1"/>
    <n v="27.89"/>
    <n v="56000"/>
    <n v="1561840"/>
    <n v="0"/>
    <n v="0"/>
    <n v="0"/>
    <n v="0"/>
    <n v="1561840"/>
    <n v="0"/>
    <n v="0"/>
    <n v="1561840"/>
    <n v="27.89"/>
  </r>
  <r>
    <s v="RICELA HEALTH FOODS LIMITED, DHURI (P.B)"/>
    <x v="2"/>
    <d v="2016-12-06T00:00:00"/>
    <n v="12"/>
    <x v="1"/>
    <n v="28.54"/>
    <n v="48039.199999999997"/>
    <n v="1371038.7679999999"/>
    <n v="0"/>
    <n v="0"/>
    <n v="0"/>
    <n v="0"/>
    <n v="1371038.7679999999"/>
    <n v="27420.77536"/>
    <n v="0"/>
    <n v="1398459.54336"/>
    <n v="28.54"/>
  </r>
  <r>
    <s v="SABIC ASIA PACIFIC PTE LTD - SINGAPORE"/>
    <x v="3"/>
    <d v="2016-12-07T00:00:00"/>
    <n v="12"/>
    <x v="1"/>
    <n v="20"/>
    <n v="46444.36"/>
    <n v="928887.2"/>
    <n v="0"/>
    <n v="116110.9"/>
    <n v="2322.2179999999998"/>
    <n v="1161.1089999999999"/>
    <n v="1048481.427"/>
    <n v="0"/>
    <n v="130115.25708000001"/>
    <n v="1178596.68408"/>
    <n v="20.04"/>
  </r>
  <r>
    <s v="SABIC ASIA PACIFIC PTE LTD - SINGAPORE"/>
    <x v="3"/>
    <d v="2016-12-07T00:00:00"/>
    <n v="12"/>
    <x v="1"/>
    <n v="20.02"/>
    <n v="46444.36"/>
    <n v="929816.08719999995"/>
    <n v="0"/>
    <n v="116227.01089999999"/>
    <n v="2324.5402180000001"/>
    <n v="1162.270109"/>
    <n v="1049529.9084269998"/>
    <n v="0"/>
    <n v="130157.19633707999"/>
    <n v="1179687.1047640799"/>
    <n v="20.04"/>
  </r>
  <r>
    <s v="DEEPCHAND ARYA INDUSTRIES, DELHI"/>
    <x v="1"/>
    <d v="2016-12-24T00:00:00"/>
    <n v="12"/>
    <x v="2"/>
    <n v="19.73"/>
    <n v="56000"/>
    <n v="1104880"/>
    <n v="0"/>
    <n v="0"/>
    <n v="0"/>
    <n v="0"/>
    <n v="1104880"/>
    <n v="0"/>
    <n v="0"/>
    <n v="1104880"/>
    <n v="19.73"/>
  </r>
  <r>
    <s v="HARKARAN DASS VEDPAL, LUDHIANA (P.B)"/>
    <x v="1"/>
    <d v="2016-12-08T00:00:00"/>
    <n v="12"/>
    <x v="1"/>
    <n v="27.75"/>
    <n v="55496.41"/>
    <n v="1540025.3775000002"/>
    <n v="0"/>
    <n v="0"/>
    <n v="0"/>
    <n v="0"/>
    <n v="1540025.3775000002"/>
    <n v="0"/>
    <n v="0"/>
    <n v="1540025.3775000002"/>
    <n v="27.75"/>
  </r>
  <r>
    <s v="HARKARAN DASS VEDPAL, LUDHIANA (P.B)"/>
    <x v="1"/>
    <d v="2016-12-08T00:00:00"/>
    <n v="12"/>
    <x v="1"/>
    <n v="27.83"/>
    <n v="55911.44"/>
    <n v="1556015.3751999999"/>
    <n v="0"/>
    <n v="0"/>
    <n v="0"/>
    <n v="0"/>
    <n v="1556015.3751999999"/>
    <n v="0"/>
    <n v="0"/>
    <n v="1556015.3751999999"/>
    <n v="27.83"/>
  </r>
  <r>
    <s v="SIDDHARTH OILS, LUDHIANA (P.B)"/>
    <x v="1"/>
    <d v="2016-12-08T00:00:00"/>
    <n v="12"/>
    <x v="1"/>
    <n v="28.65"/>
    <n v="57600"/>
    <n v="1650240"/>
    <n v="0"/>
    <n v="0"/>
    <n v="0"/>
    <n v="0"/>
    <n v="1650240"/>
    <n v="0"/>
    <n v="0"/>
    <n v="1650240"/>
    <n v="28.65"/>
  </r>
  <r>
    <s v="M.D. TRADING CO., LUDHIANA (P.B)"/>
    <x v="0"/>
    <d v="2016-12-09T00:00:00"/>
    <n v="12"/>
    <x v="1"/>
    <n v="29.04"/>
    <n v="55800"/>
    <n v="1620432"/>
    <n v="0"/>
    <n v="0"/>
    <n v="0"/>
    <n v="0"/>
    <n v="1620432"/>
    <n v="0"/>
    <n v="0"/>
    <n v="1620432"/>
    <n v="29.04"/>
  </r>
  <r>
    <s v="RICELA HEALTH FOODS LIMITED, DHURI (P.B)"/>
    <x v="2"/>
    <d v="2016-12-09T00:00:00"/>
    <n v="12"/>
    <x v="1"/>
    <n v="28.23"/>
    <n v="48039.199999999997"/>
    <n v="1356146.6159999999"/>
    <n v="0"/>
    <n v="0"/>
    <n v="0"/>
    <n v="0"/>
    <n v="1356146.6159999999"/>
    <n v="27122.93232"/>
    <n v="0"/>
    <n v="1383269.5483199998"/>
    <n v="28.23"/>
  </r>
  <r>
    <s v="DEEPCHAND ARYA INDUSTRIES, DADRI (U.P)"/>
    <x v="1"/>
    <d v="2016-12-09T00:00:00"/>
    <n v="12"/>
    <x v="1"/>
    <n v="19.96"/>
    <n v="56000"/>
    <n v="1117760"/>
    <n v="0"/>
    <n v="0"/>
    <n v="0"/>
    <n v="0"/>
    <n v="1117760"/>
    <n v="0"/>
    <n v="0"/>
    <n v="1117760"/>
    <n v="19.96"/>
  </r>
  <r>
    <s v="JAI BHAGWATI AGRO OILS , LUDHIANA (P.B)"/>
    <x v="1"/>
    <d v="2016-12-09T00:00:00"/>
    <n v="12"/>
    <x v="1"/>
    <n v="26.61"/>
    <n v="56000"/>
    <n v="1490160"/>
    <n v="0"/>
    <n v="0"/>
    <n v="0"/>
    <n v="0"/>
    <n v="1490160"/>
    <n v="0"/>
    <n v="0"/>
    <n v="1490160"/>
    <n v="26.61"/>
  </r>
  <r>
    <s v="RICELA HEALTH FOODS LIMITED, DHURI (P.B)"/>
    <x v="2"/>
    <d v="2016-12-10T00:00:00"/>
    <n v="12"/>
    <x v="1"/>
    <n v="27.93"/>
    <n v="48039.199999999997"/>
    <n v="1341734.8559999999"/>
    <n v="0"/>
    <n v="0"/>
    <n v="0"/>
    <n v="0"/>
    <n v="1341734.8559999999"/>
    <n v="26834.697119999997"/>
    <n v="0"/>
    <n v="1368569.5531199998"/>
    <n v="27.93"/>
  </r>
  <r>
    <s v="RICELA HEALTH FOODS LIMITED, DHURI (P.B)"/>
    <x v="2"/>
    <d v="2016-12-11T00:00:00"/>
    <n v="12"/>
    <x v="3"/>
    <n v="28.11"/>
    <n v="48039.199999999997"/>
    <n v="1350381.9119999998"/>
    <n v="0"/>
    <n v="0"/>
    <n v="0"/>
    <n v="0"/>
    <n v="1350381.9119999998"/>
    <n v="27007.638239999997"/>
    <n v="0"/>
    <n v="1377389.5502399998"/>
    <n v="28.11"/>
  </r>
  <r>
    <s v="HARKARAN DASS VEDPAL, LUDHIANA (P.B)"/>
    <x v="1"/>
    <d v="2016-12-11T00:00:00"/>
    <n v="12"/>
    <x v="3"/>
    <n v="19.43"/>
    <n v="55500"/>
    <n v="1078365"/>
    <n v="0"/>
    <n v="0"/>
    <n v="0"/>
    <n v="0"/>
    <n v="1078365"/>
    <n v="0"/>
    <n v="0"/>
    <n v="1078365"/>
    <n v="19.43"/>
  </r>
  <r>
    <s v="HARKARAN DASS VEDPAL, LUDHIANA (P.B)"/>
    <x v="1"/>
    <d v="2016-12-12T00:00:00"/>
    <n v="12"/>
    <x v="3"/>
    <n v="29.4"/>
    <n v="55240.74"/>
    <n v="1624077.7559999998"/>
    <n v="0"/>
    <n v="0"/>
    <n v="0"/>
    <n v="0"/>
    <n v="1624077.7559999998"/>
    <n v="0"/>
    <n v="0"/>
    <n v="1624077.7559999998"/>
    <n v="29.4"/>
  </r>
  <r>
    <s v="SIDDHARTH OILS, LUDHIANA (P.B)"/>
    <x v="1"/>
    <d v="2016-12-13T00:00:00"/>
    <n v="12"/>
    <x v="3"/>
    <n v="28.89"/>
    <n v="57774.25"/>
    <n v="1669098.0825"/>
    <n v="0"/>
    <n v="0"/>
    <n v="0"/>
    <n v="0"/>
    <n v="1669098.0825"/>
    <n v="0"/>
    <n v="0"/>
    <n v="1669098.0825"/>
    <n v="28.89"/>
  </r>
  <r>
    <s v="SIDDHARTH OILS, LUDHIANA (P.B)"/>
    <x v="1"/>
    <d v="2016-12-13T00:00:00"/>
    <n v="12"/>
    <x v="3"/>
    <n v="29.51"/>
    <n v="57600"/>
    <n v="1699776"/>
    <n v="0"/>
    <n v="0"/>
    <n v="0"/>
    <n v="0"/>
    <n v="1699776"/>
    <n v="0"/>
    <n v="0"/>
    <n v="1699776"/>
    <n v="29.51"/>
  </r>
  <r>
    <s v="HARKARAN DASS VEDPAL, LUDHIANA (P.B)"/>
    <x v="1"/>
    <d v="2016-12-13T00:00:00"/>
    <n v="12"/>
    <x v="3"/>
    <n v="28.86"/>
    <n v="55200"/>
    <n v="1593072"/>
    <n v="0"/>
    <n v="0"/>
    <n v="0"/>
    <n v="0"/>
    <n v="1593072"/>
    <n v="0"/>
    <n v="0"/>
    <n v="1593072"/>
    <n v="28.86"/>
  </r>
  <r>
    <s v="RICELA HEALTH FOODS LIMITED, DHURI (P.B)"/>
    <x v="2"/>
    <d v="2016-12-14T00:00:00"/>
    <n v="12"/>
    <x v="3"/>
    <n v="28.5"/>
    <n v="48039.199999999997"/>
    <n v="1369117.2"/>
    <n v="0"/>
    <n v="0"/>
    <n v="0"/>
    <n v="0"/>
    <n v="1369117.2"/>
    <n v="27382.344000000001"/>
    <n v="0"/>
    <n v="1396499.544"/>
    <n v="28.5"/>
  </r>
  <r>
    <s v="HINDUSTAN OIL TRADERS, AMRITSAR (P.B) "/>
    <x v="1"/>
    <d v="2016-12-14T00:00:00"/>
    <n v="12"/>
    <x v="3"/>
    <n v="27.83"/>
    <n v="55803.14"/>
    <n v="1553001.3861999998"/>
    <n v="0"/>
    <n v="0"/>
    <n v="0"/>
    <n v="0"/>
    <n v="1553001.3861999998"/>
    <n v="0"/>
    <n v="0"/>
    <n v="1553001.3861999998"/>
    <n v="27.83"/>
  </r>
  <r>
    <s v="PUNJAB OILS, AMRITSAR (P.B) "/>
    <x v="1"/>
    <d v="2016-12-14T00:00:00"/>
    <n v="12"/>
    <x v="3"/>
    <n v="26.92"/>
    <n v="55455.67"/>
    <n v="1492866.6364"/>
    <n v="0"/>
    <n v="0"/>
    <n v="0"/>
    <n v="0"/>
    <n v="1492866.6364"/>
    <n v="0"/>
    <n v="0"/>
    <n v="1492866.6364"/>
    <n v="26.92"/>
  </r>
  <r>
    <s v="RICELA HEALTH FOODS LIMITED, DHURI (P.B)"/>
    <x v="2"/>
    <d v="2016-12-14T00:00:00"/>
    <n v="12"/>
    <x v="3"/>
    <n v="28.28"/>
    <n v="48039.199999999997"/>
    <n v="1358548.5759999999"/>
    <n v="0"/>
    <n v="0"/>
    <n v="0"/>
    <n v="0"/>
    <n v="1358548.5759999999"/>
    <n v="27170.971519999999"/>
    <n v="0"/>
    <n v="1385719.5475199998"/>
    <n v="28.28"/>
  </r>
  <r>
    <s v="KUMARAN OIL INDUSTRIES, KANGAYAM- TIRPUR (T.N)"/>
    <x v="4"/>
    <d v="2016-12-14T00:00:00"/>
    <n v="12"/>
    <x v="3"/>
    <n v="25.22"/>
    <n v="104902"/>
    <n v="2645628.44"/>
    <n v="0"/>
    <n v="0"/>
    <n v="0"/>
    <n v="0"/>
    <n v="2645628.44"/>
    <n v="52912.568800000001"/>
    <n v="0"/>
    <n v="2698541.0088"/>
    <n v="25.22"/>
  </r>
  <r>
    <s v="SURUCHI REFINERY PRIVATE LTD., PALADAM- COIMBATORE"/>
    <x v="5"/>
    <d v="2016-12-15T00:00:00"/>
    <n v="12"/>
    <x v="3"/>
    <n v="20.239999999999998"/>
    <n v="92156.800000000003"/>
    <n v="1865253.632"/>
    <n v="0"/>
    <n v="0"/>
    <n v="0"/>
    <n v="0"/>
    <n v="1865253.632"/>
    <n v="37305.072639999999"/>
    <n v="0"/>
    <n v="1902558.7046399999"/>
    <n v="20.239999999999998"/>
  </r>
  <r>
    <s v="SURUCHI REFINERY PRIVATE LTD., PALADAM- COIMBATORE"/>
    <x v="5"/>
    <d v="2016-12-15T00:00:00"/>
    <n v="12"/>
    <x v="3"/>
    <n v="20.329999999999998"/>
    <n v="92156.800000000003"/>
    <n v="1873547.7439999999"/>
    <n v="0"/>
    <n v="0"/>
    <n v="0"/>
    <n v="0"/>
    <n v="1873547.7439999999"/>
    <n v="37470.954879999998"/>
    <n v="0"/>
    <n v="1911018.69888"/>
    <n v="20.329999999999998"/>
  </r>
  <r>
    <s v="PAVITHRA OIL MILL, KANGAYAM - TIRUPUR (T.N) "/>
    <x v="4"/>
    <d v="2016-12-15T00:00:00"/>
    <n v="12"/>
    <x v="3"/>
    <n v="19.82"/>
    <n v="103921"/>
    <n v="2059714.22"/>
    <n v="0"/>
    <n v="0"/>
    <n v="0"/>
    <n v="0"/>
    <n v="2059714.22"/>
    <n v="41194.284399999997"/>
    <n v="0"/>
    <n v="2100908.5044"/>
    <n v="19.82"/>
  </r>
  <r>
    <s v="KUMARAN OIL INDUSTRIES, KANGAYAM- TIRPUR (T.N)"/>
    <x v="4"/>
    <d v="2016-12-16T00:00:00"/>
    <n v="12"/>
    <x v="3"/>
    <n v="25.04"/>
    <n v="104902"/>
    <n v="2626746.08"/>
    <n v="0"/>
    <n v="0"/>
    <n v="0"/>
    <n v="0"/>
    <n v="2626746.08"/>
    <n v="52534.921600000001"/>
    <n v="0"/>
    <n v="2679281.0016000001"/>
    <n v="25.04"/>
  </r>
  <r>
    <s v="HARKARAN DASS VEDPAL, NOIDA (U.P)"/>
    <x v="0"/>
    <d v="2016-12-16T00:00:00"/>
    <n v="12"/>
    <x v="3"/>
    <n v="19.68"/>
    <n v="57200"/>
    <n v="1125696"/>
    <n v="0"/>
    <n v="0"/>
    <n v="0"/>
    <n v="0"/>
    <n v="1125696"/>
    <n v="0"/>
    <n v="0"/>
    <n v="1125696"/>
    <n v="19.68"/>
  </r>
  <r>
    <s v="DEEPCHAND ARYA INDUSTRIES, DELHI"/>
    <x v="1"/>
    <d v="2016-12-16T00:00:00"/>
    <n v="12"/>
    <x v="3"/>
    <n v="23.54"/>
    <n v="56000"/>
    <n v="1318240"/>
    <n v="0"/>
    <n v="0"/>
    <n v="0"/>
    <n v="0"/>
    <n v="1318240"/>
    <n v="0"/>
    <n v="0"/>
    <n v="1318240"/>
    <n v="23.54"/>
  </r>
  <r>
    <s v="PUNJAB OILS, AMRITSAR (P.B) "/>
    <x v="1"/>
    <d v="2016-12-16T00:00:00"/>
    <n v="12"/>
    <x v="3"/>
    <n v="27.33"/>
    <n v="55500"/>
    <n v="1516815"/>
    <n v="0"/>
    <n v="0"/>
    <n v="0"/>
    <n v="0"/>
    <n v="1516815"/>
    <n v="0"/>
    <n v="0"/>
    <n v="1516815"/>
    <n v="27.33"/>
  </r>
  <r>
    <s v="DEEPCHAND ARYA INDUSTRIES, DELHI"/>
    <x v="1"/>
    <d v="2016-12-29T00:00:00"/>
    <n v="12"/>
    <x v="4"/>
    <n v="17.04"/>
    <n v="55414.71"/>
    <n v="944266.65839999996"/>
    <n v="0"/>
    <n v="0"/>
    <n v="0"/>
    <n v="0"/>
    <n v="944266.65839999996"/>
    <n v="0"/>
    <n v="0"/>
    <n v="944266.65839999996"/>
    <n v="17.04"/>
  </r>
  <r>
    <s v="KUMARAN OIL MILL, TIRUPUR (T.N)"/>
    <x v="4"/>
    <d v="2016-12-16T00:00:00"/>
    <n v="12"/>
    <x v="3"/>
    <n v="24.65"/>
    <n v="107843.1"/>
    <n v="2658332.415"/>
    <n v="0"/>
    <n v="0"/>
    <n v="0"/>
    <n v="0"/>
    <n v="2658332.415"/>
    <n v="53166.648300000001"/>
    <n v="0"/>
    <n v="2711499.0633"/>
    <n v="24.65"/>
  </r>
  <r>
    <s v="KUMARAN OIL INDUSTRIES, KANGAYAM- TIRPUR (T.N)"/>
    <x v="4"/>
    <d v="2016-12-17T00:00:00"/>
    <n v="12"/>
    <x v="3"/>
    <n v="24.88"/>
    <n v="104902"/>
    <n v="2609961.7599999998"/>
    <n v="0"/>
    <n v="0"/>
    <n v="0"/>
    <n v="0"/>
    <n v="2609961.7599999998"/>
    <n v="52199.235199999996"/>
    <n v="0"/>
    <n v="2662160.9951999998"/>
    <n v="24.88"/>
  </r>
  <r>
    <s v="KUMARAN OIL INDUSTRIES, KANGAYAM- TIRPUR (T.N)"/>
    <x v="4"/>
    <d v="2016-12-17T00:00:00"/>
    <n v="12"/>
    <x v="3"/>
    <n v="24.82"/>
    <n v="104902"/>
    <n v="2603667.64"/>
    <n v="0"/>
    <n v="0"/>
    <n v="0"/>
    <n v="0"/>
    <n v="2603667.64"/>
    <n v="52073.352800000001"/>
    <n v="0"/>
    <n v="2655740.9928000001"/>
    <n v="24.82"/>
  </r>
  <r>
    <s v="KUMARAN OIL MILL, TIRUPUR (T.N)"/>
    <x v="4"/>
    <d v="2016-12-17T00:00:00"/>
    <n v="12"/>
    <x v="3"/>
    <n v="24.82"/>
    <n v="107843.1"/>
    <n v="2676665.7420000001"/>
    <n v="0"/>
    <n v="0"/>
    <n v="0"/>
    <n v="0"/>
    <n v="2676665.7420000001"/>
    <n v="53533.314840000006"/>
    <n v="0"/>
    <n v="2730199.0568400002"/>
    <n v="24.82"/>
  </r>
  <r>
    <s v="RICELA HEALTH FOODS LIMITED, DHURI (P.B)"/>
    <x v="2"/>
    <d v="2016-12-18T00:00:00"/>
    <n v="12"/>
    <x v="2"/>
    <n v="28.5"/>
    <n v="48039.199999999997"/>
    <n v="1369117.2"/>
    <n v="0"/>
    <n v="0"/>
    <n v="0"/>
    <n v="0"/>
    <n v="1369117.2"/>
    <n v="27382.344000000001"/>
    <n v="0"/>
    <n v="1396499.544"/>
    <n v="28.5"/>
  </r>
  <r>
    <s v="RICELA HEALTH FOODS LIMITED, DHURI (P.B)"/>
    <x v="2"/>
    <d v="2016-12-19T00:00:00"/>
    <n v="12"/>
    <x v="2"/>
    <n v="28.57"/>
    <n v="48039.199999999997"/>
    <n v="1372479.9439999999"/>
    <n v="0"/>
    <n v="0"/>
    <n v="0"/>
    <n v="0"/>
    <n v="1372479.9439999999"/>
    <n v="27449.598879999998"/>
    <n v="0"/>
    <n v="1399929.5428799998"/>
    <n v="28.57"/>
  </r>
  <r>
    <s v="SURUCHI REFINERY PRIVATE LTD., PALADAM- COIMBATORE"/>
    <x v="5"/>
    <d v="2016-12-19T00:00:00"/>
    <n v="12"/>
    <x v="2"/>
    <n v="30.22"/>
    <n v="92156.800000000003"/>
    <n v="2784978.4959999998"/>
    <n v="0"/>
    <n v="0"/>
    <n v="0"/>
    <n v="0"/>
    <n v="2784978.4959999998"/>
    <n v="55699.569919999994"/>
    <n v="0"/>
    <n v="2840678.06592"/>
    <n v="30.22"/>
  </r>
  <r>
    <s v="SURUCHI REFINERY PRIVATE LTD., PALADAM- COIMBATORE"/>
    <x v="5"/>
    <d v="2016-12-19T00:00:00"/>
    <n v="12"/>
    <x v="2"/>
    <n v="30.2"/>
    <n v="92156.800000000003"/>
    <n v="2783135.36"/>
    <n v="0"/>
    <n v="0"/>
    <n v="0"/>
    <n v="0"/>
    <n v="2783135.36"/>
    <n v="55662.707199999997"/>
    <n v="0"/>
    <n v="2838798.0671999999"/>
    <n v="30.2"/>
  </r>
  <r>
    <s v="PKB OIL MILLS, KANGAYAM- TIRPUR (T.N)"/>
    <x v="4"/>
    <d v="2016-12-20T00:00:00"/>
    <n v="12"/>
    <x v="2"/>
    <n v="19.579999999999998"/>
    <n v="103930"/>
    <n v="2034949.4"/>
    <n v="0"/>
    <n v="0"/>
    <n v="0"/>
    <n v="0"/>
    <n v="2034949.4"/>
    <n v="40698.987999999998"/>
    <n v="0"/>
    <n v="2075648.3879999998"/>
    <n v="19.61"/>
  </r>
  <r>
    <s v="HINDUSTAN OIL TRADERS, AMRITSAR (P.B) "/>
    <x v="1"/>
    <d v="2016-12-21T00:00:00"/>
    <n v="12"/>
    <x v="2"/>
    <n v="27.86"/>
    <n v="55457.81"/>
    <n v="1545054.5865999998"/>
    <n v="0"/>
    <n v="0"/>
    <n v="0"/>
    <n v="0"/>
    <n v="1545054.5865999998"/>
    <n v="0"/>
    <n v="0"/>
    <n v="1545054.5865999998"/>
    <n v="27.86"/>
  </r>
  <r>
    <s v="PUNJAB OILS, AMRITSAR (P.B) "/>
    <x v="1"/>
    <d v="2016-12-21T00:00:00"/>
    <n v="12"/>
    <x v="2"/>
    <n v="31.92"/>
    <n v="55200"/>
    <n v="1761984"/>
    <n v="0"/>
    <n v="0"/>
    <n v="0"/>
    <n v="0"/>
    <n v="1761984"/>
    <n v="0"/>
    <n v="0"/>
    <n v="1761984"/>
    <n v="31.92"/>
  </r>
  <r>
    <s v="PUNJAB OILS, AMRITSAR (P.B) "/>
    <x v="1"/>
    <d v="2016-12-21T00:00:00"/>
    <n v="12"/>
    <x v="2"/>
    <n v="31.5"/>
    <n v="56000"/>
    <n v="1764000"/>
    <n v="0"/>
    <n v="0"/>
    <n v="0"/>
    <n v="0"/>
    <n v="1764000"/>
    <n v="0"/>
    <n v="0"/>
    <n v="1764000"/>
    <n v="31.5"/>
  </r>
  <r>
    <s v="PUNJAB OILS, AMRITSAR (P.B) "/>
    <x v="1"/>
    <d v="2016-12-21T00:00:00"/>
    <n v="12"/>
    <x v="2"/>
    <n v="17.79"/>
    <n v="55416.06"/>
    <n v="985851.70739999996"/>
    <n v="0"/>
    <n v="0"/>
    <n v="0"/>
    <n v="0"/>
    <n v="985851.70739999996"/>
    <n v="0"/>
    <n v="0"/>
    <n v="985851.70739999996"/>
    <n v="17.79"/>
  </r>
  <r>
    <s v="HINDUSTAN OIL TRADERS, AMRITSAR (P.B) "/>
    <x v="1"/>
    <d v="2016-12-22T00:00:00"/>
    <n v="12"/>
    <x v="2"/>
    <n v="22.65"/>
    <n v="55400"/>
    <n v="1254810"/>
    <n v="0"/>
    <n v="0"/>
    <n v="0"/>
    <n v="0"/>
    <n v="1254810"/>
    <n v="0"/>
    <n v="0"/>
    <n v="1254810"/>
    <n v="22.65"/>
  </r>
  <r>
    <s v="M.D. TRADING CO., LUDHIANA (P.B)"/>
    <x v="1"/>
    <d v="2016-12-22T00:00:00"/>
    <n v="12"/>
    <x v="2"/>
    <n v="26.56"/>
    <n v="56608.41"/>
    <n v="1503519.3696000001"/>
    <n v="0"/>
    <n v="0"/>
    <n v="0"/>
    <n v="0"/>
    <n v="1503519.3696000001"/>
    <n v="0"/>
    <n v="0"/>
    <n v="1503519.3696000001"/>
    <n v="26.56"/>
  </r>
  <r>
    <s v="HINDUSTAN OIL TRADERS, AMRITSAR (P.B) "/>
    <x v="1"/>
    <d v="2016-12-22T00:00:00"/>
    <n v="12"/>
    <x v="2"/>
    <n v="20.32"/>
    <n v="55400"/>
    <n v="1125728"/>
    <n v="0"/>
    <n v="0"/>
    <n v="0"/>
    <n v="0"/>
    <n v="1125728"/>
    <n v="0"/>
    <n v="0"/>
    <n v="1125728"/>
    <n v="20.32"/>
  </r>
  <r>
    <s v="SIDDHARTH OILS, LUDHIANA (P.B)"/>
    <x v="1"/>
    <d v="2016-12-22T00:00:00"/>
    <n v="12"/>
    <x v="2"/>
    <n v="27.9"/>
    <n v="55500"/>
    <n v="1548450"/>
    <n v="0"/>
    <n v="0"/>
    <n v="0"/>
    <n v="0"/>
    <n v="1548450"/>
    <n v="0"/>
    <n v="0"/>
    <n v="1548450"/>
    <n v="27.9"/>
  </r>
  <r>
    <s v="KUMARAN OIL MILL, TIRUPUR (T.N)"/>
    <x v="4"/>
    <d v="2016-12-23T00:00:00"/>
    <n v="12"/>
    <x v="2"/>
    <n v="24.03"/>
    <n v="107843.1"/>
    <n v="2591469.6930000004"/>
    <n v="0"/>
    <n v="0"/>
    <n v="0"/>
    <n v="0"/>
    <n v="2591469.6930000004"/>
    <n v="51829.393860000011"/>
    <n v="0"/>
    <n v="2643299.0868600006"/>
    <n v="24.03"/>
  </r>
  <r>
    <s v="HINDUSTAN OIL TRADERS, AMRITSAR (P.B) "/>
    <x v="1"/>
    <d v="2016-12-24T00:00:00"/>
    <n v="12"/>
    <x v="2"/>
    <n v="20.32"/>
    <n v="55203.63"/>
    <n v="1121737.7615999999"/>
    <n v="0"/>
    <n v="0"/>
    <n v="0"/>
    <n v="0"/>
    <n v="1121737.7615999999"/>
    <n v="0"/>
    <n v="0"/>
    <n v="1121737.7615999999"/>
    <n v="20.32"/>
  </r>
  <r>
    <s v="DEEPCHAND ARYA INDUSTRIES, DELHI"/>
    <x v="1"/>
    <d v="2016-12-24T00:00:00"/>
    <n v="12"/>
    <x v="2"/>
    <n v="30.54"/>
    <n v="55500"/>
    <n v="1694970"/>
    <n v="0"/>
    <n v="0"/>
    <n v="0"/>
    <n v="0"/>
    <n v="1694970"/>
    <n v="0"/>
    <n v="0"/>
    <n v="1694970"/>
    <n v="30.54"/>
  </r>
  <r>
    <s v="DEEPCHAND ARYA INDUSTRIES, DELHI"/>
    <x v="1"/>
    <d v="2016-12-26T00:00:00"/>
    <n v="12"/>
    <x v="4"/>
    <n v="23.92"/>
    <n v="55500"/>
    <n v="1327560"/>
    <n v="0"/>
    <n v="0"/>
    <n v="0"/>
    <n v="0"/>
    <n v="1327560"/>
    <n v="0"/>
    <n v="0"/>
    <n v="1327560"/>
    <n v="23.92"/>
  </r>
  <r>
    <s v="KUMARAN OIL MILL, TIRUPUR (T.N)"/>
    <x v="4"/>
    <d v="2016-12-24T00:00:00"/>
    <n v="12"/>
    <x v="2"/>
    <n v="24.71"/>
    <n v="107843.1"/>
    <n v="2664803.0010000002"/>
    <n v="0"/>
    <n v="0"/>
    <n v="0"/>
    <n v="0"/>
    <n v="2664803.0010000002"/>
    <n v="53296.060020000004"/>
    <n v="0"/>
    <n v="2718099.0610200004"/>
    <n v="24.71"/>
  </r>
  <r>
    <s v="PAVITHRA OIL MILL, KANGAYAM - TIRUPUR (T.N) "/>
    <x v="4"/>
    <d v="2016-12-25T00:00:00"/>
    <n v="12"/>
    <x v="4"/>
    <n v="19.84"/>
    <n v="107843"/>
    <n v="2139605.12"/>
    <n v="0"/>
    <n v="0"/>
    <n v="0"/>
    <n v="0"/>
    <n v="2139605.12"/>
    <n v="42792.102400000003"/>
    <n v="0"/>
    <n v="2182397.2224000003"/>
    <n v="19.84"/>
  </r>
  <r>
    <s v="DEEPCHAND ARYA INDUSTRIES, DELHI"/>
    <x v="1"/>
    <d v="2016-12-26T00:00:00"/>
    <n v="12"/>
    <x v="4"/>
    <n v="34.21"/>
    <n v="55400"/>
    <n v="1895234"/>
    <n v="0"/>
    <n v="0"/>
    <n v="0"/>
    <n v="0"/>
    <n v="1895234"/>
    <n v="0"/>
    <n v="0"/>
    <n v="1895234"/>
    <n v="34.21"/>
  </r>
  <r>
    <s v="SIDDHARTH OILS, LUDHIANA (P.B)"/>
    <x v="1"/>
    <d v="2016-12-29T00:00:00"/>
    <n v="12"/>
    <x v="4"/>
    <n v="27.83"/>
    <n v="55500"/>
    <n v="1544565"/>
    <n v="0"/>
    <n v="0"/>
    <n v="0"/>
    <n v="0"/>
    <n v="1544565"/>
    <n v="0"/>
    <n v="0"/>
    <n v="1544565"/>
    <n v="27.83"/>
  </r>
  <r>
    <s v="NAMRATHA OIL REFINERIES PVT.LTD.,TIPTUR-KARNATAKA"/>
    <x v="4"/>
    <d v="2016-12-29T00:00:00"/>
    <n v="12"/>
    <x v="4"/>
    <n v="20.350000000000001"/>
    <n v="103921.5"/>
    <n v="2114802.5250000004"/>
    <n v="0"/>
    <n v="0"/>
    <n v="0"/>
    <n v="0"/>
    <n v="2114802.5250000004"/>
    <n v="42296.050500000005"/>
    <n v="0"/>
    <n v="2157098.5755000003"/>
    <n v="20.350000000000001"/>
  </r>
  <r>
    <s v="NAMRATHA OIL REFINERIES PVT.LTD.,TIPTUR-KARNATAKA"/>
    <x v="4"/>
    <d v="2016-12-29T00:00:00"/>
    <n v="12"/>
    <x v="4"/>
    <n v="23.01"/>
    <n v="103921.55"/>
    <n v="2391234.8655000003"/>
    <n v="0"/>
    <n v="0"/>
    <n v="0"/>
    <n v="0"/>
    <n v="2391234.8655000003"/>
    <n v="47824.69731000001"/>
    <n v="0"/>
    <n v="2439059.5628100005"/>
    <n v="23.01"/>
  </r>
  <r>
    <s v="DEEPCHAND ARYA INDUSTRIES, DELHI"/>
    <x v="1"/>
    <d v="2016-12-29T00:00:00"/>
    <n v="12"/>
    <x v="4"/>
    <n v="29.2"/>
    <n v="55414.71"/>
    <n v="1618109.5319999999"/>
    <n v="0"/>
    <n v="0"/>
    <n v="0"/>
    <n v="0"/>
    <n v="1618109.5319999999"/>
    <n v="0"/>
    <n v="0"/>
    <n v="1618109.5319999999"/>
    <n v="29.2"/>
  </r>
  <r>
    <s v="DEEPCHAND ARYA INDUSTRIES, DADRI (U.P)"/>
    <x v="0"/>
    <d v="2016-12-07T00:00:00"/>
    <n v="12"/>
    <x v="1"/>
    <n v="20.39"/>
    <n v="57200"/>
    <n v="1166308"/>
    <n v="0"/>
    <n v="0"/>
    <n v="0"/>
    <n v="0"/>
    <n v="1166308"/>
    <n v="0"/>
    <n v="0"/>
    <n v="1166308"/>
    <n v="20.39"/>
  </r>
  <r>
    <s v="HARKARAN DASS VEDPAL, NOIDA (U.P)"/>
    <x v="0"/>
    <d v="2016-12-16T00:00:00"/>
    <n v="12"/>
    <x v="3"/>
    <n v="23.65"/>
    <n v="55500"/>
    <n v="1312575"/>
    <n v="0"/>
    <n v="0"/>
    <n v="0"/>
    <n v="0"/>
    <n v="1312575"/>
    <n v="0"/>
    <n v="0"/>
    <n v="1312575"/>
    <n v="23.65"/>
  </r>
  <r>
    <s v="SIDDHARTH OILS, LUDHIANA (P.B)"/>
    <x v="1"/>
    <d v="2016-12-26T00:00:00"/>
    <n v="12"/>
    <x v="4"/>
    <n v="27.25"/>
    <n v="55817.18"/>
    <n v="1521018.155"/>
    <n v="0"/>
    <n v="0"/>
    <n v="0"/>
    <n v="0"/>
    <n v="1521018.155"/>
    <n v="0"/>
    <n v="0"/>
    <n v="1521018.155"/>
    <n v="27.25"/>
  </r>
  <r>
    <s v="PUNJAB OILS, AMRITSAR (P.B) "/>
    <x v="1"/>
    <d v="2016-12-29T00:00:00"/>
    <n v="12"/>
    <x v="4"/>
    <n v="32"/>
    <n v="58000"/>
    <n v="1856000"/>
    <n v="0"/>
    <n v="0"/>
    <n v="0"/>
    <n v="0"/>
    <n v="1856000"/>
    <n v="0"/>
    <n v="0"/>
    <n v="1856000"/>
    <n v="32"/>
  </r>
  <r>
    <s v="SIDDHARTH OILS, LUDHIANA (P.B)"/>
    <x v="1"/>
    <d v="2016-12-29T00:00:00"/>
    <n v="12"/>
    <x v="4"/>
    <n v="26.91"/>
    <n v="55500"/>
    <n v="1493505"/>
    <n v="0"/>
    <n v="0"/>
    <n v="0"/>
    <n v="0"/>
    <n v="1493505"/>
    <n v="0"/>
    <n v="0"/>
    <n v="1493505"/>
    <n v="26.91"/>
  </r>
  <r>
    <s v="DEEP CHAND ARYA INDUSTRIES, DELHI"/>
    <x v="1"/>
    <d v="2016-12-29T00:00:00"/>
    <n v="12"/>
    <x v="4"/>
    <n v="29.42"/>
    <n v="55710.69"/>
    <n v="1639008.4998000001"/>
    <n v="0"/>
    <n v="0"/>
    <n v="0"/>
    <n v="0"/>
    <n v="1639008.4998000001"/>
    <n v="0"/>
    <n v="0"/>
    <n v="1639008.4998000001"/>
    <n v="29.4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60">
  <r>
    <s v="PAVITHRA OIL MILL, KANGAYAM - TIRUPUR (T.N) "/>
    <x v="0"/>
    <d v="2017-01-02T00:00:00"/>
    <n v="1"/>
    <x v="0"/>
    <n v="19.34"/>
    <n v="103921.55"/>
    <n v="2009842.777"/>
    <n v="0"/>
    <n v="0"/>
    <n v="0"/>
    <n v="0"/>
    <n v="2009842.777"/>
    <n v="40196.855540000004"/>
    <n v="0"/>
    <n v="2050039.6325399999"/>
    <n v="19.34"/>
  </r>
  <r>
    <s v="NAMRATHA OIL REFINERIES PVT.LTD.,TIPTUR-KARNATAKA"/>
    <x v="0"/>
    <d v="2017-01-02T00:00:00"/>
    <n v="1"/>
    <x v="0"/>
    <n v="19.89"/>
    <n v="103921.55"/>
    <n v="2066999.6295"/>
    <n v="0"/>
    <n v="0"/>
    <n v="0"/>
    <n v="0"/>
    <n v="2066999.6295"/>
    <n v="41339.992590000002"/>
    <n v="0"/>
    <n v="2108339.6220900002"/>
    <n v="19.89"/>
  </r>
  <r>
    <s v="ASIAN FOOD INGREDIENTS SDN.BHD.,MALAYSIA"/>
    <x v="1"/>
    <d v="2017-01-03T00:00:00"/>
    <n v="1"/>
    <x v="0"/>
    <n v="21"/>
    <n v="75230.100000000006"/>
    <n v="1579832.1"/>
    <n v="0"/>
    <n v="197479.01250000001"/>
    <n v="3949.5802500000004"/>
    <n v="1974.7901250000002"/>
    <n v="1783235.4828750002"/>
    <n v="0"/>
    <n v="163729.41931500001"/>
    <n v="1946964.9021900003"/>
    <n v="21"/>
  </r>
  <r>
    <s v="ASIAN FOOD INGREDIENTS SDN.BHD.,MALAYSIA"/>
    <x v="1"/>
    <d v="2017-01-03T00:00:00"/>
    <n v="1"/>
    <x v="0"/>
    <n v="21.02"/>
    <n v="75230.100000000006"/>
    <n v="1581336.702"/>
    <n v="0"/>
    <n v="197667.08775000001"/>
    <n v="3953.3417550000004"/>
    <n v="1976.6708775000002"/>
    <n v="1784933.8023824999"/>
    <n v="0"/>
    <n v="163885.35209529998"/>
    <n v="1948819.1544777998"/>
    <n v="21.02"/>
  </r>
  <r>
    <s v="ASIAN FOOD INGREDIENTS SDN.BHD.,MALAYSIA"/>
    <x v="1"/>
    <d v="2017-01-03T00:00:00"/>
    <n v="1"/>
    <x v="0"/>
    <n v="21.25"/>
    <n v="75230.100000000006"/>
    <n v="1598639.6250000002"/>
    <n v="0"/>
    <n v="199829.95312500003"/>
    <n v="3996.5990625000009"/>
    <n v="1998.2995312500004"/>
    <n v="1804464.4767187503"/>
    <n v="0"/>
    <n v="165678.57906875003"/>
    <n v="1970143.0557875005"/>
    <n v="21.25"/>
  </r>
  <r>
    <s v="NAMRATHA OIL REFINERIES PVT.LTD.,TIPTUR-KARNATAKA"/>
    <x v="0"/>
    <d v="2017-01-05T00:00:00"/>
    <n v="1"/>
    <x v="0"/>
    <n v="19.91"/>
    <n v="103921.55"/>
    <n v="2069078.0605000001"/>
    <n v="0"/>
    <n v="0"/>
    <n v="0"/>
    <n v="0"/>
    <n v="2069078.0605000001"/>
    <n v="41381.561210000007"/>
    <n v="0"/>
    <n v="2110459.6217100001"/>
    <n v="19.91"/>
  </r>
  <r>
    <s v="PAVITHRA OIL MILL, KANGAYAM - TIRUPUR (T.N) "/>
    <x v="0"/>
    <d v="2017-01-05T00:00:00"/>
    <n v="1"/>
    <x v="0"/>
    <n v="19.899999999999999"/>
    <n v="107843"/>
    <n v="2146075.6999999997"/>
    <n v="0"/>
    <n v="0"/>
    <n v="0"/>
    <n v="0"/>
    <n v="2146075.6999999997"/>
    <n v="42921.513999999996"/>
    <n v="0"/>
    <n v="2188997.2139999997"/>
    <n v="19.899999999999999"/>
  </r>
  <r>
    <s v="NAMRATHA OIL REFINERIES PVT.LTD.,TIPTUR-KARNATAKA"/>
    <x v="0"/>
    <d v="2017-01-05T00:00:00"/>
    <n v="1"/>
    <x v="0"/>
    <n v="19.989999999999998"/>
    <n v="103921.55"/>
    <n v="2077391.7844999998"/>
    <n v="0"/>
    <n v="0"/>
    <n v="0"/>
    <n v="0"/>
    <n v="2077391.7844999998"/>
    <n v="41547.83569"/>
    <n v="0"/>
    <n v="2118939.6201899997"/>
    <n v="19.989999999999998"/>
  </r>
  <r>
    <s v="DEEP CHAND ARYA INDUSTRIES, DELHI"/>
    <x v="2"/>
    <d v="2017-01-05T00:00:00"/>
    <n v="1"/>
    <x v="0"/>
    <n v="34.65"/>
    <n v="55500"/>
    <n v="1923075"/>
    <n v="0"/>
    <n v="0"/>
    <n v="0"/>
    <n v="0"/>
    <n v="1923075"/>
    <n v="0"/>
    <n v="0"/>
    <n v="1923075"/>
    <n v="34.65"/>
  </r>
  <r>
    <s v="DEEP CHAND ARYA INDUSTRIES, DELHI"/>
    <x v="2"/>
    <d v="2017-01-05T00:00:00"/>
    <n v="1"/>
    <x v="0"/>
    <n v="25.32"/>
    <n v="55692.15"/>
    <n v="1410125.2380000001"/>
    <n v="0"/>
    <n v="0"/>
    <n v="0"/>
    <n v="0"/>
    <n v="1410125.2380000001"/>
    <n v="0"/>
    <n v="0"/>
    <n v="1410125.2380000001"/>
    <n v="25.32"/>
  </r>
  <r>
    <s v="DEEP CHAND ARYA INDUSTRIES, DELHI"/>
    <x v="2"/>
    <d v="2017-01-05T00:00:00"/>
    <n v="1"/>
    <x v="0"/>
    <n v="22.67"/>
    <n v="55327.23"/>
    <n v="1254268.3041000001"/>
    <n v="0"/>
    <n v="0"/>
    <n v="0"/>
    <n v="0"/>
    <n v="1254268.3041000001"/>
    <n v="0"/>
    <n v="0"/>
    <n v="1254268.3041000001"/>
    <n v="22.67"/>
  </r>
  <r>
    <s v="DEEP CHAND ARYA INDUSTRIES, DELHI"/>
    <x v="2"/>
    <d v="2017-01-05T00:00:00"/>
    <n v="1"/>
    <x v="0"/>
    <n v="22.86"/>
    <n v="55200"/>
    <n v="1261872"/>
    <n v="0"/>
    <n v="0"/>
    <n v="0"/>
    <n v="0"/>
    <n v="1261872"/>
    <n v="0"/>
    <n v="0"/>
    <n v="1261872"/>
    <n v="22.86"/>
  </r>
  <r>
    <s v="DEEP CHAND ARYA INDUSTRIES, DELHI"/>
    <x v="2"/>
    <d v="2017-01-05T00:00:00"/>
    <n v="1"/>
    <x v="0"/>
    <n v="26.96"/>
    <n v="55334.46"/>
    <n v="1491817.0416000001"/>
    <n v="0"/>
    <n v="0"/>
    <n v="0"/>
    <n v="0"/>
    <n v="1491817.0416000001"/>
    <n v="0"/>
    <n v="0"/>
    <n v="1491817.0416000001"/>
    <n v="26.96"/>
  </r>
  <r>
    <s v="DEEP CHAND ARYA INDUSTRIES, DELHI"/>
    <x v="2"/>
    <d v="2017-01-05T00:00:00"/>
    <n v="1"/>
    <x v="0"/>
    <n v="27.57"/>
    <n v="56000"/>
    <n v="1543920"/>
    <n v="0"/>
    <n v="0"/>
    <n v="0"/>
    <n v="0"/>
    <n v="1543920"/>
    <n v="0"/>
    <n v="0"/>
    <n v="1543920"/>
    <n v="27.57"/>
  </r>
  <r>
    <s v="DEEP CHAND ARYA INDUSTRIES, DELHI"/>
    <x v="2"/>
    <d v="2017-01-05T00:00:00"/>
    <n v="1"/>
    <x v="0"/>
    <n v="28.6"/>
    <n v="56000"/>
    <n v="1601600"/>
    <n v="0"/>
    <n v="0"/>
    <n v="0"/>
    <n v="0"/>
    <n v="1601600"/>
    <n v="0"/>
    <n v="0"/>
    <n v="1601600"/>
    <n v="28.6"/>
  </r>
  <r>
    <s v="SIDDHARTH OILS, LUDHIANA (P.B)"/>
    <x v="2"/>
    <d v="2017-01-05T00:00:00"/>
    <n v="1"/>
    <x v="0"/>
    <n v="29.76"/>
    <n v="55200"/>
    <n v="1642752"/>
    <n v="0"/>
    <n v="0"/>
    <n v="0"/>
    <n v="0"/>
    <n v="1642752"/>
    <n v="0"/>
    <n v="0"/>
    <n v="1642752"/>
    <n v="29.76"/>
  </r>
  <r>
    <s v="HINDUSTAN OIL TRADERS, AMRITSAR (P.B) "/>
    <x v="2"/>
    <d v="2017-01-05T00:00:00"/>
    <n v="1"/>
    <x v="0"/>
    <n v="30.95"/>
    <n v="55558.97"/>
    <n v="1719550.1214999999"/>
    <n v="0"/>
    <n v="0"/>
    <n v="0"/>
    <n v="0"/>
    <n v="1719550.1214999999"/>
    <n v="0"/>
    <n v="0"/>
    <n v="1719550.1214999999"/>
    <n v="30.95"/>
  </r>
  <r>
    <s v="PUNJAB OILS, AMRITSAR (P.B) "/>
    <x v="2"/>
    <d v="2017-01-08T00:00:00"/>
    <n v="1"/>
    <x v="1"/>
    <n v="19.899999999999999"/>
    <n v="59000"/>
    <n v="1174100"/>
    <n v="0"/>
    <n v="0"/>
    <n v="0"/>
    <n v="0"/>
    <n v="1174100"/>
    <n v="0"/>
    <n v="0"/>
    <n v="1174100"/>
    <n v="19.899999999999999"/>
  </r>
  <r>
    <s v="PUNJAB OILS, AMRITSAR (P.B) "/>
    <x v="2"/>
    <d v="2017-01-08T00:00:00"/>
    <n v="1"/>
    <x v="1"/>
    <n v="19.399999999999999"/>
    <n v="59000"/>
    <n v="1144600"/>
    <n v="0"/>
    <n v="0"/>
    <n v="0"/>
    <n v="0"/>
    <n v="1144600"/>
    <n v="0"/>
    <n v="0"/>
    <n v="1144600"/>
    <n v="19.399999999999999"/>
  </r>
  <r>
    <s v="DEEP CHAND ARYA INDUSTRIES, DELHI"/>
    <x v="2"/>
    <d v="2017-01-08T00:00:00"/>
    <n v="1"/>
    <x v="1"/>
    <n v="35.700000000000003"/>
    <n v="57419.05"/>
    <n v="2049860.0850000002"/>
    <n v="0"/>
    <n v="0"/>
    <n v="0"/>
    <n v="0"/>
    <n v="2049860.0850000002"/>
    <n v="0"/>
    <n v="0"/>
    <n v="2049860.0850000002"/>
    <n v="35.700000000000003"/>
  </r>
  <r>
    <s v="HARKARAN DASS VEDPAL, NOIDA (U.P)"/>
    <x v="3"/>
    <d v="2017-01-10T00:00:00"/>
    <n v="1"/>
    <x v="1"/>
    <n v="19.72"/>
    <n v="55500"/>
    <n v="1094460"/>
    <n v="0"/>
    <n v="0"/>
    <n v="0"/>
    <n v="0"/>
    <n v="1094460"/>
    <n v="0"/>
    <n v="0"/>
    <n v="1094460"/>
    <n v="19.72"/>
  </r>
  <r>
    <s v="JAI BHAGWATI AGRO OILS , LUDHIANA (P.B)"/>
    <x v="3"/>
    <d v="2017-01-10T00:00:00"/>
    <n v="1"/>
    <x v="1"/>
    <n v="24.56"/>
    <n v="56000"/>
    <n v="1375360"/>
    <n v="0"/>
    <n v="0"/>
    <n v="0"/>
    <n v="0"/>
    <n v="1375360"/>
    <n v="0"/>
    <n v="0"/>
    <n v="1375360"/>
    <n v="24.56"/>
  </r>
  <r>
    <s v="JAI BHAGWATI AGRO OILS , LUDHIANA (P.B)"/>
    <x v="3"/>
    <d v="2017-01-10T00:00:00"/>
    <n v="1"/>
    <x v="1"/>
    <n v="24.45"/>
    <n v="56000"/>
    <n v="1369200"/>
    <n v="0"/>
    <n v="0"/>
    <n v="0"/>
    <n v="0"/>
    <n v="1369200"/>
    <n v="0"/>
    <n v="0"/>
    <n v="1369200"/>
    <n v="24.45"/>
  </r>
  <r>
    <s v="ASIAN FOOD INGREDIENTS SDN.BHD.,MALAYSIA"/>
    <x v="1"/>
    <d v="2017-01-11T00:00:00"/>
    <n v="1"/>
    <x v="1"/>
    <n v="20.12"/>
    <n v="75230.100000000006"/>
    <n v="1513629.6120000002"/>
    <n v="0"/>
    <n v="189203.70150000002"/>
    <n v="3784.0740300000007"/>
    <n v="1892.0370150000003"/>
    <n v="1708509.4245450001"/>
    <n v="0"/>
    <n v="156868.37698180001"/>
    <n v="1865377.8015268"/>
    <n v="20.12"/>
  </r>
  <r>
    <s v="ASIAN FOOD INGREDIENTS SDN.BHD.,MALAYSIA"/>
    <x v="1"/>
    <d v="2017-01-11T00:00:00"/>
    <n v="1"/>
    <x v="1"/>
    <n v="20.079999999999998"/>
    <n v="75230.100000000006"/>
    <n v="1510620.4080000001"/>
    <n v="0"/>
    <n v="188827.55100000001"/>
    <n v="3776.5510200000003"/>
    <n v="1888.2755100000002"/>
    <n v="1705112.78553"/>
    <n v="0"/>
    <n v="156556.5114212"/>
    <n v="1861669.2969511999"/>
    <n v="20.079999999999998"/>
  </r>
  <r>
    <s v="ASIAN FOOD INGREDIENTS SDN.BHD.,MALAYSIA"/>
    <x v="1"/>
    <d v="2017-01-11T00:00:00"/>
    <n v="1"/>
    <x v="1"/>
    <n v="19.95"/>
    <n v="75230.100000000006"/>
    <n v="1500840.4950000001"/>
    <n v="0"/>
    <n v="187605.06187500001"/>
    <n v="3752.1012375000005"/>
    <n v="1876.0506187500002"/>
    <n v="1694073.7087312504"/>
    <n v="0"/>
    <n v="155542.94834925001"/>
    <n v="1849616.6570805004"/>
    <n v="19.95"/>
  </r>
  <r>
    <s v="ADANI WILMAR LIMITED,KUTCH, GUJARAT"/>
    <x v="4"/>
    <d v="2017-01-11T00:00:00"/>
    <n v="1"/>
    <x v="1"/>
    <n v="33.28"/>
    <n v="62000"/>
    <n v="2063360"/>
    <n v="0"/>
    <n v="257920"/>
    <n v="0"/>
    <n v="0"/>
    <n v="2321280"/>
    <n v="46425.599999999999"/>
    <n v="106496"/>
    <n v="2474201.6"/>
    <n v="33.28"/>
  </r>
  <r>
    <s v="ADANI WILMAR LIMITED,KUTCH, GUJARAT"/>
    <x v="4"/>
    <d v="2017-01-11T00:00:00"/>
    <n v="1"/>
    <x v="1"/>
    <n v="32.130000000000003"/>
    <n v="62000"/>
    <n v="1992060.0000000002"/>
    <n v="0"/>
    <n v="249007.50000000003"/>
    <n v="0"/>
    <n v="0"/>
    <n v="2241067.5000000005"/>
    <n v="44821.350000000013"/>
    <n v="102816.00000000001"/>
    <n v="2388704.8500000006"/>
    <n v="32.130000000000003"/>
  </r>
  <r>
    <s v="RICELA HEALTH FOODS LIMITED, DHURI (P.B)"/>
    <x v="5"/>
    <d v="2017-01-11T00:00:00"/>
    <n v="1"/>
    <x v="1"/>
    <n v="29.38"/>
    <n v="50980.4"/>
    <n v="1497804.152"/>
    <n v="0"/>
    <n v="0"/>
    <n v="0"/>
    <n v="0"/>
    <n v="1497804.152"/>
    <n v="29956.083040000001"/>
    <n v="0"/>
    <n v="1527760.2350399999"/>
    <n v="29.38"/>
  </r>
  <r>
    <s v="DEEPCHAND ARYA INDUSTRIES, DADRI (U.P)"/>
    <x v="3"/>
    <d v="2017-01-11T00:00:00"/>
    <n v="1"/>
    <x v="1"/>
    <n v="26.27"/>
    <n v="55872.47"/>
    <n v="1467769.7868999999"/>
    <n v="0"/>
    <n v="0"/>
    <n v="0"/>
    <n v="0"/>
    <n v="1467769.7868999999"/>
    <n v="0"/>
    <n v="0"/>
    <n v="1467769.7868999999"/>
    <n v="26.27"/>
  </r>
  <r>
    <s v="PUNJAB OILS, AMRITSAR (P.B) "/>
    <x v="2"/>
    <d v="2017-01-12T00:00:00"/>
    <n v="1"/>
    <x v="1"/>
    <n v="21.77"/>
    <n v="59000"/>
    <n v="1284430"/>
    <n v="0"/>
    <n v="0"/>
    <n v="0"/>
    <n v="0"/>
    <n v="1284430"/>
    <n v="0"/>
    <n v="0"/>
    <n v="1284430"/>
    <n v="21.77"/>
  </r>
  <r>
    <s v="AMRITSAR OIL TRADERS, AMRITSAR (P.B) "/>
    <x v="2"/>
    <d v="2017-01-14T00:00:00"/>
    <n v="1"/>
    <x v="1"/>
    <n v="28.87"/>
    <n v="56000"/>
    <n v="1616720"/>
    <n v="0"/>
    <n v="0"/>
    <n v="0"/>
    <n v="0"/>
    <n v="1616720"/>
    <n v="0"/>
    <n v="0"/>
    <n v="1616720"/>
    <n v="28.87"/>
  </r>
  <r>
    <s v="RICELA HEALTH FOODS LIMITED, DHURI (P.B)"/>
    <x v="5"/>
    <d v="2017-01-14T00:00:00"/>
    <n v="1"/>
    <x v="1"/>
    <n v="29.13"/>
    <n v="50980.4"/>
    <n v="1485059.0519999999"/>
    <n v="0"/>
    <n v="0"/>
    <n v="0"/>
    <n v="0"/>
    <n v="1485059.0519999999"/>
    <n v="29701.181039999999"/>
    <n v="0"/>
    <n v="1514760.2330399998"/>
    <n v="29.13"/>
  </r>
  <r>
    <s v="ADANI WILMAR LIMITED,KUTCH, GUJARAT"/>
    <x v="4"/>
    <d v="2017-01-16T00:00:00"/>
    <n v="1"/>
    <x v="2"/>
    <n v="32.799999999999997"/>
    <n v="62000"/>
    <n v="2033599.9999999998"/>
    <n v="0"/>
    <n v="254199.99999999997"/>
    <n v="0"/>
    <n v="0"/>
    <n v="2287799.9999999995"/>
    <n v="45755.999999999993"/>
    <n v="104959.99999999999"/>
    <n v="2438515.9999999995"/>
    <n v="32.799999999999997"/>
  </r>
  <r>
    <s v="ADANI WILMAR LIMITED,KUTCH, GUJARAT"/>
    <x v="4"/>
    <d v="2017-01-16T00:00:00"/>
    <n v="1"/>
    <x v="2"/>
    <n v="26.33"/>
    <n v="62000"/>
    <n v="1632460"/>
    <n v="0"/>
    <n v="204057.5"/>
    <n v="0"/>
    <n v="0"/>
    <n v="1836517.5"/>
    <n v="36730.35"/>
    <n v="84256"/>
    <n v="1957503.85"/>
    <n v="26.33"/>
  </r>
  <r>
    <s v="ADANI WILMAR LIMITED,KUTCH, GUJARAT"/>
    <x v="4"/>
    <d v="2017-01-16T00:00:00"/>
    <n v="1"/>
    <x v="2"/>
    <n v="26.95"/>
    <n v="62000"/>
    <n v="1670900"/>
    <n v="0"/>
    <n v="208862.5"/>
    <n v="0"/>
    <n v="0"/>
    <n v="1879762.5"/>
    <n v="37595.25"/>
    <n v="86240"/>
    <n v="2003597.75"/>
    <n v="26.95"/>
  </r>
  <r>
    <s v="RICELA HEALTH FOODS LIMITED, DHURI (P.B)"/>
    <x v="5"/>
    <d v="2017-01-30T00:00:00"/>
    <n v="1"/>
    <x v="3"/>
    <n v="27.96"/>
    <n v="50980.4"/>
    <n v="1425411.9840000002"/>
    <n v="0"/>
    <n v="0"/>
    <n v="0"/>
    <n v="0"/>
    <n v="1425411.9840000002"/>
    <n v="28508.239680000002"/>
    <n v="0"/>
    <n v="1453920.2236800003"/>
    <n v="27.96"/>
  </r>
  <r>
    <s v="KABALEESWARAR TRADERS, SULEESWARANPATTI-POLLACHI (T.N)"/>
    <x v="0"/>
    <d v="2017-01-16T00:00:00"/>
    <n v="1"/>
    <x v="2"/>
    <n v="19.579999999999998"/>
    <n v="109310"/>
    <n v="2140289.7999999998"/>
    <n v="0"/>
    <n v="0"/>
    <n v="0"/>
    <n v="0"/>
    <n v="2140289.7999999998"/>
    <n v="42805.795999999995"/>
    <n v="0"/>
    <n v="2183095.5959999999"/>
    <n v="19.579999999999998"/>
  </r>
  <r>
    <s v="HARKARAN DASS VEDPAL, LUDHIANA (P.B)"/>
    <x v="2"/>
    <d v="2017-01-17T00:00:00"/>
    <n v="1"/>
    <x v="2"/>
    <n v="30.05"/>
    <n v="59000"/>
    <n v="1772950"/>
    <n v="0"/>
    <n v="0"/>
    <n v="0"/>
    <n v="0"/>
    <n v="1772950"/>
    <n v="0"/>
    <n v="0"/>
    <n v="1772950"/>
    <n v="30.05"/>
  </r>
  <r>
    <s v="HARKARAN DASS VEDPAL, LUDHIANA (P.B)"/>
    <x v="2"/>
    <d v="2017-01-17T00:00:00"/>
    <n v="1"/>
    <x v="2"/>
    <n v="29.55"/>
    <n v="59000"/>
    <n v="1743450"/>
    <n v="0"/>
    <n v="0"/>
    <n v="0"/>
    <n v="0"/>
    <n v="1743450"/>
    <n v="0"/>
    <n v="0"/>
    <n v="1743450"/>
    <n v="29.55"/>
  </r>
  <r>
    <s v="PUNJAB OILS, AMRITSAR (P.B) "/>
    <x v="2"/>
    <d v="2017-01-17T00:00:00"/>
    <n v="1"/>
    <x v="2"/>
    <n v="25.89"/>
    <n v="59000"/>
    <n v="1527510"/>
    <n v="0"/>
    <n v="0"/>
    <n v="0"/>
    <n v="0"/>
    <n v="1527510"/>
    <n v="0"/>
    <n v="0"/>
    <n v="1527510"/>
    <n v="25.89"/>
  </r>
  <r>
    <s v="M.D. TRADING CO., LUDHIANA (P.B)"/>
    <x v="2"/>
    <d v="2017-01-17T00:00:00"/>
    <n v="1"/>
    <x v="2"/>
    <n v="28.66"/>
    <n v="56300"/>
    <n v="1613558"/>
    <n v="0"/>
    <n v="0"/>
    <n v="0"/>
    <n v="0"/>
    <n v="1613558"/>
    <n v="0"/>
    <n v="0"/>
    <n v="1613558"/>
    <n v="28.66"/>
  </r>
  <r>
    <s v="ASIAN FOOD INGREDIENTS SDN.BHD.,MALAYSIA"/>
    <x v="1"/>
    <d v="2017-01-18T00:00:00"/>
    <n v="1"/>
    <x v="2"/>
    <n v="21.05"/>
    <n v="75394.48"/>
    <n v="1587053.804"/>
    <n v="0"/>
    <n v="198381.7255"/>
    <n v="3967.6345100000003"/>
    <n v="1983.8172550000002"/>
    <n v="1791386.9812649998"/>
    <n v="0"/>
    <n v="164275.47925059998"/>
    <n v="1955662.4605155997"/>
    <n v="21.05"/>
  </r>
  <r>
    <s v="ASIAN FOOD INGREDIENTS SDN.BHD.,MALAYSIA"/>
    <x v="1"/>
    <d v="2017-01-18T00:00:00"/>
    <n v="1"/>
    <x v="2"/>
    <n v="21.02"/>
    <n v="75394.48"/>
    <n v="1584791.9696"/>
    <n v="0"/>
    <n v="198098.99619999999"/>
    <n v="3961.9799239999998"/>
    <n v="1980.9899619999999"/>
    <n v="1788833.9356859999"/>
    <n v="0"/>
    <n v="164041.35742744"/>
    <n v="1952875.2931134398"/>
    <n v="21.02"/>
  </r>
  <r>
    <s v="SKM ANIMAL FEEDS AND FOODS(INDIA)PVT LTD,ERODE (T.N)."/>
    <x v="6"/>
    <d v="2017-01-18T00:00:00"/>
    <n v="1"/>
    <x v="2"/>
    <n v="20.03"/>
    <n v="108823.53"/>
    <n v="2179735.3059"/>
    <n v="0"/>
    <n v="0"/>
    <n v="0"/>
    <n v="0"/>
    <n v="2179735.3059"/>
    <n v="43594.706118000002"/>
    <n v="0"/>
    <n v="2223330.0120180002"/>
    <n v="20.03"/>
  </r>
  <r>
    <s v="HINDUSTAN OIL TRADERS, AMRITSAR (P.B) "/>
    <x v="2"/>
    <d v="2017-01-18T00:00:00"/>
    <n v="1"/>
    <x v="2"/>
    <n v="25.64"/>
    <n v="56000"/>
    <n v="1435840"/>
    <n v="0"/>
    <n v="0"/>
    <n v="0"/>
    <n v="0"/>
    <n v="1435840"/>
    <n v="0"/>
    <n v="0"/>
    <n v="1435840"/>
    <n v="25.64"/>
  </r>
  <r>
    <s v="ASIAN FOOD INGREDIENTS SDN.BHD.,MALAYSIA"/>
    <x v="1"/>
    <d v="2017-01-19T00:00:00"/>
    <n v="1"/>
    <x v="2"/>
    <n v="20.96"/>
    <n v="75394.48"/>
    <n v="1580268.3008000001"/>
    <n v="0"/>
    <n v="197533.53760000001"/>
    <n v="3950.6707520000004"/>
    <n v="1975.3353760000002"/>
    <n v="1783727.8445280001"/>
    <n v="0"/>
    <n v="163573.11378111999"/>
    <n v="1947300.95830912"/>
    <n v="20.96"/>
  </r>
  <r>
    <s v="M.D. TRADING CO., LUDHIANA (P.B)"/>
    <x v="2"/>
    <d v="2017-01-19T00:00:00"/>
    <n v="1"/>
    <x v="2"/>
    <n v="27.27"/>
    <n v="55885.599999999999"/>
    <n v="1524000.3119999999"/>
    <n v="0"/>
    <n v="0"/>
    <n v="0"/>
    <n v="0"/>
    <n v="1524000.3119999999"/>
    <n v="0"/>
    <n v="0"/>
    <n v="1524000.3119999999"/>
    <n v="27.27"/>
  </r>
  <r>
    <s v="ASIAN FOOD INGREDIENTS SDN.BHD.,MALAYSIA"/>
    <x v="1"/>
    <d v="2017-01-20T00:00:00"/>
    <n v="1"/>
    <x v="2"/>
    <n v="21.01"/>
    <n v="75394.48"/>
    <n v="1584038.0248"/>
    <n v="0"/>
    <n v="198004.7531"/>
    <n v="3960.0950620000003"/>
    <n v="1980.0475310000002"/>
    <n v="1787982.9204930002"/>
    <n v="0"/>
    <n v="163963.31681972003"/>
    <n v="1951946.2373127202"/>
    <n v="21.01"/>
  </r>
  <r>
    <s v="RICELA HEALTH FOODS LIMITED, DHURI (P.B)"/>
    <x v="5"/>
    <d v="2017-01-22T00:00:00"/>
    <n v="1"/>
    <x v="4"/>
    <n v="28.37"/>
    <n v="50980.4"/>
    <n v="1446313.9480000001"/>
    <n v="0"/>
    <n v="0"/>
    <n v="0"/>
    <n v="0"/>
    <n v="1446313.9480000001"/>
    <n v="28926.278960000003"/>
    <n v="0"/>
    <n v="1475240.2269600001"/>
    <n v="28.37"/>
  </r>
  <r>
    <s v="SIDDHARTH OILS, LUDHIANA (P.B)"/>
    <x v="3"/>
    <d v="2017-01-24T00:00:00"/>
    <n v="1"/>
    <x v="4"/>
    <n v="27.8"/>
    <n v="56526.06"/>
    <n v="1571424.4679999999"/>
    <n v="0"/>
    <n v="0"/>
    <n v="0"/>
    <n v="0"/>
    <n v="1571424.4679999999"/>
    <n v="0"/>
    <n v="0"/>
    <n v="1571424.4679999999"/>
    <n v="27.8"/>
  </r>
  <r>
    <s v="RICELA HEALTH FOODS LIMITED, DHURI (P.B)"/>
    <x v="5"/>
    <d v="2017-01-24T00:00:00"/>
    <n v="1"/>
    <x v="4"/>
    <n v="30.05"/>
    <n v="50980.4"/>
    <n v="1531961.02"/>
    <n v="0"/>
    <n v="0"/>
    <n v="0"/>
    <n v="0"/>
    <n v="1531961.02"/>
    <n v="30639.220400000002"/>
    <n v="0"/>
    <n v="1562600.2404"/>
    <n v="30.05"/>
  </r>
  <r>
    <s v="PUNJAB OILS, AMRITSAR (P.B) "/>
    <x v="2"/>
    <d v="2017-01-25T00:00:00"/>
    <n v="1"/>
    <x v="4"/>
    <n v="30.43"/>
    <n v="58475.1"/>
    <n v="1779397.2929999998"/>
    <n v="0"/>
    <n v="0"/>
    <n v="0"/>
    <n v="0"/>
    <n v="1779397.2929999998"/>
    <n v="0"/>
    <n v="0"/>
    <n v="1779397.2929999998"/>
    <n v="30.43"/>
  </r>
  <r>
    <s v="DEEP CHAND ARYA INDUSTRIES, DELHI"/>
    <x v="3"/>
    <d v="2017-01-27T00:00:00"/>
    <n v="1"/>
    <x v="4"/>
    <n v="24.9"/>
    <n v="56350"/>
    <n v="1403115"/>
    <n v="0"/>
    <n v="0"/>
    <n v="0"/>
    <n v="0"/>
    <n v="1403115"/>
    <n v="0"/>
    <n v="0"/>
    <n v="1403115"/>
    <n v="24.9"/>
  </r>
  <r>
    <s v="SIDDHARTH OILS, LUDHIANA (P.B)"/>
    <x v="2"/>
    <d v="2017-01-28T00:00:00"/>
    <n v="1"/>
    <x v="4"/>
    <n v="19.88"/>
    <n v="55500"/>
    <n v="1103340"/>
    <n v="0"/>
    <n v="0"/>
    <n v="0"/>
    <n v="0"/>
    <n v="1103340"/>
    <n v="0"/>
    <n v="0"/>
    <n v="1103340"/>
    <n v="19.88"/>
  </r>
  <r>
    <s v="SKM ANIMAL FEEDS AND FOODS(INDIA)PVT LTD,ERODE (T.N)."/>
    <x v="6"/>
    <d v="2017-01-16T00:00:00"/>
    <n v="1"/>
    <x v="2"/>
    <n v="19.920000000000002"/>
    <n v="108823.53"/>
    <n v="2167764.7176000001"/>
    <n v="0"/>
    <n v="0"/>
    <n v="0"/>
    <n v="0"/>
    <n v="2167764.7176000001"/>
    <n v="43355.294352000004"/>
    <n v="0"/>
    <n v="2211120.0119520002"/>
    <n v="19.920000000000002"/>
  </r>
  <r>
    <s v="SURUCHI REFINERY PRIVATE LTD., PALADAM- COIMBATORE"/>
    <x v="6"/>
    <d v="2017-01-25T00:00:00"/>
    <n v="1"/>
    <x v="4"/>
    <n v="24.71"/>
    <n v="110784.3"/>
    <n v="2737480.0530000003"/>
    <n v="0"/>
    <n v="0"/>
    <n v="0"/>
    <n v="0"/>
    <n v="2737480.0530000003"/>
    <n v="54749.601060000008"/>
    <n v="0"/>
    <n v="2792229.6540600001"/>
    <n v="24.71"/>
  </r>
  <r>
    <s v="SURUCHI REFINERY PRIVATE LTD., PALADAM- COIMBATORE"/>
    <x v="6"/>
    <d v="2017-01-25T00:00:00"/>
    <n v="1"/>
    <x v="4"/>
    <n v="25.13"/>
    <n v="110784.3"/>
    <n v="2784009.4589999998"/>
    <n v="0"/>
    <n v="0"/>
    <n v="0"/>
    <n v="0"/>
    <n v="2784009.4589999998"/>
    <n v="55680.189179999994"/>
    <n v="0"/>
    <n v="2839689.64818"/>
    <n v="25.13"/>
  </r>
  <r>
    <s v="SURUCHI REFINERY PRIVATE LTD., PALADAM- COIMBATORE"/>
    <x v="6"/>
    <d v="2017-01-28T00:00:00"/>
    <n v="1"/>
    <x v="4"/>
    <n v="24.85"/>
    <n v="110784.3"/>
    <n v="2752989.8550000004"/>
    <n v="0"/>
    <n v="0"/>
    <n v="0"/>
    <n v="0"/>
    <n v="2752989.8550000004"/>
    <n v="55059.797100000011"/>
    <n v="0"/>
    <n v="2808049.6521000005"/>
    <n v="24.85"/>
  </r>
  <r>
    <s v="SURUCHI REFINERY PRIVATE LTD., PALADAM- COIMBATORE"/>
    <x v="6"/>
    <d v="2017-01-29T00:00:00"/>
    <n v="1"/>
    <x v="3"/>
    <n v="24.03"/>
    <n v="110784.3"/>
    <n v="2662146.7290000003"/>
    <n v="0"/>
    <n v="0"/>
    <n v="0"/>
    <n v="0"/>
    <n v="2662146.7290000003"/>
    <n v="53242.934580000008"/>
    <n v="0"/>
    <n v="2715389.6635800004"/>
    <n v="24.0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64">
  <r>
    <s v="DEEP CHAND ARYA INDUSTRIES, DELHI"/>
    <x v="0"/>
    <d v="2017-02-02T00:00:00"/>
    <n v="2"/>
    <x v="0"/>
    <n v="19.72"/>
    <n v="56350"/>
    <n v="1111222"/>
    <n v="0"/>
    <n v="0"/>
    <n v="0"/>
    <n v="0"/>
    <n v="1111222"/>
    <n v="0"/>
    <n v="0"/>
    <n v="1111222"/>
    <n v="19.72"/>
  </r>
  <r>
    <s v="AMRITSAR OIL TRADERS, AMRITSAR (P.B) "/>
    <x v="0"/>
    <d v="2017-02-04T00:00:00"/>
    <n v="2"/>
    <x v="0"/>
    <n v="20.04"/>
    <n v="56350"/>
    <n v="1129254"/>
    <n v="0"/>
    <n v="0"/>
    <n v="0"/>
    <n v="0"/>
    <n v="1129254"/>
    <n v="0"/>
    <n v="0"/>
    <n v="1129254"/>
    <n v="20.04"/>
  </r>
  <r>
    <s v="AMRITSAR OIL TRADERS, AMRITSAR (P.B) "/>
    <x v="0"/>
    <d v="2017-02-04T00:00:00"/>
    <n v="2"/>
    <x v="0"/>
    <n v="19.84"/>
    <n v="53807.3"/>
    <n v="1067536.8319999999"/>
    <n v="0"/>
    <n v="0"/>
    <n v="0"/>
    <n v="0"/>
    <n v="1067536.8319999999"/>
    <n v="0"/>
    <n v="0"/>
    <n v="1067536.8319999999"/>
    <n v="19.84"/>
  </r>
  <r>
    <s v="RICELA HEALTH FOODS LIMITED, DHURI (P.B)"/>
    <x v="1"/>
    <d v="2017-02-04T00:00:00"/>
    <n v="2"/>
    <x v="0"/>
    <n v="27.72"/>
    <n v="50490.2"/>
    <n v="1399588.3439999998"/>
    <n v="0"/>
    <n v="0"/>
    <n v="0"/>
    <n v="0"/>
    <n v="1399588.3439999998"/>
    <n v="27991.766879999996"/>
    <n v="0"/>
    <n v="1427580.1108799998"/>
    <n v="27.72"/>
  </r>
  <r>
    <s v="SIDDHARTH OILS, LUDHIANA (P.B)"/>
    <x v="2"/>
    <d v="2017-02-05T00:00:00"/>
    <n v="2"/>
    <x v="1"/>
    <n v="27.83"/>
    <n v="56000"/>
    <n v="1558480"/>
    <n v="0"/>
    <n v="0"/>
    <n v="0"/>
    <n v="0"/>
    <n v="1558480"/>
    <n v="0"/>
    <n v="0"/>
    <n v="1558480"/>
    <n v="27.83"/>
  </r>
  <r>
    <s v="SIDDHARTH OILS, LUDHIANA (P.B)"/>
    <x v="2"/>
    <d v="2017-02-05T00:00:00"/>
    <n v="2"/>
    <x v="1"/>
    <n v="27.95"/>
    <n v="55210.7"/>
    <n v="1543139.0649999999"/>
    <n v="0"/>
    <n v="0"/>
    <n v="0"/>
    <n v="0"/>
    <n v="1543139.0649999999"/>
    <n v="0"/>
    <n v="0"/>
    <n v="1543139.0649999999"/>
    <n v="27.95"/>
  </r>
  <r>
    <s v="HARKARAN DASS VEDPAL, LUDHIANA (P.B)"/>
    <x v="0"/>
    <d v="2017-02-05T00:00:00"/>
    <n v="2"/>
    <x v="1"/>
    <n v="28.14"/>
    <n v="56350"/>
    <n v="1585689"/>
    <n v="0"/>
    <n v="0"/>
    <n v="0"/>
    <n v="0"/>
    <n v="1585689"/>
    <n v="0"/>
    <n v="0"/>
    <n v="1585689"/>
    <n v="28.14"/>
  </r>
  <r>
    <s v="RICELA HEALTH FOODS LIMITED, DHURI (P.B)"/>
    <x v="1"/>
    <d v="2017-02-05T00:00:00"/>
    <n v="2"/>
    <x v="1"/>
    <n v="26.65"/>
    <n v="50490.2"/>
    <n v="1345563.8299999998"/>
    <n v="0"/>
    <n v="0"/>
    <n v="0"/>
    <n v="0"/>
    <n v="1345563.8299999998"/>
    <n v="26911.276599999997"/>
    <n v="0"/>
    <n v="1372475.1065999998"/>
    <n v="26.65"/>
  </r>
  <r>
    <s v="HARKARAN DASS VEDPAL, LUDHIANA (P.B)"/>
    <x v="2"/>
    <d v="2017-02-06T00:00:00"/>
    <n v="2"/>
    <x v="1"/>
    <n v="29.83"/>
    <n v="57500"/>
    <n v="1715225"/>
    <n v="0"/>
    <n v="0"/>
    <n v="0"/>
    <n v="0"/>
    <n v="1715225"/>
    <n v="0"/>
    <n v="0"/>
    <n v="1715225"/>
    <n v="29.83"/>
  </r>
  <r>
    <s v="RICELA HEALTH FOODS LIMITED, DHURI (P.B)"/>
    <x v="1"/>
    <d v="2017-02-07T00:00:00"/>
    <n v="2"/>
    <x v="1"/>
    <n v="29.18"/>
    <n v="50490.2"/>
    <n v="1473304.0359999998"/>
    <n v="0"/>
    <n v="0"/>
    <n v="0"/>
    <n v="0"/>
    <n v="1473304.0359999998"/>
    <n v="29466.080719999998"/>
    <n v="0"/>
    <n v="1502770.1167199998"/>
    <n v="29.18"/>
  </r>
  <r>
    <s v="RICELA HEALTH FOODS LIMITED, DHURI (P.B)"/>
    <x v="1"/>
    <d v="2017-02-08T00:00:00"/>
    <n v="2"/>
    <x v="1"/>
    <n v="30.37"/>
    <n v="50490.2"/>
    <n v="1533387.3740000001"/>
    <n v="0"/>
    <n v="0"/>
    <n v="0"/>
    <n v="0"/>
    <n v="1533387.3740000001"/>
    <n v="30667.747480000002"/>
    <n v="0"/>
    <n v="1564055.12148"/>
    <n v="30.37"/>
  </r>
  <r>
    <s v="RICELA HEALTH FOODS LIMITED, DHURI (P.B)"/>
    <x v="1"/>
    <d v="2017-02-08T00:00:00"/>
    <n v="2"/>
    <x v="1"/>
    <n v="30.02"/>
    <n v="50490.2"/>
    <n v="1515715.804"/>
    <n v="0"/>
    <n v="0"/>
    <n v="0"/>
    <n v="0"/>
    <n v="1515715.804"/>
    <n v="30314.316080000001"/>
    <n v="0"/>
    <n v="1546030.12008"/>
    <n v="30.02"/>
  </r>
  <r>
    <s v="HARKARAN DASS VEDPAL, LUDHIANA (P.B)"/>
    <x v="2"/>
    <d v="2017-02-08T00:00:00"/>
    <n v="2"/>
    <x v="1"/>
    <n v="29.05"/>
    <n v="58873.15"/>
    <n v="1710265.0075000001"/>
    <n v="0"/>
    <n v="0"/>
    <n v="0"/>
    <n v="0"/>
    <n v="1710265.0075000001"/>
    <n v="0"/>
    <n v="0"/>
    <n v="1710265.0075000001"/>
    <n v="29.05"/>
  </r>
  <r>
    <s v="HARKARAN DASS VEDPAL, LUDHIANA (P.B)"/>
    <x v="2"/>
    <d v="2017-02-08T00:00:00"/>
    <n v="2"/>
    <x v="1"/>
    <n v="19.8"/>
    <n v="59500"/>
    <n v="1178100"/>
    <n v="0"/>
    <n v="0"/>
    <n v="0"/>
    <n v="0"/>
    <n v="1178100"/>
    <n v="0"/>
    <n v="0"/>
    <n v="1178100"/>
    <n v="19.8"/>
  </r>
  <r>
    <s v="HARKARAN DASS VEDPAL, LUDHIANA (P.B)"/>
    <x v="2"/>
    <d v="2017-02-08T00:00:00"/>
    <n v="2"/>
    <x v="1"/>
    <n v="19.95"/>
    <n v="59500"/>
    <n v="1187025"/>
    <n v="0"/>
    <n v="0"/>
    <n v="0"/>
    <n v="0"/>
    <n v="1187025"/>
    <n v="0"/>
    <n v="0"/>
    <n v="1187025"/>
    <n v="19.95"/>
  </r>
  <r>
    <s v="PUNJAB OILS, AMRITSAR (P.B) "/>
    <x v="2"/>
    <d v="2017-02-09T00:00:00"/>
    <n v="2"/>
    <x v="1"/>
    <n v="27.06"/>
    <n v="59500"/>
    <n v="1610070"/>
    <n v="0"/>
    <n v="0"/>
    <n v="0"/>
    <n v="0"/>
    <n v="1610070"/>
    <n v="0"/>
    <n v="0"/>
    <n v="1610070"/>
    <n v="27.06"/>
  </r>
  <r>
    <s v="DEEP CHAND ARYA INDUSTRIES, DELHI"/>
    <x v="2"/>
    <d v="2017-02-10T00:00:00"/>
    <n v="2"/>
    <x v="1"/>
    <n v="27.24"/>
    <n v="59000"/>
    <n v="1607160"/>
    <n v="0"/>
    <n v="0"/>
    <n v="0"/>
    <n v="0"/>
    <n v="1607160"/>
    <n v="0"/>
    <n v="0"/>
    <n v="1607160"/>
    <n v="27.24"/>
  </r>
  <r>
    <s v="RICELA HEALTH FOODS LIMITED, DHURI (P.B)"/>
    <x v="1"/>
    <d v="2017-02-10T00:00:00"/>
    <n v="2"/>
    <x v="1"/>
    <n v="28.73"/>
    <n v="50490.2"/>
    <n v="1450583.446"/>
    <n v="0"/>
    <n v="0"/>
    <n v="0"/>
    <n v="0"/>
    <n v="1450583.446"/>
    <n v="29011.66892"/>
    <n v="0"/>
    <n v="1479595.1149200001"/>
    <n v="28.73"/>
  </r>
  <r>
    <s v="RICELA HEALTH FOODS LIMITED, DHURI (P.B)"/>
    <x v="1"/>
    <d v="2017-02-11T00:00:00"/>
    <n v="2"/>
    <x v="1"/>
    <n v="28.29"/>
    <n v="50490.2"/>
    <n v="1428367.7579999999"/>
    <n v="0"/>
    <n v="0"/>
    <n v="0"/>
    <n v="0"/>
    <n v="1428367.7579999999"/>
    <n v="28567.355159999999"/>
    <n v="0"/>
    <n v="1456935.1131599999"/>
    <n v="28.29"/>
  </r>
  <r>
    <s v="AMRITSAR OIL TRADERS, AMRITSAR (P.B) "/>
    <x v="0"/>
    <d v="2017-02-11T00:00:00"/>
    <n v="2"/>
    <x v="1"/>
    <n v="19.739999999999998"/>
    <n v="56350"/>
    <n v="1112349"/>
    <n v="0"/>
    <n v="0"/>
    <n v="0"/>
    <n v="0"/>
    <n v="1112349"/>
    <n v="0"/>
    <n v="0"/>
    <n v="1112349"/>
    <n v="19.739999999999998"/>
  </r>
  <r>
    <s v="PUNJAB OILS, AMRITSAR (P.B) "/>
    <x v="2"/>
    <d v="2017-02-11T00:00:00"/>
    <n v="2"/>
    <x v="1"/>
    <n v="19.100000000000001"/>
    <n v="59379.89"/>
    <n v="1134155.899"/>
    <n v="0"/>
    <n v="0"/>
    <n v="0"/>
    <n v="0"/>
    <n v="1134155.899"/>
    <n v="0"/>
    <n v="0"/>
    <n v="1134155.899"/>
    <n v="19.100000000000001"/>
  </r>
  <r>
    <s v="AMARJIT OIL TRADERS, AMRITSAR (P.B) "/>
    <x v="2"/>
    <d v="2017-02-12T00:00:00"/>
    <n v="2"/>
    <x v="2"/>
    <n v="26.76"/>
    <n v="59500"/>
    <n v="1592220"/>
    <n v="0"/>
    <n v="0"/>
    <n v="0"/>
    <n v="0"/>
    <n v="1592220"/>
    <n v="0"/>
    <n v="0"/>
    <n v="1592220"/>
    <n v="26.76"/>
  </r>
  <r>
    <s v="SURUCHI REFINERY PRIVATE LTD., PALADAM- COIMBATORE"/>
    <x v="3"/>
    <d v="2017-02-12T00:00:00"/>
    <n v="2"/>
    <x v="2"/>
    <n v="19.43"/>
    <n v="90196"/>
    <n v="1752508.28"/>
    <n v="0"/>
    <n v="0"/>
    <n v="0"/>
    <n v="0"/>
    <n v="1752508.28"/>
    <n v="35050.1656"/>
    <n v="0"/>
    <n v="1788480"/>
    <n v="19.43"/>
  </r>
  <r>
    <s v="SURUCHI REFINERY PRIVATE LTD., PALADAM- COIMBATORE"/>
    <x v="3"/>
    <d v="2017-02-12T00:00:00"/>
    <n v="2"/>
    <x v="2"/>
    <n v="19.600000000000001"/>
    <n v="90196"/>
    <n v="1767841.6"/>
    <n v="0"/>
    <n v="0"/>
    <n v="0"/>
    <n v="0"/>
    <n v="1767841.6"/>
    <n v="35356.832000000002"/>
    <n v="0"/>
    <n v="1805040"/>
    <n v="19.600000000000001"/>
  </r>
  <r>
    <s v="RICELA HEALTH FOODS LIMITED, DHURI (P.B)"/>
    <x v="1"/>
    <d v="2017-02-13T00:00:00"/>
    <n v="2"/>
    <x v="2"/>
    <n v="29.45"/>
    <n v="50000"/>
    <n v="1472500"/>
    <n v="0"/>
    <n v="0"/>
    <n v="0"/>
    <n v="0"/>
    <n v="1472500"/>
    <n v="29450"/>
    <n v="0"/>
    <n v="1501950"/>
    <n v="29.45"/>
  </r>
  <r>
    <s v="SURUCHI REFINERY PRIVATE LTD., PALADAM- COIMBATORE"/>
    <x v="3"/>
    <d v="2017-02-15T00:00:00"/>
    <n v="2"/>
    <x v="2"/>
    <n v="19.55"/>
    <n v="90196"/>
    <n v="1763331.8"/>
    <n v="0"/>
    <n v="0"/>
    <n v="0"/>
    <n v="0"/>
    <n v="1763331.8"/>
    <n v="35266.635999999999"/>
    <n v="0"/>
    <n v="1800440"/>
    <n v="19.55"/>
  </r>
  <r>
    <s v="SIDDHARTH OILS, LUDHIANA (P.B)"/>
    <x v="2"/>
    <d v="2017-02-15T00:00:00"/>
    <n v="2"/>
    <x v="2"/>
    <n v="27.33"/>
    <n v="58957.37"/>
    <n v="1611304.9221000001"/>
    <n v="0"/>
    <n v="0"/>
    <n v="0"/>
    <n v="0"/>
    <n v="1611304.9221000001"/>
    <n v="0"/>
    <n v="0"/>
    <n v="1611304.9221000001"/>
    <n v="27.33"/>
  </r>
  <r>
    <s v="SIDDHARTH OILS, LUDHIANA (P.B)"/>
    <x v="2"/>
    <d v="2017-02-15T00:00:00"/>
    <n v="2"/>
    <x v="2"/>
    <n v="27.8"/>
    <n v="59000"/>
    <n v="1640200"/>
    <n v="0"/>
    <n v="0"/>
    <n v="0"/>
    <n v="0"/>
    <n v="1640200"/>
    <n v="0"/>
    <n v="0"/>
    <n v="1640200"/>
    <n v="27.8"/>
  </r>
  <r>
    <s v="SIDDHARTH OILS, LUDHIANA (P.B)"/>
    <x v="2"/>
    <d v="2017-02-15T00:00:00"/>
    <n v="2"/>
    <x v="2"/>
    <n v="27.12"/>
    <n v="56788.42"/>
    <n v="1540101.9504"/>
    <n v="0"/>
    <n v="0"/>
    <n v="0"/>
    <n v="0"/>
    <n v="1540101.9504"/>
    <n v="0"/>
    <n v="0"/>
    <n v="1540101.9504"/>
    <n v="27.12"/>
  </r>
  <r>
    <s v="M.D. TRADING CO., LUDHIANA (P.B)"/>
    <x v="2"/>
    <d v="2017-02-15T00:00:00"/>
    <n v="2"/>
    <x v="2"/>
    <n v="27.45"/>
    <n v="55300"/>
    <n v="1517985"/>
    <n v="0"/>
    <n v="0"/>
    <n v="0"/>
    <n v="0"/>
    <n v="1517985"/>
    <n v="0"/>
    <n v="0"/>
    <n v="1517985"/>
    <n v="27.45"/>
  </r>
  <r>
    <s v="RICELA HEALTH FOODS LIMITED, DHURI (P.B)"/>
    <x v="1"/>
    <d v="2017-02-15T00:00:00"/>
    <n v="2"/>
    <x v="2"/>
    <n v="27.96"/>
    <n v="50000"/>
    <n v="1398000"/>
    <n v="0"/>
    <n v="0"/>
    <n v="0"/>
    <n v="0"/>
    <n v="1398000"/>
    <n v="27960"/>
    <n v="0"/>
    <n v="1425960"/>
    <n v="27.96"/>
  </r>
  <r>
    <s v="PUNJAB OILS, AMRITSAR (P.B) "/>
    <x v="2"/>
    <d v="2017-02-15T00:00:00"/>
    <n v="2"/>
    <x v="2"/>
    <n v="30.8"/>
    <n v="59500"/>
    <n v="1832600"/>
    <n v="0"/>
    <n v="0"/>
    <n v="0"/>
    <n v="0"/>
    <n v="1832600"/>
    <n v="0"/>
    <n v="0"/>
    <n v="1832600"/>
    <n v="30.8"/>
  </r>
  <r>
    <s v="PUNJAB OILS, AMRITSAR (P.B) "/>
    <x v="2"/>
    <d v="2017-02-15T00:00:00"/>
    <n v="2"/>
    <x v="2"/>
    <n v="31.09"/>
    <n v="59020.39"/>
    <n v="1834943.9250999999"/>
    <n v="0"/>
    <n v="0"/>
    <n v="0"/>
    <n v="0"/>
    <n v="1834943.9250999999"/>
    <n v="0"/>
    <n v="0"/>
    <n v="1834943.9250999999"/>
    <n v="31.09"/>
  </r>
  <r>
    <s v="RICELA HEALTH FOODS LIMITED, DHURI (P.B)"/>
    <x v="1"/>
    <d v="2017-02-16T00:00:00"/>
    <n v="2"/>
    <x v="2"/>
    <n v="29.43"/>
    <n v="50000"/>
    <n v="1471500"/>
    <n v="0"/>
    <n v="0"/>
    <n v="0"/>
    <n v="0"/>
    <n v="1471500"/>
    <n v="29430"/>
    <n v="0"/>
    <n v="1500930"/>
    <n v="29.43"/>
  </r>
  <r>
    <s v="DEEP CHAND ARYA INDUSTRIES, DELHI"/>
    <x v="2"/>
    <d v="2017-02-16T00:00:00"/>
    <n v="2"/>
    <x v="2"/>
    <n v="23.82"/>
    <n v="58484.58"/>
    <n v="1393102.6956"/>
    <n v="0"/>
    <n v="0"/>
    <n v="0"/>
    <n v="0"/>
    <n v="1393102.6956"/>
    <n v="0"/>
    <n v="0"/>
    <n v="1393102.6956"/>
    <n v="23.82"/>
  </r>
  <r>
    <s v="M.D. TRADING CO., LUDHIANA (P.B)"/>
    <x v="0"/>
    <d v="2017-02-17T00:00:00"/>
    <n v="2"/>
    <x v="2"/>
    <n v="26.79"/>
    <n v="58100"/>
    <n v="1556499"/>
    <n v="0"/>
    <n v="0"/>
    <n v="0"/>
    <n v="0"/>
    <n v="1556499"/>
    <n v="0"/>
    <n v="0"/>
    <n v="1556499"/>
    <n v="26.79"/>
  </r>
  <r>
    <s v="SIDDHARTH OILS, LUDHIANA (P.B)"/>
    <x v="2"/>
    <d v="2017-02-18T00:00:00"/>
    <n v="2"/>
    <x v="2"/>
    <n v="27.71"/>
    <n v="58500"/>
    <n v="1621035"/>
    <n v="0"/>
    <n v="0"/>
    <n v="0"/>
    <n v="0"/>
    <n v="1621035"/>
    <n v="0"/>
    <n v="0"/>
    <n v="1621035"/>
    <n v="27.71"/>
  </r>
  <r>
    <s v="SIDDHARTH OILS, LUDHIANA (P.B)"/>
    <x v="2"/>
    <d v="2017-02-18T00:00:00"/>
    <n v="2"/>
    <x v="2"/>
    <n v="27.15"/>
    <n v="59458.98"/>
    <n v="1614311.307"/>
    <n v="0"/>
    <n v="0"/>
    <n v="0"/>
    <n v="0"/>
    <n v="1614311.307"/>
    <n v="0"/>
    <n v="0"/>
    <n v="1614311.307"/>
    <n v="27.15"/>
  </r>
  <r>
    <s v="DEEP CHAND ARYA INDUSTRIES, DELHI"/>
    <x v="2"/>
    <d v="2017-02-18T00:00:00"/>
    <n v="2"/>
    <x v="2"/>
    <n v="26.95"/>
    <n v="57500"/>
    <n v="1549625"/>
    <n v="0"/>
    <n v="0"/>
    <n v="0"/>
    <n v="0"/>
    <n v="1549625"/>
    <n v="0"/>
    <n v="0"/>
    <n v="1549625"/>
    <n v="26.95"/>
  </r>
  <r>
    <s v="SIDDHARTH OILS, LUDHIANA (P.B)"/>
    <x v="2"/>
    <d v="2017-02-19T00:00:00"/>
    <n v="2"/>
    <x v="3"/>
    <n v="26.99"/>
    <n v="59500"/>
    <n v="1605905"/>
    <n v="0"/>
    <n v="0"/>
    <n v="0"/>
    <n v="0"/>
    <n v="1605905"/>
    <n v="0"/>
    <n v="0"/>
    <n v="1605905"/>
    <n v="26.99"/>
  </r>
  <r>
    <s v="SIDDHARTH OILS, LUDHIANA (P.B)"/>
    <x v="2"/>
    <d v="2017-02-19T00:00:00"/>
    <n v="2"/>
    <x v="3"/>
    <n v="27.49"/>
    <n v="56000"/>
    <n v="1539440"/>
    <n v="0"/>
    <n v="0"/>
    <n v="0"/>
    <n v="0"/>
    <n v="1539440"/>
    <n v="0"/>
    <n v="0"/>
    <n v="1539440"/>
    <n v="27.49"/>
  </r>
  <r>
    <s v="M.D. TRADING CO., LUDHIANA (P.B)"/>
    <x v="2"/>
    <d v="2017-02-19T00:00:00"/>
    <n v="2"/>
    <x v="3"/>
    <n v="27.82"/>
    <n v="55500.78"/>
    <n v="1544031.6995999999"/>
    <n v="0"/>
    <n v="0"/>
    <n v="0"/>
    <n v="0"/>
    <n v="1544031.6995999999"/>
    <n v="0"/>
    <n v="0"/>
    <n v="1544031.6995999999"/>
    <n v="27.82"/>
  </r>
  <r>
    <s v="HARKARAN DASS VEDPAL, LUDHIANA (P.B)"/>
    <x v="2"/>
    <d v="2017-02-19T00:00:00"/>
    <n v="2"/>
    <x v="3"/>
    <n v="27.25"/>
    <n v="58500"/>
    <n v="1594125"/>
    <n v="0"/>
    <n v="0"/>
    <n v="0"/>
    <n v="0"/>
    <n v="1594125"/>
    <n v="0"/>
    <n v="0"/>
    <n v="1594125"/>
    <n v="27.25"/>
  </r>
  <r>
    <s v="RICELA HEALTH FOODS LIMITED, DHURI (P.B)"/>
    <x v="1"/>
    <d v="2017-02-20T00:00:00"/>
    <n v="2"/>
    <x v="3"/>
    <n v="28.41"/>
    <n v="50000"/>
    <n v="1420500"/>
    <n v="0"/>
    <n v="0"/>
    <n v="0"/>
    <n v="0"/>
    <n v="1420500"/>
    <n v="28410"/>
    <n v="0"/>
    <n v="1448910"/>
    <n v="28.41"/>
  </r>
  <r>
    <s v="RICELA HEALTH FOODS LIMITED, DHURI (P.B)"/>
    <x v="1"/>
    <d v="2017-02-20T00:00:00"/>
    <n v="2"/>
    <x v="3"/>
    <n v="30.04"/>
    <n v="50000"/>
    <n v="1502000"/>
    <n v="0"/>
    <n v="0"/>
    <n v="0"/>
    <n v="0"/>
    <n v="1502000"/>
    <n v="30040"/>
    <n v="0"/>
    <n v="1532040"/>
    <n v="30.04"/>
  </r>
  <r>
    <s v="AMARJIT OIL TRADERS, AMRITSAR (P.B) "/>
    <x v="2"/>
    <d v="2017-02-20T00:00:00"/>
    <n v="2"/>
    <x v="3"/>
    <n v="30.68"/>
    <n v="58850.01"/>
    <n v="1805518.3068000001"/>
    <n v="0"/>
    <n v="0"/>
    <n v="0"/>
    <n v="0"/>
    <n v="1805518.3068000001"/>
    <n v="0"/>
    <n v="0"/>
    <n v="1805518.3068000001"/>
    <n v="30.68"/>
  </r>
  <r>
    <s v="HARKARAN DASS VEDPAL, LUDHIANA (P.B)"/>
    <x v="2"/>
    <d v="2017-02-20T00:00:00"/>
    <n v="2"/>
    <x v="3"/>
    <n v="27.26"/>
    <n v="58500"/>
    <n v="1594710"/>
    <n v="0"/>
    <n v="0"/>
    <n v="0"/>
    <n v="0"/>
    <n v="1594710"/>
    <n v="0"/>
    <n v="0"/>
    <n v="1594710"/>
    <n v="27.26"/>
  </r>
  <r>
    <s v="ADANI WILMAR LIMITED,KUTCH, GUJARAT"/>
    <x v="4"/>
    <d v="2017-02-22T00:00:00"/>
    <n v="2"/>
    <x v="3"/>
    <n v="32.72"/>
    <n v="62000"/>
    <n v="2028640"/>
    <n v="0"/>
    <n v="253580"/>
    <n v="0"/>
    <n v="0"/>
    <n v="2282220"/>
    <n v="45644.4"/>
    <n v="98160"/>
    <n v="2426024.4"/>
    <n v="32.72"/>
  </r>
  <r>
    <s v="ADANI WILMAR LIMITED,KUTCH, GUJARAT"/>
    <x v="4"/>
    <d v="2017-02-22T00:00:00"/>
    <n v="2"/>
    <x v="3"/>
    <n v="27.06"/>
    <n v="62000"/>
    <n v="1677720"/>
    <n v="0"/>
    <n v="209715"/>
    <n v="0"/>
    <n v="0"/>
    <n v="1887435"/>
    <n v="37748.700000000004"/>
    <n v="81180"/>
    <n v="2006363.7"/>
    <n v="27.06"/>
  </r>
  <r>
    <s v="ADANI WILMAR LIMITED,KUTCH, GUJARAT"/>
    <x v="4"/>
    <d v="2017-02-22T00:00:00"/>
    <n v="2"/>
    <x v="3"/>
    <n v="27.05"/>
    <n v="62000"/>
    <n v="1677100"/>
    <n v="0"/>
    <n v="209637.5"/>
    <n v="0"/>
    <n v="0"/>
    <n v="1886737.5"/>
    <n v="37734.75"/>
    <n v="81150"/>
    <n v="2005622.25"/>
    <n v="27.05"/>
  </r>
  <r>
    <s v="RICELA HEALTH FOODS LIMITED, DHURI (P.B)"/>
    <x v="1"/>
    <d v="2017-02-22T00:00:00"/>
    <n v="2"/>
    <x v="3"/>
    <n v="31.98"/>
    <n v="50000"/>
    <n v="1599000"/>
    <n v="0"/>
    <n v="0"/>
    <n v="0"/>
    <n v="0"/>
    <n v="1599000"/>
    <n v="31980"/>
    <n v="0"/>
    <n v="1630980"/>
    <n v="31.98"/>
  </r>
  <r>
    <s v="RICELA HEALTH FOODS LIMITED, DHURI (P.B)"/>
    <x v="1"/>
    <d v="2017-02-22T00:00:00"/>
    <n v="2"/>
    <x v="3"/>
    <n v="28.38"/>
    <n v="50000"/>
    <n v="1419000"/>
    <n v="0"/>
    <n v="0"/>
    <n v="0"/>
    <n v="0"/>
    <n v="1419000"/>
    <n v="28380"/>
    <n v="0"/>
    <n v="1447380"/>
    <n v="28.38"/>
  </r>
  <r>
    <s v="PUNJAB OILS, AMRITSAR (P.B) "/>
    <x v="2"/>
    <d v="2017-02-26T00:00:00"/>
    <n v="2"/>
    <x v="4"/>
    <n v="27.69"/>
    <n v="57500"/>
    <n v="1592175"/>
    <n v="0"/>
    <n v="0"/>
    <n v="0"/>
    <n v="0"/>
    <n v="1592175"/>
    <n v="0"/>
    <n v="0"/>
    <n v="1592175"/>
    <n v="27.69"/>
  </r>
  <r>
    <s v="ADANI WILMAR LIMITED,KUTCH, GUJARAT"/>
    <x v="4"/>
    <d v="2017-02-22T00:00:00"/>
    <n v="2"/>
    <x v="3"/>
    <n v="26.46"/>
    <n v="62000"/>
    <n v="1640520"/>
    <n v="0"/>
    <n v="205065"/>
    <n v="0"/>
    <n v="0"/>
    <n v="1845585"/>
    <n v="36911.700000000004"/>
    <n v="79380"/>
    <n v="1961876.7"/>
    <n v="26.46"/>
  </r>
  <r>
    <s v="SIDDHARTH OILS, LUDHIANA (P.B)"/>
    <x v="2"/>
    <d v="2017-02-24T00:00:00"/>
    <n v="2"/>
    <x v="3"/>
    <n v="27.86"/>
    <n v="58706.97"/>
    <n v="1635576.1842"/>
    <n v="0"/>
    <n v="0"/>
    <n v="0"/>
    <n v="0"/>
    <n v="1635576.1842"/>
    <n v="0"/>
    <n v="0"/>
    <n v="1635576.1842"/>
    <n v="27.86"/>
  </r>
  <r>
    <s v="ADANI WILMAR LIMITED,KUTCH, GUJARAT"/>
    <x v="4"/>
    <d v="2017-02-24T00:00:00"/>
    <n v="2"/>
    <x v="3"/>
    <n v="33.08"/>
    <n v="64500"/>
    <n v="2133660"/>
    <n v="0"/>
    <n v="266707.5"/>
    <n v="0"/>
    <n v="0"/>
    <n v="2400367.5"/>
    <n v="48007.35"/>
    <n v="99240"/>
    <n v="2547614.85"/>
    <n v="33.08"/>
  </r>
  <r>
    <s v="ADANI WILMAR LIMITED,KUTCH, GUJARAT"/>
    <x v="4"/>
    <d v="2017-02-25T00:00:00"/>
    <n v="2"/>
    <x v="3"/>
    <n v="32"/>
    <n v="64500"/>
    <n v="2064000"/>
    <n v="0"/>
    <n v="258000"/>
    <n v="0"/>
    <n v="0"/>
    <n v="2322000"/>
    <n v="46440"/>
    <n v="96000"/>
    <n v="2464440"/>
    <n v="32"/>
  </r>
  <r>
    <s v="ADANI WILMAR LIMITED,KUTCH, GUJARAT"/>
    <x v="4"/>
    <d v="2017-02-25T00:00:00"/>
    <n v="2"/>
    <x v="3"/>
    <n v="26.78"/>
    <n v="64500"/>
    <n v="1727310"/>
    <n v="0"/>
    <n v="215913.75"/>
    <n v="0"/>
    <n v="0"/>
    <n v="1943223.75"/>
    <n v="38864.474999999999"/>
    <n v="80340"/>
    <n v="2062428.2250000001"/>
    <n v="26.78"/>
  </r>
  <r>
    <s v="RICELA HEALTH FOODS LIMITED, DHURI (P.B)"/>
    <x v="1"/>
    <d v="2017-02-25T00:00:00"/>
    <n v="2"/>
    <x v="3"/>
    <n v="30.22"/>
    <n v="50000"/>
    <n v="1511000"/>
    <n v="0"/>
    <n v="0"/>
    <n v="0"/>
    <n v="0"/>
    <n v="1511000"/>
    <n v="30220"/>
    <n v="0"/>
    <n v="1541220"/>
    <n v="30.22"/>
  </r>
  <r>
    <s v="ADANI WILMAR LIMITED,KUTCH, GUJARAT"/>
    <x v="4"/>
    <d v="2017-02-22T00:00:00"/>
    <n v="2"/>
    <x v="3"/>
    <n v="32.96"/>
    <n v="62000"/>
    <n v="2043520"/>
    <n v="0"/>
    <n v="255440"/>
    <n v="0"/>
    <n v="0"/>
    <n v="2298960"/>
    <n v="45979.200000000004"/>
    <n v="98880"/>
    <n v="2443819.2000000002"/>
    <n v="32.96"/>
  </r>
  <r>
    <s v="DEEP CHAND ARYA INDUSTRIES, DELHI"/>
    <x v="2"/>
    <d v="2017-02-27T00:00:00"/>
    <n v="2"/>
    <x v="4"/>
    <n v="21.99"/>
    <n v="58281.71"/>
    <n v="1281614.8028999998"/>
    <n v="0"/>
    <n v="0"/>
    <n v="0"/>
    <n v="0"/>
    <n v="1281614.8028999998"/>
    <n v="0"/>
    <n v="0"/>
    <n v="1281614.8028999998"/>
    <n v="21.99"/>
  </r>
  <r>
    <s v="DEEP CHAND ARYA INDUSTRIES, DELHI"/>
    <x v="2"/>
    <d v="2017-02-27T00:00:00"/>
    <n v="2"/>
    <x v="4"/>
    <n v="20.2"/>
    <n v="58500"/>
    <n v="1181700"/>
    <n v="0"/>
    <n v="0"/>
    <n v="0"/>
    <n v="0"/>
    <n v="1181700"/>
    <n v="0"/>
    <n v="0"/>
    <n v="1181700"/>
    <n v="20.2"/>
  </r>
  <r>
    <s v="DEEP CHAND ARYA INDUSTRIES, DELHI"/>
    <x v="2"/>
    <d v="2017-02-28T00:00:00"/>
    <n v="2"/>
    <x v="4"/>
    <n v="28.64"/>
    <n v="58500"/>
    <n v="1675440"/>
    <n v="0"/>
    <n v="0"/>
    <n v="0"/>
    <n v="0"/>
    <n v="1675440"/>
    <n v="0"/>
    <n v="0"/>
    <n v="1675440"/>
    <n v="28.64"/>
  </r>
  <r>
    <s v="DEEP CHAND ARYA INDUSTRIES, DELHI"/>
    <x v="2"/>
    <d v="2017-02-28T00:00:00"/>
    <n v="2"/>
    <x v="4"/>
    <n v="28.52"/>
    <n v="58500"/>
    <n v="1668420"/>
    <n v="0"/>
    <n v="0"/>
    <n v="0"/>
    <n v="0"/>
    <n v="1668420"/>
    <n v="0"/>
    <n v="0"/>
    <n v="1668420"/>
    <n v="28.5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44">
  <r>
    <d v="2016-02-01T00:00:00"/>
    <x v="0"/>
    <n v="2"/>
    <n v="67.849999999999994"/>
    <n v="340"/>
    <n v="340"/>
    <n v="400"/>
    <n v="430"/>
    <n v="430"/>
    <n v="513"/>
    <n v="422.15000000000003"/>
    <n v="422.15000000000003"/>
    <n v="880"/>
    <n v="77156.403124999983"/>
    <n v="7433"/>
    <n v="84900.685605203471"/>
    <n v="53384.205725"/>
  </r>
  <r>
    <d v="2016-02-02T00:00:00"/>
    <x v="0"/>
    <n v="2"/>
    <n v="67.98"/>
    <n v="345"/>
    <n v="340"/>
    <n v="405"/>
    <n v="430"/>
    <n v="430"/>
    <n v="519"/>
    <n v="427.88750000000005"/>
    <n v="422.15000000000003"/>
    <n v="880"/>
    <n v="77295.803750000006"/>
    <n v="7300"/>
    <n v="83523.670539361628"/>
    <n v="53478.059030000004"/>
  </r>
  <r>
    <d v="2016-02-03T00:00:00"/>
    <x v="0"/>
    <n v="2"/>
    <n v="68.08"/>
    <n v="350"/>
    <n v="345"/>
    <n v="410"/>
    <n v="440"/>
    <n v="430"/>
    <n v="513"/>
    <n v="433.625"/>
    <n v="427.88750000000005"/>
    <n v="880"/>
    <n v="77403.034999999989"/>
    <n v="7233"/>
    <n v="82829.98625807291"/>
    <n v="53550.253879999997"/>
  </r>
  <r>
    <d v="2016-02-04T00:00:00"/>
    <x v="0"/>
    <n v="2"/>
    <n v="67.540000000000006"/>
    <n v="355"/>
    <n v="350"/>
    <n v="405"/>
    <n v="430"/>
    <n v="435"/>
    <n v="519"/>
    <n v="439.36250000000001"/>
    <n v="433.625"/>
    <n v="880"/>
    <n v="76823.986250000002"/>
    <n v="7233"/>
    <n v="82829.98625807291"/>
    <n v="53160.401690000006"/>
  </r>
  <r>
    <d v="2016-02-05T00:00:00"/>
    <x v="0"/>
    <n v="2"/>
    <n v="67.66"/>
    <n v="360"/>
    <n v="350"/>
    <n v="425"/>
    <n v="440"/>
    <n v="435"/>
    <n v="524"/>
    <n v="445.09999999999997"/>
    <n v="433.625"/>
    <n v="920"/>
    <n v="80007.512749999994"/>
    <n v="7367"/>
    <n v="84217.354820650362"/>
    <n v="56424.078469999993"/>
  </r>
  <r>
    <d v="2016-02-08T00:00:00"/>
    <x v="1"/>
    <n v="2"/>
    <n v="67.94"/>
    <n v="365"/>
    <n v="365"/>
    <n v="425"/>
    <n v="440"/>
    <n v="435"/>
    <n v="524"/>
    <n v="450.83750000000003"/>
    <n v="450.83750000000003"/>
    <n v="920"/>
    <n v="80320.402249999985"/>
    <n v="7300"/>
    <n v="83523.670539361628"/>
    <n v="56639.371729999992"/>
  </r>
  <r>
    <d v="2016-02-09T00:00:00"/>
    <x v="1"/>
    <n v="2"/>
    <n v="67.91"/>
    <n v="360"/>
    <n v="360"/>
    <n v="435"/>
    <n v="450"/>
    <n v="435"/>
    <n v="534"/>
    <n v="445.09999999999997"/>
    <n v="445.09999999999997"/>
    <n v="925"/>
    <n v="80670.145437499988"/>
    <n v="7433"/>
    <n v="84900.685605203471"/>
    <n v="57014.902339999993"/>
  </r>
  <r>
    <d v="2016-02-10T00:00:00"/>
    <x v="1"/>
    <n v="2"/>
    <n v="67.849999999999994"/>
    <n v="360"/>
    <n v="360"/>
    <n v="435"/>
    <n v="450"/>
    <n v="435"/>
    <n v="534"/>
    <n v="445.09999999999997"/>
    <n v="445.09999999999997"/>
    <n v="925"/>
    <n v="80602.759062500001"/>
    <n v="7500"/>
    <n v="85594.369886492204"/>
    <n v="56968.415899999985"/>
  </r>
  <r>
    <d v="2016-02-11T00:00:00"/>
    <x v="1"/>
    <n v="2"/>
    <n v="68.31"/>
    <n v="385"/>
    <n v="370"/>
    <n v="435"/>
    <n v="455"/>
    <n v="440"/>
    <n v="544"/>
    <n v="473.78749999999997"/>
    <n v="456.57500000000005"/>
    <n v="950"/>
    <n v="83047.010749999987"/>
    <n v="7767"/>
    <n v="88358.753514911528"/>
    <n v="59329.539664999997"/>
  </r>
  <r>
    <d v="2016-02-12T00:00:00"/>
    <x v="1"/>
    <n v="2"/>
    <n v="68.23"/>
    <n v="400"/>
    <n v="385"/>
    <n v="450"/>
    <n v="495"/>
    <n v="440"/>
    <n v="554"/>
    <n v="491"/>
    <n v="473.78749999999997"/>
    <n v="975"/>
    <n v="84880.2700625"/>
    <n v="7567"/>
    <n v="86288.054167780938"/>
    <n v="61267.589870000003"/>
  </r>
  <r>
    <d v="2016-02-15T00:00:00"/>
    <x v="2"/>
    <n v="2"/>
    <n v="68.06"/>
    <n v="395"/>
    <n v="380"/>
    <n v="450"/>
    <n v="495"/>
    <n v="440"/>
    <n v="534"/>
    <n v="485.26250000000005"/>
    <n v="468.05"/>
    <n v="978"/>
    <n v="84910.215800000005"/>
    <n v="7500"/>
    <n v="85594.369886492204"/>
    <n v="61365.587041999999"/>
  </r>
  <r>
    <d v="2016-02-17T00:00:00"/>
    <x v="2"/>
    <n v="2"/>
    <n v="68.47"/>
    <n v="400"/>
    <n v="390"/>
    <n v="460"/>
    <n v="500"/>
    <n v="440"/>
    <n v="544"/>
    <n v="491"/>
    <n v="479.52500000000003"/>
    <n v="970"/>
    <n v="84776.933000000005"/>
    <n v="7567"/>
    <n v="86288.054167780938"/>
    <n v="61065.737764999998"/>
  </r>
  <r>
    <d v="2016-02-18T00:00:00"/>
    <x v="2"/>
    <n v="2"/>
    <n v="68.47"/>
    <n v="400"/>
    <n v="400"/>
    <n v="460"/>
    <n v="500"/>
    <n v="440"/>
    <n v="544"/>
    <n v="491"/>
    <n v="491"/>
    <n v="970"/>
    <n v="84776.933000000005"/>
    <n v="7633"/>
    <n v="86971.384952334032"/>
    <n v="61065.737764999998"/>
  </r>
  <r>
    <d v="2016-02-19T00:00:00"/>
    <x v="2"/>
    <n v="2"/>
    <n v="68.459999999999994"/>
    <n v="400"/>
    <n v="400"/>
    <n v="475"/>
    <n v="505"/>
    <n v="440"/>
    <n v="544"/>
    <n v="491"/>
    <n v="491"/>
    <n v="970"/>
    <n v="84765.193999999989"/>
    <n v="7833"/>
    <n v="89042.084299464594"/>
    <n v="61057.461769999994"/>
  </r>
  <r>
    <d v="2016-02-22T00:00:00"/>
    <x v="3"/>
    <n v="2"/>
    <n v="68.61"/>
    <n v="410"/>
    <n v="400"/>
    <n v="480"/>
    <n v="505"/>
    <n v="445"/>
    <n v="539"/>
    <n v="502.47499999999997"/>
    <n v="491"/>
    <n v="970"/>
    <n v="84941.278999999995"/>
    <n v="7833"/>
    <n v="89042.084299464594"/>
    <n v="61181.601694999998"/>
  </r>
  <r>
    <d v="2016-02-23T00:00:00"/>
    <x v="3"/>
    <n v="2"/>
    <n v="68.569999999999993"/>
    <n v="415"/>
    <n v="415"/>
    <n v="470"/>
    <n v="495"/>
    <n v="445"/>
    <n v="539"/>
    <n v="508.21250000000003"/>
    <n v="508.21250000000003"/>
    <n v="990"/>
    <n v="86442.290749999986"/>
    <n v="7967"/>
    <n v="90429.452862042075"/>
    <n v="62758.384174999992"/>
  </r>
  <r>
    <d v="2016-02-24T00:00:00"/>
    <x v="3"/>
    <n v="2"/>
    <n v="68.56"/>
    <n v="395"/>
    <n v="400"/>
    <n v="475"/>
    <n v="490"/>
    <n v="445"/>
    <n v="539"/>
    <n v="485.26250000000005"/>
    <n v="491"/>
    <n v="990"/>
    <n v="86430.326000000001"/>
    <n v="8167"/>
    <n v="92500.152209172637"/>
    <n v="62749.873399999997"/>
  </r>
  <r>
    <d v="2016-02-25T00:00:00"/>
    <x v="3"/>
    <n v="2"/>
    <n v="68.709999999999994"/>
    <n v="400"/>
    <n v="400"/>
    <n v="475"/>
    <n v="490"/>
    <n v="445"/>
    <n v="539"/>
    <n v="491"/>
    <n v="491"/>
    <n v="990"/>
    <n v="86609.797249999989"/>
    <n v="8100"/>
    <n v="91806.467927883903"/>
    <n v="62877.53502499999"/>
  </r>
  <r>
    <d v="2016-02-26T00:00:00"/>
    <x v="3"/>
    <n v="2"/>
    <n v="68.62"/>
    <n v="390"/>
    <n v="390"/>
    <n v="475"/>
    <n v="490"/>
    <n v="445"/>
    <n v="539"/>
    <n v="479.52500000000003"/>
    <n v="479.52500000000003"/>
    <n v="990"/>
    <n v="86502.114500000011"/>
    <n v="7967"/>
    <n v="90429.452862042075"/>
    <n v="62800.938049999997"/>
  </r>
  <r>
    <d v="2016-02-29T00:00:00"/>
    <x v="4"/>
    <n v="2"/>
    <n v="68.430000000000007"/>
    <n v="390"/>
    <n v="390"/>
    <n v="465"/>
    <n v="485"/>
    <n v="445"/>
    <n v="539"/>
    <n v="479.52500000000003"/>
    <n v="479.52500000000003"/>
    <n v="1040"/>
    <n v="90136.802374999999"/>
    <n v="7500"/>
    <n v="85594.369886492204"/>
    <n v="66655.732175000012"/>
  </r>
  <r>
    <d v="2016-03-01T00:00:00"/>
    <x v="4"/>
    <n v="3"/>
    <n v="68.86"/>
    <n v="390"/>
    <n v="385"/>
    <n v="462"/>
    <n v="480"/>
    <n v="445"/>
    <n v="534"/>
    <n v="479.52500000000003"/>
    <n v="473.78749999999997"/>
    <n v="1040"/>
    <n v="90675.554749999996"/>
    <n v="7500"/>
    <n v="85594.369886492204"/>
    <n v="67046.934349999996"/>
  </r>
  <r>
    <d v="2016-03-02T00:00:00"/>
    <x v="4"/>
    <n v="3"/>
    <n v="67.55"/>
    <n v="390"/>
    <n v="380"/>
    <n v="460"/>
    <n v="480"/>
    <n v="445"/>
    <n v="534"/>
    <n v="479.52500000000003"/>
    <n v="468.05"/>
    <n v="1040"/>
    <n v="89034.23937499999"/>
    <n v="7567"/>
    <n v="86288.054167780938"/>
    <n v="65855.132374999986"/>
  </r>
  <r>
    <d v="2016-03-03T00:00:00"/>
    <x v="4"/>
    <n v="3"/>
    <n v="67.34"/>
    <n v="395"/>
    <n v="384"/>
    <n v="460"/>
    <n v="480"/>
    <n v="445"/>
    <n v="539"/>
    <n v="485.26250000000005"/>
    <n v="472.64"/>
    <n v="1040"/>
    <n v="88771.12775"/>
    <n v="7633"/>
    <n v="86971.384952334032"/>
    <n v="65664.080149999994"/>
  </r>
  <r>
    <d v="2016-03-04T00:00:00"/>
    <x v="4"/>
    <n v="3"/>
    <n v="67.08"/>
    <n v="390"/>
    <n v="380"/>
    <n v="455"/>
    <n v="475"/>
    <n v="445"/>
    <n v="539"/>
    <n v="479.52500000000003"/>
    <n v="468.05"/>
    <n v="1040"/>
    <n v="88445.370500000005"/>
    <n v="7500"/>
    <n v="85594.369886492204"/>
    <n v="65427.539299999997"/>
  </r>
  <r>
    <d v="2016-03-08T00:00:00"/>
    <x v="5"/>
    <n v="3"/>
    <n v="67.349999999999994"/>
    <n v="375"/>
    <n v="400"/>
    <n v="460"/>
    <n v="480"/>
    <n v="445"/>
    <n v="544"/>
    <n v="462.3125"/>
    <n v="491"/>
    <n v="1055"/>
    <n v="89923.9765625"/>
    <n v="7167"/>
    <n v="82146.655473519801"/>
    <n v="66859.110349999988"/>
  </r>
  <r>
    <d v="2016-03-09T00:00:00"/>
    <x v="5"/>
    <n v="3"/>
    <n v="67.209999999999994"/>
    <n v="375"/>
    <n v="400"/>
    <n v="460"/>
    <n v="480"/>
    <n v="445"/>
    <n v="549"/>
    <n v="462.3125"/>
    <n v="491"/>
    <n v="1075"/>
    <n v="91263.464187499994"/>
    <n v="7100"/>
    <n v="81452.971192231067"/>
    <n v="68307.233389999994"/>
  </r>
  <r>
    <d v="2016-03-10T00:00:00"/>
    <x v="5"/>
    <n v="3"/>
    <n v="67.02"/>
    <n v="380"/>
    <n v="405"/>
    <n v="480"/>
    <n v="490"/>
    <n v="460"/>
    <n v="564"/>
    <n v="468.05"/>
    <n v="496.73750000000001"/>
    <n v="1090"/>
    <n v="92152.636999999988"/>
    <n v="7100"/>
    <n v="81452.971192231067"/>
    <n v="69306.691850000003"/>
  </r>
  <r>
    <d v="2016-03-11T00:00:00"/>
    <x v="5"/>
    <n v="3"/>
    <n v="67.13"/>
    <n v="415"/>
    <n v="395"/>
    <n v="480"/>
    <n v="490"/>
    <n v="460"/>
    <n v="575"/>
    <n v="508.21250000000003"/>
    <n v="485.26250000000005"/>
    <n v="1120"/>
    <n v="94569.855124999987"/>
    <n v="7033"/>
    <n v="80759.286910942334"/>
    <n v="71777.340484999993"/>
  </r>
  <r>
    <d v="2016-03-14T00:00:00"/>
    <x v="6"/>
    <n v="3"/>
    <n v="67.05"/>
    <n v="410"/>
    <n v="395"/>
    <n v="480"/>
    <n v="495"/>
    <n v="460"/>
    <n v="575"/>
    <n v="502.47499999999997"/>
    <n v="485.26250000000005"/>
    <n v="1135"/>
    <n v="95597.638437499991"/>
    <n v="6967"/>
    <n v="80075.956126389239"/>
    <n v="72877.695649999994"/>
  </r>
  <r>
    <d v="2016-03-16T00:00:00"/>
    <x v="6"/>
    <n v="3"/>
    <n v="67.239999999999995"/>
    <n v="425"/>
    <n v="395"/>
    <n v="490"/>
    <n v="500"/>
    <n v="460"/>
    <n v="575"/>
    <n v="519.6875"/>
    <n v="485.26250000000005"/>
    <n v="1140"/>
    <n v="96235.551499999987"/>
    <n v="6900"/>
    <n v="79382.271845100506"/>
    <n v="73466.406499999983"/>
  </r>
  <r>
    <d v="2016-03-17T00:00:00"/>
    <x v="6"/>
    <n v="3"/>
    <n v="66.75"/>
    <n v="430"/>
    <n v="405"/>
    <n v="495"/>
    <n v="505"/>
    <n v="470"/>
    <n v="580"/>
    <n v="525.42499999999995"/>
    <n v="496.73750000000001"/>
    <n v="1220"/>
    <n v="101593.840625"/>
    <n v="7033"/>
    <n v="80759.286910942334"/>
    <n v="79231.722874999992"/>
  </r>
  <r>
    <d v="2016-03-18T00:00:00"/>
    <x v="6"/>
    <n v="3"/>
    <n v="66.5"/>
    <n v="430"/>
    <n v="405"/>
    <n v="495"/>
    <n v="505"/>
    <n v="470"/>
    <n v="575"/>
    <n v="525.42499999999995"/>
    <n v="496.73750000000001"/>
    <n v="1220"/>
    <n v="101229.81874999999"/>
    <n v="7100"/>
    <n v="81452.971192231067"/>
    <n v="78951.454249999995"/>
  </r>
  <r>
    <d v="2016-03-21T00:00:00"/>
    <x v="7"/>
    <n v="3"/>
    <n v="66.53"/>
    <n v="440"/>
    <n v="420"/>
    <n v="515"/>
    <n v="520"/>
    <n v="475"/>
    <n v="580"/>
    <n v="536.90000000000009"/>
    <n v="513.95000000000005"/>
    <n v="1240"/>
    <n v="102775.416125"/>
    <n v="7033"/>
    <n v="80759.286910942334"/>
    <n v="80547.077825"/>
  </r>
  <r>
    <d v="2016-03-22T00:00:00"/>
    <x v="7"/>
    <n v="3"/>
    <n v="66.709999999999994"/>
    <n v="445"/>
    <n v="425"/>
    <n v="525"/>
    <n v="530"/>
    <n v="480"/>
    <n v="590"/>
    <n v="542.63750000000005"/>
    <n v="519.6875"/>
    <n v="1265"/>
    <n v="104924.04818749998"/>
    <n v="7033"/>
    <n v="80759.286910942334"/>
    <n v="82710.868999999992"/>
  </r>
  <r>
    <d v="2016-03-23T00:00:00"/>
    <x v="7"/>
    <n v="3"/>
    <n v="66.87"/>
    <n v="445"/>
    <n v="425"/>
    <n v="530"/>
    <n v="535"/>
    <n v="480"/>
    <n v="595"/>
    <n v="542.63750000000005"/>
    <n v="519.6875"/>
    <n v="1259.375"/>
    <n v="104740.57692968751"/>
    <n v="7033"/>
    <n v="80759.286910942334"/>
    <n v="82457.137851875013"/>
  </r>
  <r>
    <d v="2016-03-24T00:00:00"/>
    <x v="7"/>
    <n v="3"/>
    <n v="66.87"/>
    <n v="445"/>
    <n v="425"/>
    <n v="530"/>
    <n v="535"/>
    <n v="480"/>
    <n v="595"/>
    <n v="542.63750000000005"/>
    <n v="519.6875"/>
    <n v="1253.75"/>
    <n v="104316.00467187499"/>
    <n v="7033"/>
    <n v="80759.286910942334"/>
    <n v="82015.582703750013"/>
  </r>
  <r>
    <d v="2016-03-28T00:00:00"/>
    <x v="8"/>
    <n v="3"/>
    <n v="66.59"/>
    <n v="455"/>
    <n v="435"/>
    <n v="535"/>
    <n v="550"/>
    <n v="490"/>
    <n v="620"/>
    <n v="554.11250000000007"/>
    <n v="531.16249999999991"/>
    <n v="1248.125"/>
    <n v="103474.83900781249"/>
    <n v="7333"/>
    <n v="83865.335931638183"/>
    <n v="81250.882233124998"/>
  </r>
  <r>
    <d v="2016-03-29T00:00:00"/>
    <x v="8"/>
    <n v="3"/>
    <n v="66.540000000000006"/>
    <n v="460"/>
    <n v="445"/>
    <n v="540"/>
    <n v="555"/>
    <n v="500"/>
    <n v="630"/>
    <n v="559.85"/>
    <n v="542.63750000000005"/>
    <n v="1242.5"/>
    <n v="102977.97031250001"/>
    <n v="7400"/>
    <n v="84559.020212926916"/>
    <n v="80753.801615000004"/>
  </r>
  <r>
    <d v="2016-03-30T00:00:00"/>
    <x v="8"/>
    <n v="3"/>
    <n v="66.39"/>
    <n v="455"/>
    <n v="440"/>
    <n v="545"/>
    <n v="555"/>
    <n v="500"/>
    <n v="610"/>
    <n v="554.11250000000007"/>
    <n v="536.90000000000009"/>
    <n v="1236.875"/>
    <n v="102334.22302343749"/>
    <n v="7400"/>
    <n v="84559.020212926916"/>
    <n v="80143.292909374999"/>
  </r>
  <r>
    <d v="2016-03-31T00:00:00"/>
    <x v="8"/>
    <n v="3"/>
    <n v="66.25"/>
    <n v="460"/>
    <n v="440"/>
    <n v="550"/>
    <n v="550"/>
    <n v="520"/>
    <n v="610"/>
    <n v="559.85"/>
    <n v="536.90000000000009"/>
    <n v="1231.25"/>
    <n v="101707.068359375"/>
    <n v="7333"/>
    <n v="83865.335931638183"/>
    <n v="79546.107968750002"/>
  </r>
  <r>
    <d v="2016-04-01T00:00:00"/>
    <x v="8"/>
    <n v="4"/>
    <n v="66.349999999999994"/>
    <n v="470"/>
    <n v="450"/>
    <n v="550"/>
    <n v="550"/>
    <n v="520"/>
    <n v="615"/>
    <n v="571.32500000000005"/>
    <n v="548.375"/>
    <n v="1225.625"/>
    <n v="101432.67628906248"/>
    <n v="7467"/>
    <n v="85252.704494215635"/>
    <n v="79221.414565624989"/>
  </r>
  <r>
    <d v="2016-04-04T00:00:00"/>
    <x v="9"/>
    <n v="4"/>
    <n v="66.06"/>
    <n v="485"/>
    <n v="460"/>
    <n v="560"/>
    <n v="560"/>
    <n v="520"/>
    <n v="626"/>
    <n v="588.53750000000002"/>
    <n v="559.85"/>
    <n v="1350"/>
    <n v="110282.61949999999"/>
    <n v="7533"/>
    <n v="85936.035278768744"/>
    <n v="88539.399890000001"/>
  </r>
  <r>
    <d v="2016-04-05T00:00:00"/>
    <x v="9"/>
    <n v="4"/>
    <n v="66.22"/>
    <n v="485"/>
    <n v="460"/>
    <n v="560"/>
    <n v="560"/>
    <n v="520"/>
    <n v="631"/>
    <n v="588.53750000000002"/>
    <n v="559.85"/>
    <n v="1350"/>
    <n v="110539.07149999999"/>
    <n v="7667"/>
    <n v="87323.403841346211"/>
    <n v="88743.188929999989"/>
  </r>
  <r>
    <d v="2016-04-06T00:00:00"/>
    <x v="9"/>
    <n v="4"/>
    <n v="66.66"/>
    <n v="500"/>
    <n v="460"/>
    <n v="555"/>
    <n v="555"/>
    <n v="520"/>
    <n v="631"/>
    <n v="605.75"/>
    <n v="559.85"/>
    <n v="1330"/>
    <n v="109739.465"/>
    <n v="7800"/>
    <n v="88700.418907188068"/>
    <n v="87738.565309999991"/>
  </r>
  <r>
    <d v="2016-04-07T00:00:00"/>
    <x v="9"/>
    <n v="4"/>
    <n v="66.47"/>
    <n v="510"/>
    <n v="460"/>
    <n v="555"/>
    <n v="555"/>
    <n v="520"/>
    <n v="631"/>
    <n v="617.22500000000002"/>
    <n v="559.85"/>
    <n v="1310"/>
    <n v="107938.65724999999"/>
    <n v="7733"/>
    <n v="88006.734625899291"/>
    <n v="85940.443984999991"/>
  </r>
  <r>
    <d v="2016-04-11T00:00:00"/>
    <x v="10"/>
    <n v="4"/>
    <n v="66.430000000000007"/>
    <n v="500"/>
    <n v="450"/>
    <n v="545"/>
    <n v="545"/>
    <n v="520"/>
    <n v="626"/>
    <n v="605.75"/>
    <n v="548.375"/>
    <n v="1290"/>
    <n v="106376.693"/>
    <n v="7833"/>
    <n v="89042.084299464594"/>
    <n v="84331.731424999991"/>
  </r>
  <r>
    <d v="2016-04-12T00:00:00"/>
    <x v="10"/>
    <n v="4"/>
    <n v="66.42"/>
    <n v="495"/>
    <n v="445"/>
    <n v="545"/>
    <n v="545"/>
    <n v="515"/>
    <n v="620"/>
    <n v="600.01250000000005"/>
    <n v="542.63750000000005"/>
    <n v="1290"/>
    <n v="106361.34199999999"/>
    <n v="7733"/>
    <n v="88006.734625899291"/>
    <n v="84319.698949999991"/>
  </r>
  <r>
    <d v="2016-04-13T00:00:00"/>
    <x v="10"/>
    <n v="4"/>
    <n v="66.64"/>
    <n v="505"/>
    <n v="445"/>
    <n v="550"/>
    <n v="540"/>
    <n v="520"/>
    <n v="626"/>
    <n v="611.48750000000007"/>
    <n v="542.63750000000005"/>
    <n v="1290"/>
    <n v="106699.06399999998"/>
    <n v="7667"/>
    <n v="87323.403841346211"/>
    <n v="84584.41339999999"/>
  </r>
  <r>
    <d v="2016-04-18T00:00:00"/>
    <x v="11"/>
    <n v="4"/>
    <n v="66.55"/>
    <n v="505"/>
    <n v="425"/>
    <n v="545"/>
    <n v="520"/>
    <n v="510"/>
    <n v="621"/>
    <n v="611.48750000000007"/>
    <n v="519.6875"/>
    <n v="1250"/>
    <n v="103556.17249999999"/>
    <n v="8000"/>
    <n v="90771.118254318601"/>
    <n v="81351.199324999994"/>
  </r>
  <r>
    <d v="2016-04-19T00:00:00"/>
    <x v="11"/>
    <n v="4"/>
    <n v="66.489999999999995"/>
    <n v="500"/>
    <n v="430"/>
    <n v="545"/>
    <n v="519"/>
    <n v="510"/>
    <n v="626"/>
    <n v="605.75"/>
    <n v="525.42499999999995"/>
    <n v="1260"/>
    <n v="104217.28137499999"/>
    <n v="8133"/>
    <n v="92148.133320160443"/>
    <n v="82062.347944999987"/>
  </r>
  <r>
    <d v="2016-04-20T00:00:00"/>
    <x v="11"/>
    <n v="4"/>
    <n v="66.3"/>
    <n v="495"/>
    <n v="425"/>
    <n v="555"/>
    <n v="535"/>
    <n v="510"/>
    <n v="621"/>
    <n v="600.01250000000005"/>
    <n v="519.6875"/>
    <n v="1290"/>
    <n v="106177.12999999999"/>
    <n v="8133"/>
    <n v="92148.133320160443"/>
    <n v="84175.309249999991"/>
  </r>
  <r>
    <d v="2016-04-21T00:00:00"/>
    <x v="11"/>
    <n v="4"/>
    <n v="66.39"/>
    <n v="500"/>
    <n v="430"/>
    <n v="565"/>
    <n v="540"/>
    <n v="510"/>
    <n v="626"/>
    <n v="605.75"/>
    <n v="525.42499999999995"/>
    <n v="1290"/>
    <n v="106315.28899999999"/>
    <n v="8400"/>
    <n v="94912.516948579738"/>
    <n v="84283.601524999991"/>
  </r>
  <r>
    <d v="2016-04-22T00:00:00"/>
    <x v="11"/>
    <n v="4"/>
    <n v="66.489999999999995"/>
    <n v="500"/>
    <n v="430"/>
    <n v="570"/>
    <n v="542"/>
    <n v="515"/>
    <n v="626"/>
    <n v="605.75"/>
    <n v="525.42499999999995"/>
    <n v="1285"/>
    <n v="106093.54606249998"/>
    <n v="8467"/>
    <n v="95606.201229868486"/>
    <n v="84013.663219999988"/>
  </r>
  <r>
    <d v="2016-04-25T00:00:00"/>
    <x v="12"/>
    <n v="4"/>
    <n v="66.61"/>
    <n v="490"/>
    <n v="420"/>
    <n v="565"/>
    <n v="535"/>
    <n v="515"/>
    <n v="615"/>
    <n v="594.27499999999998"/>
    <n v="513.95000000000005"/>
    <n v="1275"/>
    <n v="105525.22043749999"/>
    <n v="8400"/>
    <n v="94912.516948579738"/>
    <n v="83375.413790000006"/>
  </r>
  <r>
    <d v="2016-04-26T00:00:00"/>
    <x v="12"/>
    <n v="4"/>
    <n v="66.52"/>
    <n v="500"/>
    <n v="430"/>
    <n v="565"/>
    <n v="535"/>
    <n v="515"/>
    <n v="626"/>
    <n v="605.75"/>
    <n v="525.42499999999995"/>
    <n v="1275"/>
    <n v="105388.58524999999"/>
    <n v="8067"/>
    <n v="91464.802535607363"/>
    <n v="83268.706279999999"/>
  </r>
  <r>
    <d v="2016-04-27T00:00:00"/>
    <x v="12"/>
    <n v="4"/>
    <n v="66.58"/>
    <n v="500"/>
    <n v="435"/>
    <n v="565"/>
    <n v="540"/>
    <n v="515"/>
    <n v="626"/>
    <n v="605.75"/>
    <n v="531.16249999999991"/>
    <n v="1260"/>
    <n v="104352.39274999998"/>
    <n v="8133"/>
    <n v="92148.133320160443"/>
    <n v="82167.470689999987"/>
  </r>
  <r>
    <d v="2016-04-28T00:00:00"/>
    <x v="12"/>
    <n v="4"/>
    <n v="66.52"/>
    <n v="490"/>
    <n v="425"/>
    <n v="558"/>
    <n v="530"/>
    <n v="510"/>
    <n v="615"/>
    <n v="594.27499999999998"/>
    <n v="519.6875"/>
    <n v="1250"/>
    <n v="103511.47399999999"/>
    <n v="8267"/>
    <n v="93535.501882737939"/>
    <n v="81316.510579999987"/>
  </r>
  <r>
    <d v="2016-04-29T00:00:00"/>
    <x v="12"/>
    <n v="4"/>
    <n v="66.33"/>
    <n v="490"/>
    <n v="425"/>
    <n v="554"/>
    <n v="527"/>
    <n v="510"/>
    <n v="615"/>
    <n v="594.27499999999998"/>
    <n v="519.6875"/>
    <n v="1260"/>
    <n v="103977.08337499999"/>
    <n v="8067"/>
    <n v="91464.802535607363"/>
    <n v="81875.463064999989"/>
  </r>
  <r>
    <d v="2016-05-02T00:00:00"/>
    <x v="13"/>
    <n v="5"/>
    <n v="66.459999999999994"/>
    <n v="490"/>
    <n v="420"/>
    <n v="550"/>
    <n v="520"/>
    <n v="510"/>
    <n v="610"/>
    <n v="594.27499999999998"/>
    <n v="513.95000000000005"/>
    <n v="1255"/>
    <n v="103797.16062499997"/>
    <n v="7600"/>
    <n v="86629.719560057478"/>
    <n v="81637.220059999992"/>
  </r>
  <r>
    <d v="2016-05-03T00:00:00"/>
    <x v="13"/>
    <n v="5"/>
    <n v="66.430000000000007"/>
    <n v="475"/>
    <n v="415"/>
    <n v="546"/>
    <n v="515"/>
    <n v="510"/>
    <n v="605"/>
    <n v="577.0625"/>
    <n v="508.21250000000003"/>
    <n v="1250"/>
    <n v="103377.37850000001"/>
    <n v="7733"/>
    <n v="88006.734625899291"/>
    <n v="81212.444345000011"/>
  </r>
  <r>
    <d v="2016-05-04T00:00:00"/>
    <x v="13"/>
    <n v="5"/>
    <n v="66.55"/>
    <n v="485"/>
    <n v="425"/>
    <n v="546"/>
    <n v="517"/>
    <n v="510"/>
    <n v="610"/>
    <n v="588.53750000000002"/>
    <n v="519.6875"/>
    <n v="1240"/>
    <n v="102804.98937499999"/>
    <n v="7800"/>
    <n v="88700.418907188068"/>
    <n v="80569.968874999991"/>
  </r>
  <r>
    <d v="2016-05-05T00:00:00"/>
    <x v="13"/>
    <n v="5"/>
    <n v="66.55"/>
    <n v="480"/>
    <n v="425"/>
    <n v="550"/>
    <n v="517"/>
    <n v="510"/>
    <n v="610"/>
    <n v="582.80000000000007"/>
    <n v="519.6875"/>
    <n v="1240"/>
    <n v="102804.98937499999"/>
    <n v="7667"/>
    <n v="87323.403841346211"/>
    <n v="80569.968874999991"/>
  </r>
  <r>
    <d v="2016-05-06T00:00:00"/>
    <x v="13"/>
    <n v="5"/>
    <n v="66.55"/>
    <n v="480"/>
    <n v="425"/>
    <n v="550"/>
    <n v="517"/>
    <n v="510"/>
    <n v="605"/>
    <n v="582.80000000000007"/>
    <n v="519.6875"/>
    <n v="1225"/>
    <n v="101678.21468749999"/>
    <n v="7733"/>
    <n v="88006.734625899291"/>
    <n v="79398.123200000002"/>
  </r>
  <r>
    <d v="2016-05-09T00:00:00"/>
    <x v="14"/>
    <n v="5"/>
    <n v="66.58"/>
    <n v="485"/>
    <n v="430"/>
    <n v="555"/>
    <n v="520"/>
    <n v="515"/>
    <n v="610"/>
    <n v="588.53750000000002"/>
    <n v="525.42499999999995"/>
    <n v="1235"/>
    <n v="102473.58837499999"/>
    <n v="7667"/>
    <n v="87323.403841346211"/>
    <n v="80213.514139999999"/>
  </r>
  <r>
    <d v="2016-05-10T00:00:00"/>
    <x v="14"/>
    <n v="5"/>
    <n v="66.680000000000007"/>
    <n v="480"/>
    <n v="420"/>
    <n v="550"/>
    <n v="520"/>
    <n v="515"/>
    <n v="605"/>
    <n v="582.80000000000007"/>
    <n v="513.95000000000005"/>
    <n v="1235"/>
    <n v="102620.89025"/>
    <n v="7633"/>
    <n v="86971.384952334032"/>
    <n v="80327.382440000001"/>
  </r>
  <r>
    <d v="2016-05-11T00:00:00"/>
    <x v="14"/>
    <n v="5"/>
    <n v="66.569999999999993"/>
    <n v="480"/>
    <n v="420"/>
    <n v="550"/>
    <n v="520"/>
    <n v="515"/>
    <n v="605"/>
    <n v="582.80000000000007"/>
    <n v="513.95000000000005"/>
    <n v="1235"/>
    <n v="102458.85818749998"/>
    <n v="7600"/>
    <n v="86629.719560057478"/>
    <n v="80202.127309999996"/>
  </r>
  <r>
    <d v="2016-05-12T00:00:00"/>
    <x v="14"/>
    <n v="5"/>
    <n v="66.62"/>
    <n v="475"/>
    <n v="418"/>
    <n v="550"/>
    <n v="525"/>
    <n v="515"/>
    <n v="605"/>
    <n v="577.0625"/>
    <n v="511.65500000000003"/>
    <n v="1200"/>
    <n v="99900.602750000005"/>
    <n v="7467"/>
    <n v="85252.704494215635"/>
    <n v="77521.878830000001"/>
  </r>
  <r>
    <d v="2016-05-13T00:00:00"/>
    <x v="14"/>
    <n v="5"/>
    <n v="66.760000000000005"/>
    <n v="470"/>
    <n v="413"/>
    <n v="550"/>
    <n v="525"/>
    <n v="515"/>
    <n v="600"/>
    <n v="571.32500000000005"/>
    <n v="505.91750000000002"/>
    <n v="1200"/>
    <n v="100101.2945"/>
    <n v="7400"/>
    <n v="84559.020212926916"/>
    <n v="77675.54234"/>
  </r>
  <r>
    <d v="2016-05-16T00:00:00"/>
    <x v="15"/>
    <n v="5"/>
    <n v="66.8"/>
    <n v="475"/>
    <n v="410"/>
    <n v="545"/>
    <n v="515"/>
    <n v="515"/>
    <n v="605"/>
    <n v="577.0625"/>
    <n v="502.47499999999997"/>
    <n v="1200"/>
    <n v="100158.63499999999"/>
    <n v="7467"/>
    <n v="85252.704494215635"/>
    <n v="77719.446199999991"/>
  </r>
  <r>
    <d v="2016-05-17T00:00:00"/>
    <x v="15"/>
    <n v="5"/>
    <n v="66.87"/>
    <n v="475"/>
    <n v="415"/>
    <n v="545"/>
    <n v="510"/>
    <n v="515"/>
    <n v="605"/>
    <n v="577.0625"/>
    <n v="508.21250000000003"/>
    <n v="1190"/>
    <n v="99504.185750000004"/>
    <n v="7600"/>
    <n v="86629.719560057478"/>
    <n v="77011.291024999999"/>
  </r>
  <r>
    <d v="2016-05-18T00:00:00"/>
    <x v="15"/>
    <n v="5"/>
    <n v="66.97"/>
    <n v="465"/>
    <n v="405"/>
    <n v="540"/>
    <n v="495"/>
    <n v="500"/>
    <n v="595"/>
    <n v="565.58749999999998"/>
    <n v="496.73750000000001"/>
    <n v="1190"/>
    <n v="99646.408249999993"/>
    <n v="7600"/>
    <n v="86629.719560057478"/>
    <n v="77119.876774999997"/>
  </r>
  <r>
    <d v="2016-05-19T00:00:00"/>
    <x v="15"/>
    <n v="5"/>
    <n v="67.37"/>
    <n v="460"/>
    <n v="400"/>
    <n v="540"/>
    <n v="490"/>
    <n v="500"/>
    <n v="595"/>
    <n v="559.85"/>
    <n v="491"/>
    <n v="1185"/>
    <n v="99835.078812499996"/>
    <n v="7533"/>
    <n v="85936.035278768744"/>
    <n v="77158.791559999998"/>
  </r>
  <r>
    <d v="2016-05-20T00:00:00"/>
    <x v="15"/>
    <n v="5"/>
    <n v="67.37"/>
    <n v="465"/>
    <n v="395"/>
    <n v="525"/>
    <n v="490"/>
    <n v="500"/>
    <n v="600"/>
    <n v="565.58749999999998"/>
    <n v="485.26250000000005"/>
    <n v="1195"/>
    <n v="100595.5176875"/>
    <n v="7467"/>
    <n v="85252.704494215635"/>
    <n v="77949.647989999998"/>
  </r>
  <r>
    <d v="2016-05-23T00:00:00"/>
    <x v="16"/>
    <n v="5"/>
    <n v="67.5"/>
    <n v="465"/>
    <n v="395"/>
    <n v="525"/>
    <n v="490"/>
    <n v="500"/>
    <n v="600"/>
    <n v="565.58749999999998"/>
    <n v="485.26250000000005"/>
    <n v="1185"/>
    <n v="100019.234375"/>
    <n v="7267"/>
    <n v="83182.005147085089"/>
    <n v="77299.19"/>
  </r>
  <r>
    <d v="2016-05-24T00:00:00"/>
    <x v="16"/>
    <n v="5"/>
    <n v="67.7"/>
    <n v="465"/>
    <n v="390"/>
    <n v="550"/>
    <n v="485"/>
    <n v="500"/>
    <n v="605"/>
    <n v="565.58749999999998"/>
    <n v="479.52500000000003"/>
    <n v="1185"/>
    <n v="100302.55062499999"/>
    <n v="7133"/>
    <n v="81794.636584507607"/>
    <n v="77515.18759999999"/>
  </r>
  <r>
    <d v="2016-05-25T00:00:00"/>
    <x v="16"/>
    <n v="5"/>
    <n v="67.36"/>
    <n v="460"/>
    <n v="400"/>
    <n v="525"/>
    <n v="485"/>
    <n v="500"/>
    <n v="607"/>
    <n v="559.85"/>
    <n v="491"/>
    <n v="1190"/>
    <n v="100201.076"/>
    <n v="7267"/>
    <n v="83182.005147085089"/>
    <n v="77543.361199999999"/>
  </r>
  <r>
    <d v="2016-05-26T00:00:00"/>
    <x v="16"/>
    <n v="5"/>
    <n v="67.180000000000007"/>
    <n v="465"/>
    <n v="405"/>
    <n v="530"/>
    <n v="490"/>
    <n v="505"/>
    <n v="615"/>
    <n v="565.58749999999998"/>
    <n v="496.73750000000001"/>
    <n v="1190"/>
    <n v="99945.075499999992"/>
    <n v="7267"/>
    <n v="83182.005147085089"/>
    <n v="77347.906849999999"/>
  </r>
  <r>
    <d v="2016-05-27T00:00:00"/>
    <x v="16"/>
    <n v="5"/>
    <n v="67.040000000000006"/>
    <n v="465"/>
    <n v="405"/>
    <n v="530"/>
    <n v="490"/>
    <n v="505"/>
    <n v="615"/>
    <n v="565.58749999999998"/>
    <n v="496.73750000000001"/>
    <n v="1210"/>
    <n v="101259.39200000001"/>
    <n v="7267"/>
    <n v="83182.005147085089"/>
    <n v="78769.851920000001"/>
  </r>
  <r>
    <d v="2016-05-30T00:00:00"/>
    <x v="17"/>
    <n v="5"/>
    <n v="67.16"/>
    <n v="470"/>
    <n v="410"/>
    <n v="530"/>
    <n v="500"/>
    <n v="510"/>
    <n v="620"/>
    <n v="571.32500000000005"/>
    <n v="502.47499999999997"/>
    <n v="1210"/>
    <n v="101432.76799999998"/>
    <n v="7367"/>
    <n v="84217.354820650362"/>
    <n v="78902.972179999997"/>
  </r>
  <r>
    <d v="2016-05-31T00:00:00"/>
    <x v="17"/>
    <n v="5"/>
    <n v="67.3"/>
    <n v="470"/>
    <n v="410"/>
    <n v="530"/>
    <n v="500"/>
    <n v="510"/>
    <n v="620"/>
    <n v="571.32500000000005"/>
    <n v="502.47499999999997"/>
    <n v="1215"/>
    <n v="102014.86437499999"/>
    <n v="7367"/>
    <n v="84217.354820650362"/>
    <n v="79453.296499999997"/>
  </r>
  <r>
    <d v="2016-06-01T00:00:00"/>
    <x v="17"/>
    <n v="6"/>
    <n v="67.459999999999994"/>
    <n v="465"/>
    <n v="405"/>
    <n v="530"/>
    <n v="500"/>
    <n v="510"/>
    <n v="615"/>
    <n v="565.58749999999998"/>
    <n v="496.73750000000001"/>
    <n v="1215"/>
    <n v="102246.93537499999"/>
    <n v="7467"/>
    <n v="85252.704494215635"/>
    <n v="79631.729299999992"/>
  </r>
  <r>
    <d v="2016-06-02T00:00:00"/>
    <x v="17"/>
    <n v="6"/>
    <n v="67.3"/>
    <n v="470"/>
    <n v="410"/>
    <n v="530"/>
    <n v="500"/>
    <n v="510"/>
    <n v="617"/>
    <n v="571.32500000000005"/>
    <n v="502.47499999999997"/>
    <n v="1215"/>
    <n v="102014.86437499999"/>
    <n v="7400"/>
    <n v="84559.020212926916"/>
    <n v="79453.296499999997"/>
  </r>
  <r>
    <d v="2016-06-03T00:00:00"/>
    <x v="17"/>
    <n v="6"/>
    <n v="67.25"/>
    <n v="475"/>
    <n v="415"/>
    <n v="535"/>
    <n v="505"/>
    <n v="510"/>
    <n v="625"/>
    <n v="577.0625"/>
    <n v="508.21250000000003"/>
    <n v="1215"/>
    <n v="101942.34218749999"/>
    <n v="7467"/>
    <n v="85252.704494215635"/>
    <n v="79397.53624999999"/>
  </r>
  <r>
    <d v="2016-06-06T00:00:00"/>
    <x v="18"/>
    <n v="6"/>
    <n v="66.959999999999994"/>
    <n v="475"/>
    <n v="420"/>
    <n v="535"/>
    <n v="510"/>
    <n v="510"/>
    <n v="628"/>
    <n v="577.0625"/>
    <n v="513.95000000000005"/>
    <n v="1270"/>
    <n v="105678.67399999998"/>
    <n v="7433"/>
    <n v="84900.685605203471"/>
    <n v="83397.365719999987"/>
  </r>
  <r>
    <d v="2016-06-07T00:00:00"/>
    <x v="18"/>
    <n v="6"/>
    <n v="66.77"/>
    <n v="470"/>
    <n v="415"/>
    <n v="535"/>
    <n v="510"/>
    <n v="510"/>
    <n v="623"/>
    <n v="571.32500000000005"/>
    <n v="508.21250000000003"/>
    <n v="1270"/>
    <n v="105391.29424999998"/>
    <n v="7400"/>
    <n v="84559.020212926916"/>
    <n v="83173.20951499998"/>
  </r>
  <r>
    <d v="2016-06-08T00:00:00"/>
    <x v="18"/>
    <n v="6"/>
    <n v="66.650000000000006"/>
    <n v="475"/>
    <n v="425"/>
    <n v="535"/>
    <n v="515"/>
    <n v="530"/>
    <n v="628"/>
    <n v="577.0625"/>
    <n v="519.6875"/>
    <n v="1270"/>
    <n v="105209.79125000001"/>
    <n v="7433"/>
    <n v="84900.685605203471"/>
    <n v="83031.637174999996"/>
  </r>
  <r>
    <d v="2016-06-09T00:00:00"/>
    <x v="18"/>
    <n v="6"/>
    <n v="66.709999999999994"/>
    <n v="475"/>
    <n v="425"/>
    <n v="535"/>
    <n v="515"/>
    <n v="530"/>
    <n v="625"/>
    <n v="577.0625"/>
    <n v="519.6875"/>
    <n v="1305"/>
    <n v="107936.00468749998"/>
    <n v="7500"/>
    <n v="85594.369886492204"/>
    <n v="85843.303759999995"/>
  </r>
  <r>
    <d v="2016-06-10T00:00:00"/>
    <x v="18"/>
    <n v="6"/>
    <n v="66.760000000000005"/>
    <n v="475"/>
    <n v="425"/>
    <n v="535"/>
    <n v="515"/>
    <n v="530"/>
    <n v="625"/>
    <n v="577.0625"/>
    <n v="519.6875"/>
    <n v="1305"/>
    <n v="108013.60625"/>
    <n v="7500"/>
    <n v="85594.369886492204"/>
    <n v="85904.346560000005"/>
  </r>
  <r>
    <d v="2016-06-13T00:00:00"/>
    <x v="19"/>
    <n v="6"/>
    <n v="67.13"/>
    <n v="470"/>
    <n v="420"/>
    <n v="530"/>
    <n v="510"/>
    <n v="540"/>
    <n v="619"/>
    <n v="571.32500000000005"/>
    <n v="513.95000000000005"/>
    <n v="1310"/>
    <n v="108966.72274999999"/>
    <n v="7567"/>
    <n v="86288.054167780938"/>
    <n v="86750.082814999987"/>
  </r>
  <r>
    <d v="2016-06-14T00:00:00"/>
    <x v="19"/>
    <n v="6"/>
    <n v="67.150000000000006"/>
    <n v="465"/>
    <n v="415"/>
    <n v="522"/>
    <n v="505"/>
    <n v="525"/>
    <n v="609"/>
    <n v="565.58749999999998"/>
    <n v="508.21250000000003"/>
    <n v="1310"/>
    <n v="108997.87625000002"/>
    <n v="7667"/>
    <n v="87323.403841346211"/>
    <n v="86774.617324999999"/>
  </r>
  <r>
    <d v="2016-06-15T00:00:00"/>
    <x v="19"/>
    <n v="6"/>
    <n v="67.22"/>
    <n v="460"/>
    <n v="410"/>
    <n v="517"/>
    <n v="500"/>
    <n v="530"/>
    <n v="600"/>
    <n v="559.85"/>
    <n v="502.47499999999997"/>
    <n v="1310"/>
    <n v="109106.91349999998"/>
    <n v="7733.333333333333"/>
    <n v="88010.185791477867"/>
    <n v="86860.488109999991"/>
  </r>
  <r>
    <d v="2016-06-16T00:00:00"/>
    <x v="19"/>
    <n v="6"/>
    <n v="67.3"/>
    <n v="460"/>
    <n v="410"/>
    <n v="515"/>
    <n v="500"/>
    <n v="530"/>
    <n v="589"/>
    <n v="559.85"/>
    <n v="502.47499999999997"/>
    <n v="1295"/>
    <n v="108092.05437499999"/>
    <n v="7633.333333333333"/>
    <n v="86974.836117912564"/>
    <n v="85773.574099999998"/>
  </r>
  <r>
    <d v="2016-06-17T00:00:00"/>
    <x v="19"/>
    <n v="6"/>
    <n v="67.069999999999993"/>
    <n v="465"/>
    <n v="410"/>
    <n v="515"/>
    <n v="500"/>
    <n v="530"/>
    <n v="595"/>
    <n v="565.58749999999998"/>
    <n v="502.47499999999997"/>
    <n v="1295"/>
    <n v="107737.68331249998"/>
    <n v="7633.333333333333"/>
    <n v="86974.836117912564"/>
    <n v="85495.477189999991"/>
  </r>
  <r>
    <d v="2016-06-20T00:00:00"/>
    <x v="20"/>
    <n v="6"/>
    <n v="67.31"/>
    <n v="465"/>
    <n v="410"/>
    <n v="515"/>
    <n v="500"/>
    <n v="530"/>
    <n v="595"/>
    <n v="565.58749999999998"/>
    <n v="502.47499999999997"/>
    <n v="1295"/>
    <n v="108107.4618125"/>
    <n v="7566.666666666667"/>
    <n v="86284.603002202406"/>
    <n v="85785.665269999998"/>
  </r>
  <r>
    <d v="2016-06-21T00:00:00"/>
    <x v="20"/>
    <n v="6"/>
    <n v="67.5"/>
    <n v="465"/>
    <n v="410"/>
    <n v="515"/>
    <n v="500"/>
    <n v="530"/>
    <n v="595"/>
    <n v="565.58749999999998"/>
    <n v="502.47499999999997"/>
    <n v="1295"/>
    <n v="108400.20312499999"/>
    <n v="7466.666666666667"/>
    <n v="85249.253328637118"/>
    <n v="86015.397499999992"/>
  </r>
  <r>
    <d v="2016-06-22T00:00:00"/>
    <x v="20"/>
    <n v="6"/>
    <n v="67.48"/>
    <n v="465"/>
    <n v="410"/>
    <n v="515"/>
    <n v="500"/>
    <n v="530"/>
    <n v="595"/>
    <n v="565.58749999999998"/>
    <n v="502.47499999999997"/>
    <n v="1295"/>
    <n v="108369.38825"/>
    <n v="7400"/>
    <n v="84559.020212926916"/>
    <n v="85991.215160000007"/>
  </r>
  <r>
    <d v="2016-06-23T00:00:00"/>
    <x v="20"/>
    <n v="6"/>
    <n v="67.25"/>
    <n v="465"/>
    <n v="410"/>
    <n v="515"/>
    <n v="500"/>
    <n v="530"/>
    <n v="595"/>
    <n v="565.58749999999998"/>
    <n v="502.47499999999997"/>
    <n v="1295"/>
    <n v="108015.01718749999"/>
    <n v="7400"/>
    <n v="84559.020212926916"/>
    <n v="85713.11825"/>
  </r>
  <r>
    <d v="2016-06-24T00:00:00"/>
    <x v="20"/>
    <n v="6"/>
    <n v="67.959999999999994"/>
    <n v="465"/>
    <n v="410"/>
    <n v="515"/>
    <n v="500"/>
    <n v="530"/>
    <n v="595"/>
    <n v="565.58749999999998"/>
    <n v="502.47499999999997"/>
    <n v="1280"/>
    <n v="107958.29749999997"/>
    <n v="7500"/>
    <n v="85594.369886492204"/>
    <n v="85374.917659999992"/>
  </r>
  <r>
    <d v="2016-06-27T00:00:00"/>
    <x v="21"/>
    <n v="6"/>
    <n v="67.95"/>
    <n v="465"/>
    <n v="410"/>
    <n v="515"/>
    <n v="500"/>
    <n v="530"/>
    <n v="595"/>
    <n v="565.58749999999998"/>
    <n v="502.47499999999997"/>
    <n v="1285"/>
    <n v="108326.5521875"/>
    <n v="7333.333333333333"/>
    <n v="83868.787097216729"/>
    <n v="85761.835099999997"/>
  </r>
  <r>
    <d v="2016-06-28T00:00:00"/>
    <x v="21"/>
    <n v="6"/>
    <n v="67.95"/>
    <n v="475"/>
    <n v="420"/>
    <n v="510"/>
    <n v="510"/>
    <n v="535"/>
    <n v="605"/>
    <n v="577.0625"/>
    <n v="513.95000000000005"/>
    <n v="1280"/>
    <n v="107943.059375"/>
    <n v="7333.333333333333"/>
    <n v="83868.787097216729"/>
    <n v="85363.002574999991"/>
  </r>
  <r>
    <d v="2016-06-29T00:00:00"/>
    <x v="21"/>
    <n v="6"/>
    <n v="67.69"/>
    <n v="460"/>
    <n v="420"/>
    <n v="510"/>
    <n v="510"/>
    <n v="540"/>
    <n v="590"/>
    <n v="559.85"/>
    <n v="513.95000000000005"/>
    <n v="1270"/>
    <n v="106782.81724999998"/>
    <n v="7333.333333333333"/>
    <n v="83868.787097216729"/>
    <n v="84258.597454999996"/>
  </r>
  <r>
    <d v="2016-06-30T00:00:00"/>
    <x v="21"/>
    <n v="6"/>
    <n v="67.52"/>
    <n v="460"/>
    <n v="420"/>
    <n v="510"/>
    <n v="510"/>
    <n v="540"/>
    <n v="590"/>
    <n v="559.85"/>
    <n v="513.95000000000005"/>
    <n v="1285"/>
    <n v="107668.88599999998"/>
    <n v="7200"/>
    <n v="82488.320865796341"/>
    <n v="85246.962559999985"/>
  </r>
  <r>
    <d v="2016-07-01T00:00:00"/>
    <x v="21"/>
    <n v="7"/>
    <n v="67.319999999999993"/>
    <n v="460"/>
    <n v="420"/>
    <n v="510"/>
    <n v="510"/>
    <n v="545"/>
    <n v="590"/>
    <n v="559.85"/>
    <n v="513.95000000000005"/>
    <n v="1285"/>
    <n v="107362.99474999998"/>
    <n v="7233.333333333333"/>
    <n v="82833.437423651427"/>
    <n v="85007.486959999995"/>
  </r>
  <r>
    <d v="2016-07-04T00:00:00"/>
    <x v="22"/>
    <n v="7"/>
    <n v="67.72"/>
    <n v="460"/>
    <n v="425"/>
    <n v="510"/>
    <n v="525"/>
    <n v="550"/>
    <n v="595"/>
    <n v="559.85"/>
    <n v="519.6875"/>
    <n v="1270"/>
    <n v="106828.193"/>
    <n v="7133.333333333333"/>
    <n v="81798.087750086153"/>
    <n v="84293.990539999999"/>
  </r>
  <r>
    <d v="2016-07-05T00:00:00"/>
    <x v="22"/>
    <n v="7"/>
    <n v="67.56"/>
    <n v="455"/>
    <n v="420"/>
    <n v="510"/>
    <n v="525"/>
    <n v="550"/>
    <n v="590"/>
    <n v="554.11250000000007"/>
    <n v="513.95000000000005"/>
    <n v="1270"/>
    <n v="106586.189"/>
    <n v="7066.666666666667"/>
    <n v="81107.854634375966"/>
    <n v="84105.227419999996"/>
  </r>
  <r>
    <d v="2016-07-08T00:00:00"/>
    <x v="22"/>
    <n v="7"/>
    <n v="67.37"/>
    <n v="455"/>
    <n v="420"/>
    <n v="510"/>
    <n v="525"/>
    <n v="550"/>
    <n v="590"/>
    <n v="554.11250000000007"/>
    <n v="513.95000000000005"/>
    <n v="1250"/>
    <n v="104777.93150000001"/>
    <n v="7100"/>
    <n v="81452.971192231067"/>
    <n v="82299.358355000004"/>
  </r>
  <r>
    <d v="2016-07-11T00:00:00"/>
    <x v="23"/>
    <n v="7"/>
    <n v="67.13"/>
    <n v="450"/>
    <n v="420"/>
    <n v="505"/>
    <n v="515"/>
    <n v="550"/>
    <n v="595"/>
    <n v="548.375"/>
    <n v="513.95000000000005"/>
    <n v="1250"/>
    <n v="104420.34349999999"/>
    <n v="7233.333333333333"/>
    <n v="82833.437423651427"/>
    <n v="82021.848394999979"/>
  </r>
  <r>
    <d v="2016-07-12T00:00:00"/>
    <x v="23"/>
    <n v="7"/>
    <n v="67.180000000000007"/>
    <n v="450"/>
    <n v="420"/>
    <n v="500"/>
    <n v="515"/>
    <n v="545"/>
    <n v="590"/>
    <n v="548.375"/>
    <n v="513.95000000000005"/>
    <n v="1225"/>
    <n v="102599.105375"/>
    <n v="7166.666666666667"/>
    <n v="82143.204307941254"/>
    <n v="80108.09792"/>
  </r>
  <r>
    <d v="2016-07-13T00:00:00"/>
    <x v="23"/>
    <n v="7"/>
    <n v="67.05"/>
    <n v="455"/>
    <n v="425"/>
    <n v="500"/>
    <n v="515"/>
    <n v="550"/>
    <n v="595"/>
    <n v="554.11250000000007"/>
    <n v="519.6875"/>
    <n v="1240"/>
    <n v="103544.32062499999"/>
    <n v="7166.666666666667"/>
    <n v="82143.204307941254"/>
    <n v="81142.245125000001"/>
  </r>
  <r>
    <d v="2016-07-14T00:00:00"/>
    <x v="23"/>
    <n v="7"/>
    <n v="66.91"/>
    <n v="455"/>
    <n v="420"/>
    <n v="500"/>
    <n v="515"/>
    <n v="550"/>
    <n v="595"/>
    <n v="554.11250000000007"/>
    <n v="513.95000000000005"/>
    <n v="1240"/>
    <n v="103337.30787499998"/>
    <n v="7166.666666666667"/>
    <n v="82143.204307941254"/>
    <n v="80982.007774999991"/>
  </r>
  <r>
    <d v="2016-07-15T00:00:00"/>
    <x v="23"/>
    <n v="7"/>
    <n v="67.05"/>
    <n v="455"/>
    <n v="420"/>
    <n v="500"/>
    <n v="515"/>
    <n v="550"/>
    <n v="595"/>
    <n v="554.11250000000007"/>
    <n v="513.95000000000005"/>
    <n v="1240"/>
    <n v="103544.32062499999"/>
    <n v="7300"/>
    <n v="83523.670539361628"/>
    <n v="81142.245125000001"/>
  </r>
  <r>
    <d v="2016-07-18T00:00:00"/>
    <x v="24"/>
    <n v="7"/>
    <n v="67.08"/>
    <n v="455"/>
    <n v="420"/>
    <n v="500"/>
    <n v="515"/>
    <n v="550"/>
    <n v="595"/>
    <n v="554.11250000000007"/>
    <n v="513.95000000000005"/>
    <n v="1270"/>
    <n v="105860.177"/>
    <n v="7200"/>
    <n v="82488.320865796341"/>
    <n v="83538.938059999986"/>
  </r>
  <r>
    <d v="2016-07-19T00:00:00"/>
    <x v="24"/>
    <n v="7"/>
    <n v="67.099999999999994"/>
    <n v="455"/>
    <n v="420"/>
    <n v="500"/>
    <n v="515"/>
    <n v="550"/>
    <n v="600"/>
    <n v="554.11250000000007"/>
    <n v="513.95000000000005"/>
    <n v="1260"/>
    <n v="105133.03624999998"/>
    <n v="7166.666666666667"/>
    <n v="82143.204307941254"/>
    <n v="82774.846550000002"/>
  </r>
  <r>
    <d v="2016-07-20T00:00:00"/>
    <x v="24"/>
    <n v="7"/>
    <n v="67.19"/>
    <n v="465"/>
    <n v="425"/>
    <n v="500"/>
    <n v="515"/>
    <n v="550"/>
    <n v="595"/>
    <n v="565.58749999999998"/>
    <n v="519.6875"/>
    <n v="1270"/>
    <n v="106026.55474999998"/>
    <n v="7266.666666666667"/>
    <n v="83178.553981506542"/>
    <n v="83668.712704999998"/>
  </r>
  <r>
    <d v="2016-07-21T00:00:00"/>
    <x v="24"/>
    <n v="7"/>
    <n v="67.17"/>
    <n v="465"/>
    <n v="425"/>
    <n v="515"/>
    <n v="520"/>
    <n v="550"/>
    <n v="595"/>
    <n v="565.58749999999998"/>
    <n v="519.6875"/>
    <n v="1290"/>
    <n v="107512.66699999999"/>
    <n v="7266.666666666667"/>
    <n v="83178.553981506542"/>
    <n v="85222.134574999989"/>
  </r>
  <r>
    <d v="2016-07-22T00:00:00"/>
    <x v="24"/>
    <n v="7"/>
    <n v="67.09"/>
    <n v="465"/>
    <n v="425"/>
    <n v="515"/>
    <n v="520"/>
    <n v="550"/>
    <n v="590"/>
    <n v="565.58749999999998"/>
    <n v="519.6875"/>
    <n v="1280"/>
    <n v="106632.58062499999"/>
    <n v="7333.333333333333"/>
    <n v="83868.787097216729"/>
    <n v="84338.305265000003"/>
  </r>
  <r>
    <d v="2016-07-25T00:00:00"/>
    <x v="25"/>
    <n v="7"/>
    <n v="67.31"/>
    <n v="460"/>
    <n v="425"/>
    <n v="515"/>
    <n v="520"/>
    <n v="550"/>
    <n v="585"/>
    <n v="559.85"/>
    <n v="519.6875"/>
    <n v="1290"/>
    <n v="107727.58100000001"/>
    <n v="7533.333333333333"/>
    <n v="85939.486444347276"/>
    <n v="85390.589225000003"/>
  </r>
  <r>
    <d v="2016-07-26T00:00:00"/>
    <x v="25"/>
    <n v="7"/>
    <n v="67.27"/>
    <n v="460"/>
    <n v="425"/>
    <n v="515"/>
    <n v="520"/>
    <n v="550"/>
    <n v="585"/>
    <n v="559.85"/>
    <n v="519.6875"/>
    <n v="1300"/>
    <n v="108425.48712499999"/>
    <n v="7400"/>
    <n v="84559.020212926916"/>
    <n v="86132.141854999994"/>
  </r>
  <r>
    <d v="2016-07-27T00:00:00"/>
    <x v="25"/>
    <n v="7"/>
    <n v="67.25"/>
    <n v="460"/>
    <n v="425"/>
    <n v="515"/>
    <n v="520"/>
    <n v="550"/>
    <n v="585"/>
    <n v="559.85"/>
    <n v="519.6875"/>
    <n v="1310"/>
    <n v="109153.64374999999"/>
    <n v="7500"/>
    <n v="85594.369886492204"/>
    <n v="86897.289875000002"/>
  </r>
  <r>
    <d v="2016-07-28T00:00:00"/>
    <x v="25"/>
    <n v="7"/>
    <n v="67.040000000000006"/>
    <n v="460"/>
    <n v="425"/>
    <n v="515"/>
    <n v="520"/>
    <n v="550"/>
    <n v="585"/>
    <n v="559.85"/>
    <n v="519.6875"/>
    <n v="1310"/>
    <n v="108826.53200000001"/>
    <n v="7566.666666666667"/>
    <n v="86284.603002202406"/>
    <n v="86639.677519999997"/>
  </r>
  <r>
    <d v="2016-07-29T00:00:00"/>
    <x v="25"/>
    <n v="7"/>
    <n v="67.02"/>
    <n v="460"/>
    <n v="425"/>
    <n v="515"/>
    <n v="520"/>
    <n v="550"/>
    <n v="585"/>
    <n v="559.85"/>
    <n v="519.6875"/>
    <n v="1320"/>
    <n v="109551.86674999999"/>
    <n v="7566.666666666667"/>
    <n v="86284.603002202406"/>
    <n v="87401.89078999999"/>
  </r>
  <r>
    <d v="2016-08-01T00:00:00"/>
    <x v="26"/>
    <n v="8"/>
    <n v="66.77"/>
    <n v="470"/>
    <n v="435"/>
    <n v="515"/>
    <n v="520"/>
    <n v="550"/>
    <n v="590"/>
    <n v="571.32500000000005"/>
    <n v="531.16249999999991"/>
    <n v="1320"/>
    <n v="109159.62612499998"/>
    <n v="7866.666666666667"/>
    <n v="89390.652022898255"/>
    <n v="87092.27466499999"/>
  </r>
  <r>
    <d v="2016-08-02T00:00:00"/>
    <x v="26"/>
    <n v="8"/>
    <n v="66.73"/>
    <n v="475"/>
    <n v="440"/>
    <n v="515"/>
    <n v="520"/>
    <n v="550"/>
    <n v="595"/>
    <n v="577.0625"/>
    <n v="536.90000000000009"/>
    <n v="1320"/>
    <n v="109096.867625"/>
    <n v="7866.666666666667"/>
    <n v="89390.652022898255"/>
    <n v="87042.736085000011"/>
  </r>
  <r>
    <d v="2016-08-03T00:00:00"/>
    <x v="26"/>
    <n v="8"/>
    <n v="66.989999999999995"/>
    <n v="470"/>
    <n v="440"/>
    <n v="525"/>
    <n v="530"/>
    <n v="560"/>
    <n v="605"/>
    <n v="571.32500000000005"/>
    <n v="536.90000000000009"/>
    <n v="1330"/>
    <n v="110260.94749999999"/>
    <n v="7766.666666666667"/>
    <n v="88355.302349332953"/>
    <n v="88151.132464999988"/>
  </r>
  <r>
    <d v="2016-08-04T00:00:00"/>
    <x v="26"/>
    <n v="8"/>
    <n v="66.91"/>
    <n v="470"/>
    <n v="440"/>
    <n v="515"/>
    <n v="520"/>
    <n v="550"/>
    <n v="605"/>
    <n v="571.32500000000005"/>
    <n v="536.90000000000009"/>
    <n v="1330"/>
    <n v="110134.5275"/>
    <n v="7766.666666666667"/>
    <n v="88355.302349332953"/>
    <n v="88051.116184999992"/>
  </r>
  <r>
    <d v="2016-08-05T00:00:00"/>
    <x v="26"/>
    <n v="8"/>
    <n v="66.83"/>
    <n v="470"/>
    <n v="445"/>
    <n v="535"/>
    <n v="535"/>
    <n v="550"/>
    <n v="605"/>
    <n v="571.32500000000005"/>
    <n v="542.63750000000005"/>
    <n v="1320"/>
    <n v="109253.76387499999"/>
    <n v="7833.333333333333"/>
    <n v="89045.535465043155"/>
    <n v="87166.582534999994"/>
  </r>
  <r>
    <d v="2016-08-08T00:00:00"/>
    <x v="27"/>
    <n v="8"/>
    <n v="66.849999999999994"/>
    <n v="475"/>
    <n v="435"/>
    <n v="535"/>
    <n v="535"/>
    <n v="550"/>
    <n v="610"/>
    <n v="577.0625"/>
    <n v="531.16249999999991"/>
    <n v="1330"/>
    <n v="110039.71249999998"/>
    <n v="8000"/>
    <n v="90771.118254318601"/>
    <n v="87976.103974999991"/>
  </r>
  <r>
    <d v="2016-08-09T00:00:00"/>
    <x v="27"/>
    <n v="8"/>
    <n v="66.84"/>
    <n v="475"/>
    <n v="435"/>
    <n v="535"/>
    <n v="535"/>
    <n v="550"/>
    <n v="610"/>
    <n v="577.0625"/>
    <n v="531.16249999999991"/>
    <n v="1330"/>
    <n v="110023.90999999999"/>
    <n v="7933.333333333333"/>
    <n v="90080.885138608428"/>
    <n v="87963.601940000008"/>
  </r>
  <r>
    <d v="2016-08-10T00:00:00"/>
    <x v="27"/>
    <n v="8"/>
    <n v="66.680000000000007"/>
    <n v="485"/>
    <n v="445"/>
    <n v="550"/>
    <n v="550"/>
    <n v="555"/>
    <n v="610"/>
    <n v="588.53750000000002"/>
    <n v="542.63750000000005"/>
    <n v="1330"/>
    <n v="109771.07"/>
    <n v="7966.666666666667"/>
    <n v="90426.001696463514"/>
    <n v="87763.569380000015"/>
  </r>
  <r>
    <d v="2016-08-11T00:00:00"/>
    <x v="27"/>
    <n v="8"/>
    <n v="66.84"/>
    <n v="490"/>
    <n v="450"/>
    <n v="550"/>
    <n v="550"/>
    <n v="555"/>
    <n v="610"/>
    <n v="594.27499999999998"/>
    <n v="548.375"/>
    <n v="1330"/>
    <n v="110023.90999999999"/>
    <n v="7966.666666666667"/>
    <n v="90426.001696463514"/>
    <n v="87963.601940000008"/>
  </r>
  <r>
    <d v="2016-08-12T00:00:00"/>
    <x v="27"/>
    <n v="8"/>
    <n v="66.84"/>
    <n v="490"/>
    <n v="450"/>
    <n v="550"/>
    <n v="550"/>
    <n v="555"/>
    <n v="610"/>
    <n v="594.27499999999998"/>
    <n v="548.375"/>
    <n v="1350"/>
    <n v="111532.82299999999"/>
    <n v="8233.3333333333321"/>
    <n v="93186.934159304277"/>
    <n v="89532.871460000009"/>
  </r>
  <r>
    <d v="2016-08-18T00:00:00"/>
    <x v="28"/>
    <n v="8"/>
    <n v="66.8"/>
    <n v="510"/>
    <n v="470"/>
    <n v="570"/>
    <n v="570"/>
    <n v="555"/>
    <n v="620"/>
    <n v="617.22500000000002"/>
    <n v="571.32500000000005"/>
    <n v="1425"/>
    <n v="117123.7475"/>
    <n v="9233"/>
    <n v="103536.97972937854"/>
    <n v="95363.163199999995"/>
  </r>
  <r>
    <d v="2016-08-19T00:00:00"/>
    <x v="28"/>
    <n v="8"/>
    <n v="66.98"/>
    <n v="510"/>
    <n v="470"/>
    <n v="570"/>
    <n v="570"/>
    <n v="555"/>
    <n v="630"/>
    <n v="617.22500000000002"/>
    <n v="571.32500000000005"/>
    <n v="1450"/>
    <n v="119317.586"/>
    <n v="9233"/>
    <n v="103536.97972937854"/>
    <n v="97573.969069999992"/>
  </r>
  <r>
    <d v="2016-08-22T00:00:00"/>
    <x v="29"/>
    <n v="8"/>
    <n v="67.19"/>
    <n v="515"/>
    <n v="460"/>
    <n v="570"/>
    <n v="560"/>
    <n v="550"/>
    <n v="630"/>
    <n v="622.96249999999998"/>
    <n v="559.85"/>
    <n v="1430"/>
    <n v="118161.06874999999"/>
    <n v="9233"/>
    <n v="103536.97972937854"/>
    <n v="96288.607264999984"/>
  </r>
  <r>
    <d v="2016-08-23T00:00:00"/>
    <x v="29"/>
    <n v="8"/>
    <n v="67.06"/>
    <n v="507"/>
    <n v="460"/>
    <n v="550"/>
    <n v="558"/>
    <n v="550"/>
    <n v="640"/>
    <n v="613.78250000000003"/>
    <n v="559.85"/>
    <n v="1440"/>
    <n v="118697.90225"/>
    <n v="8900"/>
    <n v="100089.26531640618"/>
    <n v="96898.037449999989"/>
  </r>
  <r>
    <d v="2016-08-24T00:00:00"/>
    <x v="29"/>
    <n v="8"/>
    <n v="67.11"/>
    <n v="507"/>
    <n v="463"/>
    <n v="570"/>
    <n v="560"/>
    <n v="555"/>
    <n v="640"/>
    <n v="613.78250000000003"/>
    <n v="563.29250000000002"/>
    <n v="1450"/>
    <n v="119540.62699999999"/>
    <n v="8967"/>
    <n v="100782.94959769491"/>
    <n v="97754.808365000004"/>
  </r>
  <r>
    <d v="2016-08-25T00:00:00"/>
    <x v="29"/>
    <n v="8"/>
    <n v="67.05"/>
    <n v="510"/>
    <n v="465"/>
    <n v="570"/>
    <n v="560"/>
    <n v="555"/>
    <n v="640"/>
    <n v="617.22500000000002"/>
    <n v="565.58749999999998"/>
    <n v="1450"/>
    <n v="119437.685"/>
    <n v="8800"/>
    <n v="99053.91564284089"/>
    <n v="97671.344075000001"/>
  </r>
  <r>
    <d v="2016-08-26T00:00:00"/>
    <x v="29"/>
    <n v="8"/>
    <n v="67.06"/>
    <n v="515"/>
    <n v="465"/>
    <n v="575"/>
    <n v="560"/>
    <n v="555"/>
    <n v="651"/>
    <n v="622.96249999999998"/>
    <n v="565.58749999999998"/>
    <n v="1450"/>
    <n v="119454.84199999999"/>
    <n v="8600"/>
    <n v="96983.216295710314"/>
    <n v="97685.254790000006"/>
  </r>
  <r>
    <d v="2016-08-29T00:00:00"/>
    <x v="30"/>
    <n v="8"/>
    <n v="67.25"/>
    <n v="510"/>
    <n v="450"/>
    <n v="575"/>
    <n v="560"/>
    <n v="555"/>
    <n v="646"/>
    <n v="617.22500000000002"/>
    <n v="548.375"/>
    <n v="1450"/>
    <n v="119780.825"/>
    <n v="8767"/>
    <n v="98712.250250564364"/>
    <n v="97949.558374999993"/>
  </r>
  <r>
    <d v="2016-08-30T00:00:00"/>
    <x v="30"/>
    <n v="8"/>
    <n v="67.02"/>
    <n v="505"/>
    <n v="445"/>
    <n v="575"/>
    <n v="560"/>
    <n v="555"/>
    <n v="630"/>
    <n v="611.48750000000007"/>
    <n v="542.63750000000005"/>
    <n v="1450"/>
    <n v="119386.21399999998"/>
    <n v="8500"/>
    <n v="95947.866622145026"/>
    <n v="97629.611929999999"/>
  </r>
  <r>
    <d v="2016-08-31T00:00:00"/>
    <x v="30"/>
    <n v="8"/>
    <n v="66.959999999999994"/>
    <n v="510"/>
    <n v="460"/>
    <n v="570"/>
    <n v="565"/>
    <n v="555"/>
    <n v="630"/>
    <n v="617.22500000000002"/>
    <n v="559.85"/>
    <n v="1450"/>
    <n v="119283.27199999998"/>
    <n v="8500"/>
    <n v="95947.866622145026"/>
    <n v="97546.147639999981"/>
  </r>
  <r>
    <d v="2016-09-01T00:00:00"/>
    <x v="30"/>
    <n v="9"/>
    <n v="66.95"/>
    <n v="510"/>
    <n v="460"/>
    <n v="570"/>
    <n v="565"/>
    <n v="555"/>
    <n v="630"/>
    <n v="617.22500000000002"/>
    <n v="559.85"/>
    <n v="1450"/>
    <n v="119266.11499999999"/>
    <n v="8567"/>
    <n v="96641.550903433759"/>
    <n v="97532.23692499999"/>
  </r>
  <r>
    <d v="2016-09-02T00:00:00"/>
    <x v="30"/>
    <n v="9"/>
    <n v="66.819999999999993"/>
    <n v="520"/>
    <n v="465"/>
    <n v="575"/>
    <n v="570"/>
    <n v="555"/>
    <n v="640"/>
    <n v="628.69999999999993"/>
    <n v="565.58749999999998"/>
    <n v="1460"/>
    <n v="119797.30474999998"/>
    <n v="8500"/>
    <n v="95947.866622145026"/>
    <n v="98135.797609999994"/>
  </r>
  <r>
    <d v="2016-09-06T00:00:00"/>
    <x v="31"/>
    <n v="9"/>
    <n v="66.53"/>
    <n v="515"/>
    <n v="460"/>
    <n v="580"/>
    <n v="570"/>
    <n v="555"/>
    <n v="646"/>
    <n v="622.96249999999998"/>
    <n v="559.85"/>
    <n v="1465"/>
    <n v="119671.95706249999"/>
    <n v="8367"/>
    <n v="94570.851556303212"/>
    <n v="98119.4804"/>
  </r>
  <r>
    <d v="2016-09-07T00:00:00"/>
    <x v="31"/>
    <n v="9"/>
    <n v="66.37"/>
    <n v="515"/>
    <n v="465"/>
    <n v="580"/>
    <n v="570"/>
    <n v="555"/>
    <n v="641"/>
    <n v="622.96249999999998"/>
    <n v="565.58749999999998"/>
    <n v="1465"/>
    <n v="119394.7360625"/>
    <n v="8567"/>
    <n v="96641.550903433759"/>
    <n v="97894.0916"/>
  </r>
  <r>
    <d v="2016-09-08T00:00:00"/>
    <x v="31"/>
    <n v="9"/>
    <n v="66.430000000000007"/>
    <n v="510"/>
    <n v="465"/>
    <n v="580"/>
    <n v="570"/>
    <n v="555"/>
    <n v="641"/>
    <n v="617.22500000000002"/>
    <n v="565.58749999999998"/>
    <n v="1465"/>
    <n v="119498.69393750001"/>
    <n v="8500"/>
    <n v="95947.866622145026"/>
    <n v="97978.612400000013"/>
  </r>
  <r>
    <d v="2016-09-09T00:00:00"/>
    <x v="31"/>
    <n v="9"/>
    <n v="66.680000000000007"/>
    <n v="515"/>
    <n v="470"/>
    <n v="580"/>
    <n v="570"/>
    <n v="555"/>
    <n v="646"/>
    <n v="622.96249999999998"/>
    <n v="571.32500000000005"/>
    <n v="1465"/>
    <n v="119931.85175000002"/>
    <n v="8567"/>
    <n v="96641.550903433759"/>
    <n v="98330.782400000011"/>
  </r>
  <r>
    <d v="2016-09-13T00:00:00"/>
    <x v="32"/>
    <n v="9"/>
    <n v="66.92"/>
    <n v="505"/>
    <n v="460"/>
    <n v="575"/>
    <n v="570"/>
    <n v="555"/>
    <n v="636"/>
    <n v="611.48750000000007"/>
    <n v="559.85"/>
    <n v="1455"/>
    <n v="119592.32375"/>
    <n v="8733"/>
    <n v="98360.231361552127"/>
    <n v="97883.291719999994"/>
  </r>
  <r>
    <d v="2016-09-14T00:00:00"/>
    <x v="32"/>
    <n v="9"/>
    <n v="66.89"/>
    <n v="505"/>
    <n v="455"/>
    <n v="575"/>
    <n v="565"/>
    <n v="555"/>
    <n v="636"/>
    <n v="611.48750000000007"/>
    <n v="554.11250000000007"/>
    <n v="1445"/>
    <n v="118785.6625625"/>
    <n v="8900"/>
    <n v="100089.26531640618"/>
    <n v="97056.161779999995"/>
  </r>
  <r>
    <d v="2016-09-15T00:00:00"/>
    <x v="32"/>
    <n v="9"/>
    <n v="67.02"/>
    <n v="505"/>
    <n v="455"/>
    <n v="575"/>
    <n v="565"/>
    <n v="555"/>
    <n v="636"/>
    <n v="611.48750000000007"/>
    <n v="554.11250000000007"/>
    <n v="1430"/>
    <n v="117873.23749999999"/>
    <n v="9233"/>
    <n v="103536.97972937854"/>
    <n v="96056.116369999989"/>
  </r>
  <r>
    <d v="2016-09-16T00:00:00"/>
    <x v="32"/>
    <n v="9"/>
    <n v="66.989999999999995"/>
    <n v="505"/>
    <n v="455"/>
    <n v="575"/>
    <n v="565"/>
    <n v="555"/>
    <n v="636"/>
    <n v="611.48750000000007"/>
    <n v="554.11250000000007"/>
    <n v="1435"/>
    <n v="118200.51856249999"/>
    <n v="9067"/>
    <n v="101818.2992712602"/>
    <n v="96408.286369999987"/>
  </r>
  <r>
    <d v="2016-09-19T00:00:00"/>
    <x v="33"/>
    <n v="9"/>
    <n v="66.97"/>
    <n v="515"/>
    <n v="465"/>
    <n v="585"/>
    <n v="575"/>
    <n v="555"/>
    <n v="646"/>
    <n v="622.96249999999998"/>
    <n v="565.58749999999998"/>
    <n v="1440"/>
    <n v="118544.50512499998"/>
    <n v="9000"/>
    <n v="101124.61498997147"/>
    <n v="96773.897524999993"/>
  </r>
  <r>
    <d v="2016-09-20T00:00:00"/>
    <x v="33"/>
    <n v="9"/>
    <n v="67.010000000000005"/>
    <n v="525"/>
    <n v="475"/>
    <n v="595"/>
    <n v="585"/>
    <n v="555"/>
    <n v="656"/>
    <n v="634.4375"/>
    <n v="577.0625"/>
    <n v="1450"/>
    <n v="119369.057"/>
    <n v="9033"/>
    <n v="101466.28038224801"/>
    <n v="97615.701215000008"/>
  </r>
  <r>
    <d v="2016-09-21T00:00:00"/>
    <x v="33"/>
    <n v="9"/>
    <n v="67.05"/>
    <n v="545"/>
    <n v="465"/>
    <n v="595"/>
    <n v="575"/>
    <n v="555"/>
    <n v="656"/>
    <n v="657.38749999999993"/>
    <n v="565.58749999999998"/>
    <n v="1450"/>
    <n v="119437.685"/>
    <n v="9233"/>
    <n v="103536.97972937854"/>
    <n v="97671.344075000001"/>
  </r>
  <r>
    <d v="2016-09-22T00:00:00"/>
    <x v="33"/>
    <n v="9"/>
    <n v="66.66"/>
    <n v="545"/>
    <n v="465"/>
    <n v="595"/>
    <n v="575"/>
    <n v="555"/>
    <n v="656"/>
    <n v="657.38749999999993"/>
    <n v="565.58749999999998"/>
    <n v="1450"/>
    <n v="118768.56199999999"/>
    <n v="9433"/>
    <n v="105607.67907650911"/>
    <n v="97128.826189999992"/>
  </r>
  <r>
    <d v="2016-09-23T00:00:00"/>
    <x v="33"/>
    <n v="9"/>
    <n v="66.650000000000006"/>
    <n v="545"/>
    <n v="465"/>
    <n v="595"/>
    <n v="575"/>
    <n v="555"/>
    <n v="656"/>
    <n v="657.38749999999993"/>
    <n v="565.58749999999998"/>
    <n v="1450"/>
    <n v="118751.40500000001"/>
    <n v="9233"/>
    <n v="103536.97972937854"/>
    <n v="97114.915475000002"/>
  </r>
  <r>
    <d v="2016-09-26T00:00:00"/>
    <x v="34"/>
    <n v="9"/>
    <n v="66.599999999999994"/>
    <n v="530"/>
    <n v="455"/>
    <n v="580"/>
    <n v="565"/>
    <n v="545"/>
    <n v="651"/>
    <n v="640.17500000000007"/>
    <n v="554.11250000000007"/>
    <n v="1440"/>
    <n v="117913.87249999997"/>
    <n v="9133"/>
    <n v="102501.63005581328"/>
    <n v="96263.544499999989"/>
  </r>
  <r>
    <d v="2016-09-27T00:00:00"/>
    <x v="34"/>
    <n v="9"/>
    <n v="66.48"/>
    <n v="525"/>
    <n v="450"/>
    <n v="580"/>
    <n v="565"/>
    <n v="545"/>
    <n v="646"/>
    <n v="634.4375"/>
    <n v="548.375"/>
    <n v="1440"/>
    <n v="117709.34299999999"/>
    <n v="9067"/>
    <n v="101818.2992712602"/>
    <n v="96098.02459999999"/>
  </r>
  <r>
    <d v="2016-09-28T00:00:00"/>
    <x v="34"/>
    <n v="9"/>
    <n v="66.459999999999994"/>
    <n v="525"/>
    <n v="450"/>
    <n v="580"/>
    <n v="560"/>
    <n v="545"/>
    <n v="646"/>
    <n v="634.4375"/>
    <n v="548.375"/>
    <n v="1370"/>
    <n v="112424.08399999999"/>
    <n v="8900"/>
    <n v="100089.26531640618"/>
    <n v="90609.220369999981"/>
  </r>
  <r>
    <d v="2016-09-29T00:00:00"/>
    <x v="34"/>
    <n v="9"/>
    <n v="66.48"/>
    <n v="525"/>
    <n v="450"/>
    <n v="575"/>
    <n v="555"/>
    <n v="540"/>
    <n v="646"/>
    <n v="634.4375"/>
    <n v="548.375"/>
    <n v="1350"/>
    <n v="110955.806"/>
    <n v="8900"/>
    <n v="100089.26531640618"/>
    <n v="89074.346120000002"/>
  </r>
  <r>
    <d v="2016-09-30T00:00:00"/>
    <x v="34"/>
    <n v="9"/>
    <n v="66.61"/>
    <n v="525"/>
    <n v="450"/>
    <n v="575"/>
    <n v="555"/>
    <n v="540"/>
    <n v="646"/>
    <n v="634.4375"/>
    <n v="548.375"/>
    <n v="1320"/>
    <n v="108908.59212499998"/>
    <n v="8900"/>
    <n v="100089.26531640618"/>
    <n v="86894.120345000003"/>
  </r>
  <r>
    <d v="2016-10-03T00:00:00"/>
    <x v="35"/>
    <n v="10"/>
    <n v="66.59"/>
    <n v="525"/>
    <n v="450"/>
    <n v="575"/>
    <n v="550"/>
    <n v="540"/>
    <n v="646"/>
    <n v="634.4375"/>
    <n v="548.375"/>
    <n v="1320"/>
    <n v="108877.212875"/>
    <n v="8967"/>
    <n v="100782.94959769491"/>
    <n v="86869.351054999992"/>
  </r>
  <r>
    <d v="2016-10-04T00:00:00"/>
    <x v="35"/>
    <n v="10"/>
    <n v="66.459999999999994"/>
    <n v="515"/>
    <n v="450"/>
    <n v="570"/>
    <n v="550"/>
    <n v="535"/>
    <n v="641"/>
    <n v="622.96249999999998"/>
    <n v="548.375"/>
    <n v="1320"/>
    <n v="108673.24774999998"/>
    <n v="8767"/>
    <n v="98712.250250564364"/>
    <n v="86708.350669999985"/>
  </r>
  <r>
    <d v="2016-10-05T00:00:00"/>
    <x v="35"/>
    <n v="10"/>
    <n v="66.5"/>
    <n v="510"/>
    <n v="445"/>
    <n v="565"/>
    <n v="545"/>
    <n v="535"/>
    <n v="636"/>
    <n v="617.22500000000002"/>
    <n v="542.63750000000005"/>
    <n v="1320"/>
    <n v="108736.00624999999"/>
    <n v="8767"/>
    <n v="98712.250250564364"/>
    <n v="86757.889249999993"/>
  </r>
  <r>
    <d v="2016-10-06T00:00:00"/>
    <x v="35"/>
    <n v="10"/>
    <n v="66.78"/>
    <n v="505"/>
    <n v="445"/>
    <n v="560"/>
    <n v="540"/>
    <n v="535"/>
    <n v="636"/>
    <n v="611.48750000000007"/>
    <n v="542.63750000000005"/>
    <n v="1300"/>
    <n v="107667.75725"/>
    <n v="8767"/>
    <n v="98712.250250564364"/>
    <n v="85536.798469999994"/>
  </r>
  <r>
    <d v="2016-10-07T00:00:00"/>
    <x v="35"/>
    <n v="10"/>
    <n v="66.69"/>
    <n v="505"/>
    <n v="445"/>
    <n v="560"/>
    <n v="540"/>
    <n v="535"/>
    <n v="636"/>
    <n v="611.48750000000007"/>
    <n v="542.63750000000005"/>
    <n v="1300"/>
    <n v="107528.582375"/>
    <n v="8767"/>
    <n v="98712.250250564364"/>
    <n v="85427.449684999985"/>
  </r>
  <r>
    <d v="2016-10-10T00:00:00"/>
    <x v="36"/>
    <n v="10"/>
    <n v="66.53"/>
    <n v="510"/>
    <n v="445"/>
    <n v="560"/>
    <n v="538"/>
    <n v="530"/>
    <n v="600"/>
    <n v="617.22500000000002"/>
    <n v="542.63750000000005"/>
    <n v="1300"/>
    <n v="107281.16037499999"/>
    <n v="8767"/>
    <n v="98712.250250564364"/>
    <n v="85233.051844999995"/>
  </r>
  <r>
    <d v="2016-10-12T00:00:00"/>
    <x v="36"/>
    <n v="10"/>
    <n v="66.78"/>
    <n v="505"/>
    <n v="435"/>
    <n v="560"/>
    <n v="535"/>
    <n v="525"/>
    <n v="600"/>
    <n v="611.48750000000007"/>
    <n v="531.16249999999991"/>
    <n v="1285"/>
    <n v="106537.08837500001"/>
    <n v="8833"/>
    <n v="99395.58103511743"/>
    <n v="84360.90284000001"/>
  </r>
  <r>
    <d v="2016-10-13T00:00:00"/>
    <x v="36"/>
    <n v="10"/>
    <n v="66.930000000000007"/>
    <n v="505"/>
    <n v="435"/>
    <n v="560"/>
    <n v="535"/>
    <n v="525"/>
    <n v="600"/>
    <n v="611.48750000000007"/>
    <n v="531.16249999999991"/>
    <n v="1280"/>
    <n v="106388.770625"/>
    <n v="8767"/>
    <n v="98712.250250564364"/>
    <n v="84147.663905000009"/>
  </r>
  <r>
    <d v="2016-10-14T00:00:00"/>
    <x v="36"/>
    <n v="10"/>
    <n v="66.72"/>
    <n v="515"/>
    <n v="445"/>
    <n v="570"/>
    <n v="545"/>
    <n v="535"/>
    <n v="621"/>
    <n v="622.96249999999998"/>
    <n v="542.63750000000005"/>
    <n v="1280"/>
    <n v="106068.76999999999"/>
    <n v="8767"/>
    <n v="98712.250250564364"/>
    <n v="83897.447119999997"/>
  </r>
  <r>
    <d v="2016-10-17T00:00:00"/>
    <x v="37"/>
    <n v="10"/>
    <n v="66.89"/>
    <n v="515"/>
    <n v="455"/>
    <n v="575"/>
    <n v="550"/>
    <n v="520"/>
    <n v="621"/>
    <n v="622.96249999999998"/>
    <n v="554.11250000000007"/>
    <n v="1300"/>
    <n v="107837.85987499999"/>
    <n v="8833"/>
    <n v="99395.58103511743"/>
    <n v="85670.446984999988"/>
  </r>
  <r>
    <d v="2016-10-18T00:00:00"/>
    <x v="37"/>
    <n v="10"/>
    <n v="66.73"/>
    <n v="515"/>
    <n v="455"/>
    <n v="570"/>
    <n v="545"/>
    <n v="515"/>
    <n v="615"/>
    <n v="622.96249999999998"/>
    <n v="554.11250000000007"/>
    <n v="1300"/>
    <n v="107590.437875"/>
    <n v="8767"/>
    <n v="98712.250250564364"/>
    <n v="85476.049144999997"/>
  </r>
  <r>
    <d v="2016-10-19T00:00:00"/>
    <x v="37"/>
    <n v="10"/>
    <n v="66.69"/>
    <n v="520"/>
    <n v="460"/>
    <n v="560"/>
    <n v="545"/>
    <n v="510"/>
    <n v="621"/>
    <n v="628.69999999999993"/>
    <n v="559.85"/>
    <n v="1300"/>
    <n v="107528.582375"/>
    <n v="8733"/>
    <n v="98360.231361552127"/>
    <n v="85427.449684999985"/>
  </r>
  <r>
    <d v="2016-10-20T00:00:00"/>
    <x v="37"/>
    <n v="10"/>
    <n v="66.819999999999993"/>
    <n v="515"/>
    <n v="455"/>
    <n v="555"/>
    <n v="545"/>
    <n v="510"/>
    <n v="615"/>
    <n v="622.96249999999998"/>
    <n v="554.11250000000007"/>
    <n v="1300"/>
    <n v="107729.61274999999"/>
    <n v="8833"/>
    <n v="99395.58103511743"/>
    <n v="85585.397929999992"/>
  </r>
  <r>
    <d v="2016-10-21T00:00:00"/>
    <x v="37"/>
    <n v="10"/>
    <n v="66.87"/>
    <n v="510"/>
    <n v="445"/>
    <n v="555"/>
    <n v="545"/>
    <n v="510"/>
    <n v="611"/>
    <n v="617.22500000000002"/>
    <n v="542.63750000000005"/>
    <n v="1300"/>
    <n v="107806.93212500001"/>
    <n v="8867"/>
    <n v="99747.599924129609"/>
    <n v="85646.147255000003"/>
  </r>
  <r>
    <d v="2016-10-24T00:00:00"/>
    <x v="38"/>
    <n v="10"/>
    <n v="66.84"/>
    <n v="515"/>
    <n v="450"/>
    <n v="560"/>
    <n v="550"/>
    <n v="515"/>
    <n v="615"/>
    <n v="622.96249999999998"/>
    <n v="548.375"/>
    <n v="1320"/>
    <n v="109269.4535"/>
    <n v="8867"/>
    <n v="99747.599924129609"/>
    <n v="87178.967179999992"/>
  </r>
  <r>
    <d v="2016-10-25T00:00:00"/>
    <x v="38"/>
    <n v="10"/>
    <n v="66.84"/>
    <n v="505"/>
    <n v="445"/>
    <n v="560"/>
    <n v="550"/>
    <n v="515"/>
    <n v="610"/>
    <n v="611.48750000000007"/>
    <n v="542.63750000000005"/>
    <n v="1330"/>
    <n v="110023.90999999999"/>
    <n v="8867"/>
    <n v="99747.599924129609"/>
    <n v="87963.601940000008"/>
  </r>
  <r>
    <d v="2016-10-26T00:00:00"/>
    <x v="38"/>
    <n v="10"/>
    <n v="66.84"/>
    <n v="510"/>
    <n v="450"/>
    <n v="565"/>
    <n v="555"/>
    <n v="515"/>
    <n v="615"/>
    <n v="617.22500000000002"/>
    <n v="548.375"/>
    <n v="1330"/>
    <n v="110023.90999999999"/>
    <n v="9000"/>
    <n v="101124.61498997147"/>
    <n v="87963.601940000008"/>
  </r>
  <r>
    <d v="2016-10-27T00:00:00"/>
    <x v="38"/>
    <n v="10"/>
    <n v="66.87"/>
    <n v="510"/>
    <n v="450"/>
    <n v="565"/>
    <n v="555"/>
    <n v="515"/>
    <n v="615"/>
    <n v="617.22500000000002"/>
    <n v="548.375"/>
    <n v="1370"/>
    <n v="113090.49799999999"/>
    <n v="9000"/>
    <n v="101124.61498997147"/>
    <n v="91141.055764999997"/>
  </r>
  <r>
    <d v="2016-10-28T00:00:00"/>
    <x v="38"/>
    <n v="10"/>
    <n v="66.790000000000006"/>
    <n v="495"/>
    <n v="450"/>
    <n v="565"/>
    <n v="555"/>
    <n v="515"/>
    <n v="615"/>
    <n v="600.01250000000005"/>
    <n v="548.375"/>
    <n v="1360"/>
    <n v="112206.573875"/>
    <n v="9000"/>
    <n v="101124.61498997147"/>
    <n v="90253.235195000001"/>
  </r>
  <r>
    <d v="2016-11-02T00:00:00"/>
    <x v="39"/>
    <n v="11"/>
    <n v="66.72"/>
    <n v="490"/>
    <n v="445"/>
    <n v="565"/>
    <n v="555"/>
    <n v="510"/>
    <n v="615"/>
    <n v="594.27499999999998"/>
    <n v="542.63750000000005"/>
    <n v="1380"/>
    <n v="113599.79"/>
    <n v="9067"/>
    <n v="101818.2992712602"/>
    <n v="91729.707920000001"/>
  </r>
  <r>
    <d v="2016-11-03T00:00:00"/>
    <x v="39"/>
    <n v="11"/>
    <n v="66.739999999999995"/>
    <n v="490"/>
    <n v="445"/>
    <n v="560"/>
    <n v="550"/>
    <n v="505"/>
    <n v="615"/>
    <n v="594.27499999999998"/>
    <n v="542.63750000000005"/>
    <n v="1380"/>
    <n v="113632.52374999998"/>
    <n v="9067"/>
    <n v="101818.2992712602"/>
    <n v="91755.88588999999"/>
  </r>
  <r>
    <d v="2016-11-04T00:00:00"/>
    <x v="39"/>
    <n v="11"/>
    <n v="66.709999999999994"/>
    <n v="490"/>
    <n v="445"/>
    <n v="560"/>
    <n v="550"/>
    <n v="505"/>
    <n v="615"/>
    <n v="594.27499999999998"/>
    <n v="542.63750000000005"/>
    <n v="1380"/>
    <n v="113583.42312499997"/>
    <n v="9067"/>
    <n v="101818.2992712602"/>
    <n v="91716.618934999991"/>
  </r>
  <r>
    <d v="2016-11-07T00:00:00"/>
    <x v="40"/>
    <n v="11"/>
    <n v="66.739999999999995"/>
    <n v="490"/>
    <n v="445"/>
    <n v="560"/>
    <n v="550"/>
    <n v="500"/>
    <n v="610"/>
    <n v="594.27499999999998"/>
    <n v="542.63750000000005"/>
    <n v="1380"/>
    <n v="113632.52374999998"/>
    <n v="8867"/>
    <n v="99747.599924129609"/>
    <n v="91755.88588999999"/>
  </r>
  <r>
    <d v="2016-11-08T00:00:00"/>
    <x v="40"/>
    <n v="11"/>
    <n v="66.63"/>
    <n v="500"/>
    <n v="450"/>
    <n v="565"/>
    <n v="555"/>
    <n v="500"/>
    <n v="615"/>
    <n v="605.75"/>
    <n v="548.375"/>
    <n v="1390"/>
    <n v="114204.57424999998"/>
    <n v="8867"/>
    <n v="99747.599924129609"/>
    <n v="92394.076625000002"/>
  </r>
  <r>
    <d v="2016-11-09T00:00:00"/>
    <x v="40"/>
    <n v="11"/>
    <n v="66.44"/>
    <n v="495"/>
    <n v="445"/>
    <n v="565"/>
    <n v="555"/>
    <n v="500"/>
    <n v="605"/>
    <n v="600.01250000000005"/>
    <n v="542.63750000000005"/>
    <n v="1425"/>
    <n v="116516.25425"/>
    <n v="8867"/>
    <n v="101512.04199362065"/>
    <n v="94872.942559999996"/>
  </r>
  <r>
    <d v="2016-11-10T00:00:00"/>
    <x v="40"/>
    <n v="11"/>
    <n v="66.62"/>
    <n v="500"/>
    <n v="450"/>
    <n v="560"/>
    <n v="550"/>
    <n v="500"/>
    <n v="605"/>
    <n v="605.75"/>
    <n v="548.375"/>
    <n v="1430"/>
    <n v="117195.98749999999"/>
    <n v="8867"/>
    <n v="101512.04199362065"/>
    <n v="95509.078970000002"/>
  </r>
  <r>
    <d v="2016-11-11T00:00:00"/>
    <x v="40"/>
    <n v="11"/>
    <n v="67.25"/>
    <n v="505"/>
    <n v="455"/>
    <n v="565"/>
    <n v="555"/>
    <n v="505"/>
    <n v="610"/>
    <n v="611.48750000000007"/>
    <n v="554.11250000000007"/>
    <n v="1450"/>
    <n v="119780.825"/>
    <n v="8867"/>
    <n v="101512.04199362065"/>
    <n v="97949.558374999993"/>
  </r>
  <r>
    <d v="2016-11-14T00:00:00"/>
    <x v="41"/>
    <n v="11"/>
    <n v="67.25"/>
    <n v="495"/>
    <n v="445"/>
    <n v="555"/>
    <n v="545"/>
    <n v="500"/>
    <n v="600"/>
    <n v="600.01250000000005"/>
    <n v="542.63750000000005"/>
    <n v="1450"/>
    <n v="119780.825"/>
    <n v="9200"/>
    <n v="105026.01999169971"/>
    <n v="97949.558374999993"/>
  </r>
  <r>
    <d v="2016-11-15T00:00:00"/>
    <x v="41"/>
    <n v="11"/>
    <n v="67.75"/>
    <n v="500"/>
    <n v="440"/>
    <n v="555"/>
    <n v="545"/>
    <n v="500"/>
    <n v="600"/>
    <n v="605.75"/>
    <n v="536.90000000000009"/>
    <n v="1450"/>
    <n v="120638.67499999999"/>
    <n v="9333"/>
    <n v="106429.50069363517"/>
    <n v="98645.094124999989"/>
  </r>
  <r>
    <d v="2016-11-16T00:00:00"/>
    <x v="41"/>
    <n v="11"/>
    <n v="67.86"/>
    <n v="505"/>
    <n v="445"/>
    <n v="560"/>
    <n v="545"/>
    <n v="500"/>
    <n v="605"/>
    <n v="611.48750000000007"/>
    <n v="542.63750000000005"/>
    <n v="1450"/>
    <n v="120827.40199999999"/>
    <n v="9333"/>
    <n v="106429.50069363517"/>
    <n v="98798.111990000005"/>
  </r>
  <r>
    <d v="2016-11-17T00:00:00"/>
    <x v="41"/>
    <n v="11"/>
    <n v="67.8"/>
    <n v="505"/>
    <n v="405"/>
    <n v="560"/>
    <n v="545"/>
    <n v="500"/>
    <n v="615"/>
    <n v="611.48750000000007"/>
    <n v="496.73750000000001"/>
    <n v="1450"/>
    <n v="120724.45999999999"/>
    <n v="9333"/>
    <n v="106429.50069363517"/>
    <n v="98714.647700000001"/>
  </r>
  <r>
    <d v="2016-11-18T00:00:00"/>
    <x v="41"/>
    <n v="11"/>
    <n v="68.14"/>
    <n v="500"/>
    <n v="450"/>
    <n v="560"/>
    <n v="545"/>
    <n v="500"/>
    <n v="615"/>
    <n v="605.75"/>
    <n v="548.375"/>
    <n v="1450"/>
    <n v="121307.798"/>
    <n v="9333"/>
    <n v="106429.50069363517"/>
    <n v="99187.612009999983"/>
  </r>
  <r>
    <d v="2016-11-21T00:00:00"/>
    <x v="42"/>
    <n v="11"/>
    <n v="68.16"/>
    <n v="505"/>
    <n v="455"/>
    <n v="552"/>
    <n v="565"/>
    <n v="500"/>
    <n v="621"/>
    <n v="611.48750000000007"/>
    <n v="554.11250000000007"/>
    <n v="1500"/>
    <n v="125188.89199999999"/>
    <n v="9467"/>
    <n v="107843.53388205134"/>
    <n v="103216.08463999999"/>
  </r>
  <r>
    <d v="2016-11-22T00:00:00"/>
    <x v="42"/>
    <n v="11"/>
    <n v="68.25"/>
    <n v="505"/>
    <n v="455"/>
    <n v="565"/>
    <n v="555"/>
    <n v="495"/>
    <n v="621"/>
    <n v="611.48750000000007"/>
    <n v="554.11250000000007"/>
    <n v="1500"/>
    <n v="125348.38437499999"/>
    <n v="9400"/>
    <n v="107136.51728784325"/>
    <n v="103346.563625"/>
  </r>
  <r>
    <d v="2016-11-23T00:00:00"/>
    <x v="42"/>
    <n v="11"/>
    <n v="68.56"/>
    <n v="505"/>
    <n v="450"/>
    <n v="565"/>
    <n v="555"/>
    <n v="500"/>
    <n v="615"/>
    <n v="611.48750000000007"/>
    <n v="548.375"/>
    <n v="1500"/>
    <n v="125897.74699999999"/>
    <n v="9467"/>
    <n v="107843.53388205134"/>
    <n v="103795.99124"/>
  </r>
  <r>
    <d v="2016-11-24T00:00:00"/>
    <x v="42"/>
    <n v="11"/>
    <n v="68.73"/>
    <n v="520"/>
    <n v="460"/>
    <n v="570"/>
    <n v="560"/>
    <n v="510"/>
    <n v="631"/>
    <n v="628.69999999999993"/>
    <n v="559.85"/>
    <n v="1500"/>
    <n v="126199.010375"/>
    <n v="9533"/>
    <n v="108539.99798977873"/>
    <n v="104042.451545"/>
  </r>
  <r>
    <d v="2016-11-25T00:00:00"/>
    <x v="42"/>
    <n v="11"/>
    <n v="68.45"/>
    <n v="520"/>
    <n v="460"/>
    <n v="570"/>
    <n v="560"/>
    <n v="510"/>
    <n v="631"/>
    <n v="628.69999999999993"/>
    <n v="559.85"/>
    <n v="1510"/>
    <n v="126475.44124999999"/>
    <n v="9867"/>
    <n v="112064.52847433845"/>
    <n v="104440.051475"/>
  </r>
  <r>
    <d v="2016-11-28T00:00:00"/>
    <x v="43"/>
    <n v="11"/>
    <n v="68.760000000000005"/>
    <n v="525"/>
    <n v="465"/>
    <n v="570"/>
    <n v="560"/>
    <n v="510"/>
    <n v="636"/>
    <n v="634.4375"/>
    <n v="565.58749999999998"/>
    <n v="1510"/>
    <n v="127028.303"/>
    <n v="9333"/>
    <n v="106429.50069363517"/>
    <n v="104893.11818"/>
  </r>
  <r>
    <d v="2016-11-29T00:00:00"/>
    <x v="43"/>
    <n v="11"/>
    <n v="68.650000000000006"/>
    <n v="525"/>
    <n v="465"/>
    <n v="575"/>
    <n v="565"/>
    <n v="510"/>
    <n v="636"/>
    <n v="634.4375"/>
    <n v="565.58749999999998"/>
    <n v="1520"/>
    <n v="127607.01312500001"/>
    <n v="9200"/>
    <n v="105026.01999169971"/>
    <n v="105538.234925"/>
  </r>
  <r>
    <d v="2016-11-30T00:00:00"/>
    <x v="43"/>
    <n v="11"/>
    <n v="68.38"/>
    <n v="525"/>
    <n v="465"/>
    <n v="575"/>
    <n v="565"/>
    <n v="510"/>
    <n v="636"/>
    <n v="634.4375"/>
    <n v="565.58749999999998"/>
    <n v="1520"/>
    <n v="127122.44074999999"/>
    <n v="9200"/>
    <n v="105026.01999169971"/>
    <n v="105140.45890999999"/>
  </r>
  <r>
    <d v="2016-12-01T00:00:00"/>
    <x v="43"/>
    <n v="12"/>
    <n v="68.34"/>
    <n v="530"/>
    <n v="470"/>
    <n v="580"/>
    <n v="570"/>
    <n v="515"/>
    <n v="641"/>
    <n v="640.17500000000007"/>
    <n v="571.32500000000005"/>
    <n v="1530"/>
    <n v="127822.04"/>
    <n v="9667"/>
    <n v="109954.03117819493"/>
    <n v="105883.77239"/>
  </r>
  <r>
    <d v="2016-12-02T00:00:00"/>
    <x v="43"/>
    <n v="12"/>
    <n v="68.19"/>
    <n v="530"/>
    <n v="470"/>
    <n v="580"/>
    <n v="570"/>
    <n v="515"/>
    <n v="641"/>
    <n v="640.17500000000007"/>
    <n v="571.32500000000005"/>
    <n v="1540"/>
    <n v="128320.83462499999"/>
    <n v="9800"/>
    <n v="111357.51188013039"/>
    <n v="106461.507275"/>
  </r>
  <r>
    <d v="2016-12-05T00:00:00"/>
    <x v="44"/>
    <n v="12"/>
    <n v="68.23"/>
    <n v="535"/>
    <n v="475"/>
    <n v="585"/>
    <n v="575"/>
    <n v="520"/>
    <n v="646"/>
    <n v="645.91250000000002"/>
    <n v="577.0625"/>
    <n v="1550"/>
    <n v="129163.67225"/>
    <n v="9867"/>
    <n v="112064.52847433845"/>
    <n v="107322.32814499999"/>
  </r>
  <r>
    <d v="2016-12-06T00:00:00"/>
    <x v="44"/>
    <n v="12"/>
    <n v="67.900000000000006"/>
    <n v="535"/>
    <n v="475"/>
    <n v="585"/>
    <n v="575"/>
    <n v="520"/>
    <n v="646"/>
    <n v="645.91250000000002"/>
    <n v="577.0625"/>
    <n v="1560"/>
    <n v="129326.66375000001"/>
    <n v="9867"/>
    <n v="112064.52847433845"/>
    <n v="107621.61395000001"/>
  </r>
  <r>
    <d v="2016-12-07T00:00:00"/>
    <x v="44"/>
    <n v="12"/>
    <n v="67.63"/>
    <n v="530"/>
    <n v="470"/>
    <n v="585"/>
    <n v="575"/>
    <n v="520"/>
    <n v="641"/>
    <n v="640.17500000000007"/>
    <n v="571.32500000000005"/>
    <n v="1580"/>
    <n v="130356.64812499998"/>
    <n v="10200"/>
    <n v="115578.5064724175"/>
    <n v="108798.97695499999"/>
  </r>
  <r>
    <d v="2016-12-08T00:00:00"/>
    <x v="44"/>
    <n v="12"/>
    <n v="67.36"/>
    <n v="540"/>
    <n v="470"/>
    <n v="585"/>
    <n v="575"/>
    <n v="520"/>
    <n v="636"/>
    <n v="651.65"/>
    <n v="571.32500000000005"/>
    <n v="1580"/>
    <n v="129853.79"/>
    <n v="10200"/>
    <n v="115578.5064724175"/>
    <n v="108382.18375999999"/>
  </r>
  <r>
    <d v="2016-12-09T00:00:00"/>
    <x v="44"/>
    <n v="12"/>
    <n v="67.42"/>
    <n v="540"/>
    <n v="470"/>
    <n v="585"/>
    <n v="575"/>
    <n v="520"/>
    <n v="631"/>
    <n v="651.65"/>
    <n v="571.32500000000005"/>
    <n v="1580"/>
    <n v="129965.53624999999"/>
    <n v="10533"/>
    <n v="119092.48447049654"/>
    <n v="108474.80447"/>
  </r>
  <r>
    <d v="2016-12-13T00:00:00"/>
    <x v="45"/>
    <n v="12"/>
    <n v="67.540000000000006"/>
    <n v="540"/>
    <n v="470"/>
    <n v="585"/>
    <n v="575"/>
    <n v="520"/>
    <n v="631"/>
    <n v="651.65"/>
    <n v="571.32500000000005"/>
    <n v="1580"/>
    <n v="130189.02875000001"/>
    <n v="10600"/>
    <n v="119799.50106470464"/>
    <n v="108660.04589000001"/>
  </r>
  <r>
    <d v="2016-12-14T00:00:00"/>
    <x v="45"/>
    <n v="12"/>
    <n v="67.430000000000007"/>
    <n v="545"/>
    <n v="475"/>
    <n v="590"/>
    <n v="580"/>
    <n v="520"/>
    <n v="631"/>
    <n v="657.38749999999993"/>
    <n v="577.0625"/>
    <n v="1595"/>
    <n v="131125.83481249999"/>
    <n v="10667"/>
    <n v="120506.51765891272"/>
    <n v="109677.58241"/>
  </r>
  <r>
    <d v="2016-12-15T00:00:00"/>
    <x v="45"/>
    <n v="12"/>
    <n v="67.83"/>
    <n v="545"/>
    <n v="475"/>
    <n v="590"/>
    <n v="580"/>
    <n v="520"/>
    <n v="631"/>
    <n v="657.38749999999993"/>
    <n v="577.0625"/>
    <n v="1600"/>
    <n v="132260.39787499997"/>
    <n v="10733"/>
    <n v="121202.98176664009"/>
    <n v="110700.225395"/>
  </r>
  <r>
    <d v="2016-12-16T00:00:00"/>
    <x v="45"/>
    <n v="12"/>
    <n v="67.75"/>
    <n v="545"/>
    <n v="475"/>
    <n v="590"/>
    <n v="580"/>
    <n v="520"/>
    <n v="631"/>
    <n v="657.38749999999993"/>
    <n v="577.0625"/>
    <n v="1600"/>
    <n v="132109.59687499999"/>
    <n v="10867"/>
    <n v="122617.01495505625"/>
    <n v="110574.852875"/>
  </r>
  <r>
    <d v="2016-12-19T00:00:00"/>
    <x v="46"/>
    <n v="12"/>
    <n v="67.88"/>
    <n v="545"/>
    <n v="475"/>
    <n v="590"/>
    <n v="580"/>
    <n v="530"/>
    <n v="631"/>
    <n v="657.38749999999993"/>
    <n v="577.0625"/>
    <n v="1620"/>
    <n v="133887.03949999998"/>
    <n v="10733"/>
    <n v="121202.98176664009"/>
    <n v="112372.26985999999"/>
  </r>
  <r>
    <d v="2016-12-20T00:00:00"/>
    <x v="46"/>
    <n v="12"/>
    <n v="68.05"/>
    <n v="540"/>
    <n v="470"/>
    <n v="585"/>
    <n v="575"/>
    <n v="530"/>
    <n v="626"/>
    <n v="651.65"/>
    <n v="571.32500000000005"/>
    <n v="1615"/>
    <n v="133827.27218749997"/>
    <n v="10533"/>
    <n v="119092.48447049654"/>
    <n v="112243.25825"/>
  </r>
  <r>
    <d v="2016-12-21T00:00:00"/>
    <x v="46"/>
    <n v="12"/>
    <n v="67.92"/>
    <n v="545"/>
    <n v="470"/>
    <n v="580"/>
    <n v="570"/>
    <n v="525"/>
    <n v="636"/>
    <n v="657.38749999999993"/>
    <n v="571.32500000000005"/>
    <n v="1615"/>
    <n v="133580.01949999999"/>
    <n v="10400"/>
    <n v="117689.00376856107"/>
    <n v="112037.23879999999"/>
  </r>
  <r>
    <d v="2016-12-22T00:00:00"/>
    <x v="46"/>
    <n v="12"/>
    <n v="67.989999999999995"/>
    <n v="540"/>
    <n v="470"/>
    <n v="580"/>
    <n v="570"/>
    <n v="525"/>
    <n v="636"/>
    <n v="651.65"/>
    <n v="571.32500000000005"/>
    <n v="1615"/>
    <n v="133713.1555625"/>
    <n v="10267"/>
    <n v="116285.5230666256"/>
    <n v="112148.17234999999"/>
  </r>
  <r>
    <d v="2016-12-23T00:00:00"/>
    <x v="46"/>
    <n v="12"/>
    <n v="67.83"/>
    <n v="540"/>
    <n v="470"/>
    <n v="580"/>
    <n v="570"/>
    <n v="525"/>
    <n v="636"/>
    <n v="651.65"/>
    <n v="571.32500000000005"/>
    <n v="1615"/>
    <n v="133408.84456249999"/>
    <n v="10267"/>
    <n v="116285.5230666256"/>
    <n v="111894.60995"/>
  </r>
  <r>
    <d v="2016-12-27T00:00:00"/>
    <x v="47"/>
    <n v="12"/>
    <n v="68.06"/>
    <n v="545"/>
    <n v="465"/>
    <n v="580"/>
    <n v="570"/>
    <n v="525"/>
    <n v="646"/>
    <n v="657.38749999999993"/>
    <n v="565.58749999999998"/>
    <n v="1620"/>
    <n v="134230.40525000001"/>
    <n v="10533"/>
    <n v="119092.48447049654"/>
    <n v="112658.58407"/>
  </r>
  <r>
    <d v="2016-12-28T00:00:00"/>
    <x v="47"/>
    <n v="12"/>
    <n v="68.25"/>
    <n v="540"/>
    <n v="470"/>
    <n v="580"/>
    <n v="570"/>
    <n v="525"/>
    <n v="646"/>
    <n v="651.65"/>
    <n v="571.32500000000005"/>
    <n v="1620"/>
    <n v="134592.84687499999"/>
    <n v="10667"/>
    <n v="120506.51765891272"/>
    <n v="112960.80462499999"/>
  </r>
  <r>
    <d v="2016-12-29T00:00:00"/>
    <x v="47"/>
    <n v="12"/>
    <n v="68.11"/>
    <n v="540"/>
    <n v="470"/>
    <n v="575"/>
    <n v="565"/>
    <n v="525"/>
    <n v="646"/>
    <n v="651.65"/>
    <n v="571.32500000000005"/>
    <n v="1610"/>
    <n v="133556.99299999999"/>
    <n v="10867"/>
    <n v="122617.01495505625"/>
    <n v="111938.57250499999"/>
  </r>
  <r>
    <d v="2016-12-30T00:00:00"/>
    <x v="47"/>
    <n v="12"/>
    <n v="67.92"/>
    <n v="540"/>
    <n v="470"/>
    <n v="575"/>
    <n v="565"/>
    <n v="525"/>
    <n v="646"/>
    <n v="651.65"/>
    <n v="571.32500000000005"/>
    <n v="1595"/>
    <n v="132046.7255"/>
    <n v="10867"/>
    <n v="122617.01495505625"/>
    <n v="110442.61304"/>
  </r>
  <r>
    <d v="2017-01-03T00:00:00"/>
    <x v="48"/>
    <n v="1"/>
    <n v="68.33"/>
    <n v="540"/>
    <n v="470"/>
    <n v="570"/>
    <n v="570"/>
    <n v="520"/>
    <n v="646"/>
    <n v="651.65"/>
    <n v="571.32500000000005"/>
    <n v="1610"/>
    <n v="133974.179"/>
    <n v="10733"/>
    <n v="121202.98176664009"/>
    <n v="112285.92951499998"/>
  </r>
  <r>
    <d v="2017-01-04T00:00:00"/>
    <x v="48"/>
    <n v="1"/>
    <n v="68.09"/>
    <n v="560"/>
    <n v="475"/>
    <n v="570"/>
    <n v="570"/>
    <n v="520"/>
    <n v="641"/>
    <n v="674.6"/>
    <n v="577.0625"/>
    <n v="1610"/>
    <n v="133519.06700000001"/>
    <n v="10667"/>
    <n v="120506.51765891272"/>
    <n v="111906.994595"/>
  </r>
  <r>
    <d v="2017-01-05T00:00:00"/>
    <x v="48"/>
    <n v="1"/>
    <n v="67.97"/>
    <n v="545"/>
    <n v="465"/>
    <n v="565"/>
    <n v="565"/>
    <n v="520"/>
    <n v="636"/>
    <n v="657.38749999999993"/>
    <n v="565.58749999999998"/>
    <n v="1610"/>
    <n v="133291.511"/>
    <n v="10677"/>
    <n v="120612.04252371988"/>
    <n v="111717.52713499998"/>
  </r>
  <r>
    <d v="2017-01-06T00:00:00"/>
    <x v="48"/>
    <n v="1"/>
    <n v="67.97"/>
    <n v="540"/>
    <n v="460"/>
    <n v="565"/>
    <n v="565"/>
    <n v="520"/>
    <n v="646"/>
    <n v="651.65"/>
    <n v="559.85"/>
    <n v="1610"/>
    <n v="133291.511"/>
    <n v="10667"/>
    <n v="120506.51765891272"/>
    <n v="111717.52713499998"/>
  </r>
  <r>
    <d v="2017-01-09T00:00:00"/>
    <x v="49"/>
    <n v="1"/>
    <n v="68.209999999999994"/>
    <n v="545"/>
    <n v="465"/>
    <n v="565"/>
    <n v="565"/>
    <n v="520"/>
    <n v="651"/>
    <n v="657.38749999999993"/>
    <n v="565.58749999999998"/>
    <n v="1630"/>
    <n v="135286.46375"/>
    <n v="10733"/>
    <n v="121202.98176664009"/>
    <n v="113697.89643499999"/>
  </r>
  <r>
    <d v="2017-01-10T00:00:00"/>
    <x v="49"/>
    <n v="1"/>
    <n v="68.180000000000007"/>
    <n v="545"/>
    <n v="465"/>
    <n v="565"/>
    <n v="565"/>
    <n v="520"/>
    <n v="651"/>
    <n v="657.38749999999993"/>
    <n v="565.58749999999998"/>
    <n v="1640"/>
    <n v="135998.47925"/>
    <n v="10867"/>
    <n v="122617.01495505625"/>
    <n v="114450.19025000001"/>
  </r>
  <r>
    <d v="2017-01-11T00:00:00"/>
    <x v="49"/>
    <n v="1"/>
    <n v="68.319999999999993"/>
    <n v="550"/>
    <n v="470"/>
    <n v="570"/>
    <n v="570"/>
    <n v="525"/>
    <n v="656"/>
    <n v="663.125"/>
    <n v="571.32500000000005"/>
    <n v="1640"/>
    <n v="136268.70199999996"/>
    <n v="10867"/>
    <n v="122617.01495505625"/>
    <n v="114676.16599999998"/>
  </r>
  <r>
    <d v="2017-01-12T00:00:00"/>
    <x v="49"/>
    <n v="1"/>
    <n v="68.08"/>
    <n v="545"/>
    <n v="465"/>
    <n v="570"/>
    <n v="570"/>
    <n v="525"/>
    <n v="651"/>
    <n v="657.38749999999993"/>
    <n v="565.58749999999998"/>
    <n v="1690"/>
    <n v="139647.728"/>
    <n v="11000"/>
    <n v="124020.49565699177"/>
    <n v="118284.7346"/>
  </r>
  <r>
    <d v="2017-01-13T00:00:00"/>
    <x v="49"/>
    <n v="1"/>
    <n v="68.16"/>
    <n v="545"/>
    <n v="460"/>
    <n v="570"/>
    <n v="570"/>
    <n v="525"/>
    <n v="651"/>
    <n v="657.38749999999993"/>
    <n v="559.85"/>
    <n v="1690"/>
    <n v="139806.65599999999"/>
    <n v="11200"/>
    <n v="126130.99295313531"/>
    <n v="118418.55919999999"/>
  </r>
  <r>
    <d v="2017-01-16T00:00:00"/>
    <x v="50"/>
    <n v="1"/>
    <n v="68.099999999999994"/>
    <n v="550"/>
    <n v="465"/>
    <n v="570"/>
    <n v="570"/>
    <n v="525"/>
    <n v="651"/>
    <n v="663.125"/>
    <n v="565.58749999999998"/>
    <n v="1690"/>
    <n v="139687.45999999996"/>
    <n v="11200"/>
    <n v="126130.99295313531"/>
    <n v="118318.19074999998"/>
  </r>
  <r>
    <d v="2017-01-17T00:00:00"/>
    <x v="50"/>
    <n v="1"/>
    <n v="67.98"/>
    <n v="555"/>
    <n v="470"/>
    <n v="572"/>
    <n v="560"/>
    <n v="525"/>
    <n v="656"/>
    <n v="668.86250000000007"/>
    <n v="571.32500000000005"/>
    <n v="1750"/>
    <n v="144053.0135"/>
    <n v="11533"/>
    <n v="129644.97095121435"/>
    <n v="122905.55717"/>
  </r>
  <r>
    <d v="2017-01-18T00:00:00"/>
    <x v="50"/>
    <n v="1"/>
    <n v="68.08"/>
    <n v="560"/>
    <n v="465"/>
    <n v="575"/>
    <n v="570"/>
    <n v="525"/>
    <n v="656"/>
    <n v="674.6"/>
    <n v="565.58749999999998"/>
    <n v="1750"/>
    <n v="144258.44599999997"/>
    <n v="11867"/>
    <n v="133169.50143577409"/>
    <n v="123079.88132"/>
  </r>
  <r>
    <d v="2017-01-19T00:00:00"/>
    <x v="50"/>
    <n v="1"/>
    <n v="68.180000000000007"/>
    <n v="570"/>
    <n v="470"/>
    <n v="580"/>
    <n v="575"/>
    <n v="530"/>
    <n v="656"/>
    <n v="686.07499999999993"/>
    <n v="571.32500000000005"/>
    <n v="1775"/>
    <n v="146387.83287499999"/>
    <n v="12067"/>
    <n v="135279.99873191764"/>
    <n v="125255.11802000001"/>
  </r>
  <r>
    <d v="2017-01-20T00:00:00"/>
    <x v="50"/>
    <n v="1"/>
    <n v="68.180000000000007"/>
    <n v="570"/>
    <n v="470"/>
    <n v="585"/>
    <n v="575"/>
    <n v="530"/>
    <n v="651"/>
    <n v="686.07499999999993"/>
    <n v="571.32500000000005"/>
    <n v="1805"/>
    <n v="148696.578125"/>
    <n v="12067"/>
    <n v="135279.99873191764"/>
    <n v="127656.21308"/>
  </r>
  <r>
    <d v="2017-01-23T00:00:00"/>
    <x v="51"/>
    <n v="1"/>
    <n v="68.2"/>
    <n v="570"/>
    <n v="470"/>
    <n v="590"/>
    <n v="580"/>
    <n v="530"/>
    <n v="651"/>
    <n v="686.07499999999993"/>
    <n v="571.32500000000005"/>
    <n v="1800"/>
    <n v="148354.0025"/>
    <n v="13000"/>
    <n v="145125.46861842735"/>
    <n v="127292.06929999999"/>
  </r>
  <r>
    <d v="2017-01-24T00:00:00"/>
    <x v="51"/>
    <n v="1"/>
    <n v="68.14"/>
    <n v="575"/>
    <n v="480"/>
    <n v="595"/>
    <n v="585"/>
    <n v="530"/>
    <n v="656"/>
    <n v="691.8125"/>
    <n v="582.80000000000007"/>
    <n v="1800"/>
    <n v="148227.35675000001"/>
    <n v="13000"/>
    <n v="145125.46861842735"/>
    <n v="127183.95310999999"/>
  </r>
  <r>
    <d v="2017-01-25T00:00:00"/>
    <x v="51"/>
    <n v="1"/>
    <n v="68.069999999999993"/>
    <n v="570"/>
    <n v="475"/>
    <n v="595"/>
    <n v="585"/>
    <n v="530"/>
    <n v="651"/>
    <n v="686.07499999999993"/>
    <n v="577.0625"/>
    <n v="1800"/>
    <n v="148079.60337499998"/>
    <n v="13200"/>
    <n v="147235.96591457093"/>
    <n v="127057.81755499997"/>
  </r>
  <r>
    <d v="2017-01-27T00:00:00"/>
    <x v="51"/>
    <n v="1"/>
    <n v="68.040000000000006"/>
    <n v="565"/>
    <n v="470"/>
    <n v="590"/>
    <n v="580"/>
    <n v="525"/>
    <n v="651"/>
    <n v="680.33749999999998"/>
    <n v="571.32500000000005"/>
    <n v="1810"/>
    <n v="148784.28200000001"/>
    <n v="13200"/>
    <n v="147235.96591457093"/>
    <n v="127802.48101999999"/>
  </r>
  <r>
    <d v="2017-01-30T00:00:00"/>
    <x v="52"/>
    <n v="1"/>
    <n v="67.95"/>
    <n v="565"/>
    <n v="470"/>
    <n v="590"/>
    <n v="580"/>
    <n v="525"/>
    <n v="646"/>
    <n v="680.33749999999998"/>
    <n v="571.32500000000005"/>
    <n v="1810"/>
    <n v="148593.29749999999"/>
    <n v="13467"/>
    <n v="150053.47980492256"/>
    <n v="127639.250225"/>
  </r>
  <r>
    <d v="2017-01-31T00:00:00"/>
    <x v="52"/>
    <n v="1"/>
    <n v="67.87"/>
    <n v="565"/>
    <n v="470"/>
    <n v="590"/>
    <n v="580"/>
    <n v="525"/>
    <n v="646"/>
    <n v="680.33749999999998"/>
    <n v="571.32500000000005"/>
    <n v="1820"/>
    <n v="149189.616125"/>
    <n v="13733"/>
    <n v="152860.44120879352"/>
    <n v="128290.882115"/>
  </r>
  <r>
    <d v="2017-02-01T00:00:00"/>
    <x v="52"/>
    <n v="2"/>
    <n v="67.48"/>
    <n v="565"/>
    <n v="470"/>
    <n v="590"/>
    <n v="580"/>
    <n v="525"/>
    <n v="646"/>
    <n v="680.33749999999998"/>
    <n v="571.32500000000005"/>
    <n v="1820"/>
    <n v="148357.6145"/>
    <n v="13600"/>
    <n v="151456.96050685804"/>
    <n v="127578.97046000001"/>
  </r>
  <r>
    <d v="2017-02-02T00:00:00"/>
    <x v="52"/>
    <n v="2"/>
    <n v="67.37"/>
    <n v="570"/>
    <n v="475"/>
    <n v="595"/>
    <n v="585"/>
    <n v="530"/>
    <n v="651"/>
    <n v="686.07499999999993"/>
    <n v="577.0625"/>
    <n v="1820"/>
    <n v="148122.94737499999"/>
    <n v="13667"/>
    <n v="152163.97710106615"/>
    <n v="127378.17486500001"/>
  </r>
  <r>
    <d v="2017-02-03T00:00:00"/>
    <x v="52"/>
    <n v="2"/>
    <n v="67.31"/>
    <n v="565"/>
    <n v="470"/>
    <n v="595"/>
    <n v="585"/>
    <n v="530"/>
    <n v="646"/>
    <n v="680.33749999999998"/>
    <n v="571.32500000000005"/>
    <n v="1800"/>
    <n v="146475.42387499998"/>
    <n v="13467"/>
    <n v="150053.47980492256"/>
    <n v="125688.3458150000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39">
  <r>
    <d v="2017-02-01T00:00:00"/>
    <x v="0"/>
    <n v="2"/>
    <n v="67.48"/>
    <n v="565"/>
    <n v="470"/>
    <n v="590"/>
    <n v="580"/>
    <n v="525"/>
    <n v="646"/>
    <n v="680.33749999999998"/>
    <n v="571.32500000000005"/>
    <n v="1820"/>
    <n v="148357.6145"/>
    <n v="13600"/>
    <n v="151456.96050685804"/>
    <n v="127578.97046000001"/>
  </r>
  <r>
    <d v="2017-02-02T00:00:00"/>
    <x v="0"/>
    <n v="2"/>
    <n v="67.37"/>
    <n v="570"/>
    <n v="475"/>
    <n v="595"/>
    <n v="585"/>
    <n v="530"/>
    <n v="651"/>
    <n v="686.07499999999993"/>
    <n v="577.0625"/>
    <n v="1820"/>
    <n v="148122.94737499999"/>
    <n v="13667"/>
    <n v="152163.97710106615"/>
    <n v="127378.17486500001"/>
  </r>
  <r>
    <d v="2017-02-03T00:00:00"/>
    <x v="0"/>
    <n v="2"/>
    <n v="67.31"/>
    <n v="565"/>
    <n v="470"/>
    <n v="595"/>
    <n v="585"/>
    <n v="530"/>
    <n v="646"/>
    <n v="680.33749999999998"/>
    <n v="571.32500000000005"/>
    <n v="1800"/>
    <n v="146475.42387499998"/>
    <n v="13467"/>
    <n v="150053.47980492256"/>
    <n v="125688.34581500001"/>
  </r>
  <r>
    <d v="2017-02-06T00:00:00"/>
    <x v="1"/>
    <n v="2"/>
    <n v="67.22"/>
    <n v="560"/>
    <n v="470"/>
    <n v="590"/>
    <n v="580"/>
    <n v="525"/>
    <n v="646"/>
    <n v="674.6"/>
    <n v="571.32500000000005"/>
    <n v="1780"/>
    <n v="144767.96375"/>
    <n v="12667"/>
    <n v="141611.49062034834"/>
    <n v="123947.98037"/>
  </r>
  <r>
    <d v="2017-02-07T00:00:00"/>
    <x v="1"/>
    <n v="2"/>
    <n v="67.41"/>
    <n v="560"/>
    <n v="470"/>
    <n v="590"/>
    <n v="580"/>
    <n v="525"/>
    <n v="646"/>
    <n v="674.6"/>
    <n v="571.32500000000005"/>
    <n v="1790"/>
    <n v="145925.60974999997"/>
    <n v="12667"/>
    <n v="141611.49062034834"/>
    <n v="125077.213475"/>
  </r>
  <r>
    <d v="2017-02-08T00:00:00"/>
    <x v="1"/>
    <n v="2"/>
    <n v="67.19"/>
    <n v="545"/>
    <n v="475"/>
    <n v="590"/>
    <n v="580"/>
    <n v="525"/>
    <n v="651"/>
    <n v="657.38749999999993"/>
    <n v="577.0625"/>
    <n v="1790"/>
    <n v="145463.72524999999"/>
    <n v="12800"/>
    <n v="143014.97132228379"/>
    <n v="124683.370025"/>
  </r>
  <r>
    <d v="2017-02-09T00:00:00"/>
    <x v="1"/>
    <n v="2"/>
    <n v="66.930000000000007"/>
    <n v="550"/>
    <n v="485"/>
    <n v="590"/>
    <n v="580"/>
    <n v="525"/>
    <n v="651"/>
    <n v="663.125"/>
    <n v="588.53750000000002"/>
    <n v="1790"/>
    <n v="144917.86175000001"/>
    <n v="12800"/>
    <n v="143014.97132228379"/>
    <n v="124217.91867500001"/>
  </r>
  <r>
    <d v="2017-02-10T00:00:00"/>
    <x v="1"/>
    <n v="2"/>
    <n v="66.89"/>
    <n v="545"/>
    <n v="475"/>
    <n v="590"/>
    <n v="580"/>
    <n v="525"/>
    <n v="646"/>
    <n v="657.38749999999993"/>
    <n v="577.0625"/>
    <n v="1790"/>
    <n v="144833.88274999999"/>
    <n v="12533"/>
    <n v="140197.45743193215"/>
    <n v="124146.31077499999"/>
  </r>
  <r>
    <d v="2017-02-13T00:00:00"/>
    <x v="2"/>
    <n v="2"/>
    <n v="67"/>
    <n v="545"/>
    <n v="472"/>
    <n v="590"/>
    <n v="580"/>
    <n v="525"/>
    <n v="641"/>
    <n v="657.38749999999993"/>
    <n v="573.62"/>
    <n v="1685"/>
    <n v="137124.06874999998"/>
    <n v="11867"/>
    <n v="133169.50143577409"/>
    <n v="116084.84599999999"/>
  </r>
  <r>
    <d v="2017-02-14T00:00:00"/>
    <x v="2"/>
    <n v="2"/>
    <n v="68.930000000000007"/>
    <n v="545"/>
    <n v="472"/>
    <n v="590"/>
    <n v="580"/>
    <n v="525"/>
    <n v="641"/>
    <n v="657.38749999999993"/>
    <n v="573.62"/>
    <n v="1650"/>
    <n v="138224.14850000001"/>
    <n v="11867"/>
    <n v="133169.50143577409"/>
    <n v="116469.943895"/>
  </r>
  <r>
    <d v="2017-02-15T00:00:00"/>
    <x v="2"/>
    <n v="2"/>
    <n v="66.91"/>
    <n v="545"/>
    <n v="475"/>
    <n v="585"/>
    <n v="585"/>
    <n v="525"/>
    <n v="646"/>
    <n v="657.38749999999993"/>
    <n v="577.0625"/>
    <n v="1650"/>
    <n v="134302.41949999999"/>
    <n v="12067"/>
    <n v="135279.99873191764"/>
    <n v="113185.72386499998"/>
  </r>
  <r>
    <d v="2017-02-16T00:00:00"/>
    <x v="2"/>
    <n v="2"/>
    <n v="67.08"/>
    <n v="545"/>
    <n v="471"/>
    <n v="580"/>
    <n v="580"/>
    <n v="520"/>
    <n v="641"/>
    <n v="657.38749999999993"/>
    <n v="572.47249999999997"/>
    <n v="1640"/>
    <n v="133875.30050000001"/>
    <n v="12533"/>
    <n v="140197.45743193215"/>
    <n v="112674.66649999999"/>
  </r>
  <r>
    <d v="2017-02-17T00:00:00"/>
    <x v="2"/>
    <n v="2"/>
    <n v="67"/>
    <n v="545"/>
    <n v="470"/>
    <n v="575"/>
    <n v="580"/>
    <n v="520"/>
    <n v="636"/>
    <n v="657.38749999999993"/>
    <n v="571.32500000000005"/>
    <n v="1610"/>
    <n v="131452.09999999998"/>
    <n v="12133"/>
    <n v="135976.46283964501"/>
    <n v="110185.9985"/>
  </r>
  <r>
    <d v="2017-02-20T00:00:00"/>
    <x v="3"/>
    <n v="2"/>
    <n v="66.930000000000007"/>
    <n v="545"/>
    <n v="472"/>
    <n v="575"/>
    <n v="580"/>
    <n v="520"/>
    <n v="631"/>
    <n v="657.38749999999993"/>
    <n v="573.62"/>
    <n v="1600"/>
    <n v="130563.886625"/>
    <n v="11667"/>
    <n v="131059.00413963053"/>
    <n v="109289.784545"/>
  </r>
  <r>
    <d v="2017-02-21T00:00:00"/>
    <x v="3"/>
    <n v="2"/>
    <n v="66.900000000000006"/>
    <n v="545"/>
    <n v="465"/>
    <n v="565"/>
    <n v="565"/>
    <n v="520"/>
    <n v="636"/>
    <n v="657.38749999999993"/>
    <n v="565.58749999999998"/>
    <n v="1490"/>
    <n v="122200.86500000001"/>
    <n v="11533"/>
    <n v="129644.97095121435"/>
    <n v="100604.03975"/>
  </r>
  <r>
    <d v="2017-02-22T00:00:00"/>
    <x v="3"/>
    <n v="2"/>
    <n v="66.98"/>
    <n v="540"/>
    <n v="463"/>
    <n v="565"/>
    <n v="565"/>
    <n v="520"/>
    <n v="621"/>
    <n v="651.65"/>
    <n v="563.29250000000002"/>
    <n v="1490"/>
    <n v="122341.73299999999"/>
    <n v="11400"/>
    <n v="128241.49024927887"/>
    <n v="100719.08194999999"/>
  </r>
  <r>
    <d v="2017-02-23T00:00:00"/>
    <x v="3"/>
    <n v="2"/>
    <n v="66.83"/>
    <n v="535"/>
    <n v="461"/>
    <n v="560"/>
    <n v="560"/>
    <n v="520"/>
    <n v="615"/>
    <n v="645.91250000000002"/>
    <n v="560.99750000000006"/>
    <n v="1480"/>
    <n v="121323.261875"/>
    <n v="11733"/>
    <n v="131755.46824735793"/>
    <n v="99718.860454999987"/>
  </r>
  <r>
    <d v="2017-02-24T00:00:00"/>
    <x v="3"/>
    <n v="2"/>
    <n v="66.83"/>
    <n v="540"/>
    <n v="457"/>
    <n v="560"/>
    <n v="560"/>
    <n v="515"/>
    <n v="611"/>
    <n v="651.65"/>
    <n v="556.40750000000003"/>
    <n v="1480"/>
    <n v="121323.261875"/>
    <n v="11400"/>
    <n v="128241.49024927887"/>
    <n v="99718.860454999987"/>
  </r>
  <r>
    <d v="2017-02-27T00:00:00"/>
    <x v="4"/>
    <n v="2"/>
    <n v="66.7"/>
    <n v="535"/>
    <n v="455"/>
    <n v="558"/>
    <n v="558"/>
    <n v="510"/>
    <n v="605"/>
    <n v="645.91250000000002"/>
    <n v="554.11250000000007"/>
    <n v="1460"/>
    <n v="119590.06624999999"/>
    <n v="11600"/>
    <n v="130351.98754542244"/>
    <n v="97967.460349999994"/>
  </r>
  <r>
    <d v="2017-02-28T00:00:00"/>
    <x v="4"/>
    <n v="2"/>
    <n v="66.69"/>
    <n v="530"/>
    <n v="457"/>
    <n v="553"/>
    <n v="553"/>
    <n v="510"/>
    <n v="605"/>
    <n v="640.17500000000007"/>
    <n v="556.40750000000003"/>
    <n v="1310"/>
    <n v="108281.34574999999"/>
    <n v="11600"/>
    <n v="130351.98754542244"/>
    <n v="86210.323594999994"/>
  </r>
  <r>
    <d v="2017-03-01T00:00:00"/>
    <x v="4"/>
    <n v="3"/>
    <n v="66.81"/>
    <n v="520"/>
    <n v="455"/>
    <n v="550"/>
    <n v="550"/>
    <n v="510"/>
    <n v="610"/>
    <n v="628.69999999999993"/>
    <n v="554.11250000000007"/>
    <n v="1350"/>
    <n v="111484.73824999999"/>
    <n v="11667"/>
    <n v="131059.00413963053"/>
    <n v="89494.661015000005"/>
  </r>
  <r>
    <d v="2017-03-02T00:00:00"/>
    <x v="4"/>
    <n v="3"/>
    <n v="66.7"/>
    <n v="525"/>
    <n v="460"/>
    <n v="550"/>
    <n v="550"/>
    <n v="510"/>
    <n v="615"/>
    <n v="634.4375"/>
    <n v="559.85"/>
    <n v="1380"/>
    <n v="113567.05624999999"/>
    <n v="11800"/>
    <n v="132462.48484156598"/>
    <n v="91703.529949999996"/>
  </r>
  <r>
    <d v="2017-03-03T00:00:00"/>
    <x v="4"/>
    <n v="3"/>
    <n v="66.81"/>
    <n v="525"/>
    <n v="460"/>
    <n v="550"/>
    <n v="550"/>
    <n v="510"/>
    <n v="613"/>
    <n v="634.4375"/>
    <n v="559.85"/>
    <n v="1370"/>
    <n v="112992.974"/>
    <n v="12000"/>
    <n v="134572.98213770956"/>
    <n v="91063.226194999996"/>
  </r>
  <r>
    <d v="2017-03-06T00:00:00"/>
    <x v="5"/>
    <n v="3"/>
    <n v="66.72"/>
    <n v="525"/>
    <n v="463"/>
    <n v="550"/>
    <n v="550"/>
    <n v="510"/>
    <n v="613"/>
    <n v="634.4375"/>
    <n v="563.29250000000002"/>
    <n v="1380"/>
    <n v="113599.79"/>
    <n v="11867"/>
    <n v="133169.50143577409"/>
    <n v="91729.707920000001"/>
  </r>
  <r>
    <d v="2017-03-09T00:00:00"/>
    <x v="5"/>
    <n v="3"/>
    <n v="66.72"/>
    <n v="525"/>
    <n v="460"/>
    <n v="550"/>
    <n v="550"/>
    <n v="510"/>
    <n v="606"/>
    <n v="634.4375"/>
    <n v="559.85"/>
    <n v="1350"/>
    <n v="111340.48399999998"/>
    <n v="11400"/>
    <n v="128241.49024927887"/>
    <n v="89380.029679999992"/>
  </r>
  <r>
    <d v="2017-03-10T00:00:00"/>
    <x v="5"/>
    <n v="3"/>
    <n v="66.569999999999993"/>
    <n v="520"/>
    <n v="455"/>
    <n v="550"/>
    <n v="550"/>
    <n v="510"/>
    <n v="601"/>
    <n v="628.69999999999993"/>
    <n v="554.11250000000007"/>
    <n v="1300"/>
    <n v="107343.01587499998"/>
    <n v="11267"/>
    <n v="126838.00954734339"/>
    <n v="85281.651304999992"/>
  </r>
  <r>
    <d v="2017-03-14T00:00:00"/>
    <x v="6"/>
    <n v="3"/>
    <n v="65.819999999999993"/>
    <n v="505"/>
    <n v="453"/>
    <n v="550"/>
    <n v="550"/>
    <n v="510"/>
    <n v="596"/>
    <n v="611.48750000000007"/>
    <n v="551.8175"/>
    <n v="1300"/>
    <n v="106183.22524999999"/>
    <n v="11467"/>
    <n v="128948.50684348698"/>
    <n v="84370.411429999993"/>
  </r>
  <r>
    <d v="2017-03-15T00:00:00"/>
    <x v="6"/>
    <n v="3"/>
    <n v="65.7"/>
    <n v="505"/>
    <n v="455"/>
    <n v="550"/>
    <n v="550"/>
    <n v="510"/>
    <n v="601"/>
    <n v="611.48750000000007"/>
    <n v="554.11250000000007"/>
    <n v="1260"/>
    <n v="103031.30374999999"/>
    <n v="11467"/>
    <n v="128948.50684348698"/>
    <n v="81139.60385"/>
  </r>
  <r>
    <d v="2017-03-16T00:00:00"/>
    <x v="6"/>
    <n v="3"/>
    <n v="65.41"/>
    <n v="505"/>
    <n v="460"/>
    <n v="555"/>
    <n v="555"/>
    <n v="510"/>
    <n v="606"/>
    <n v="611.48750000000007"/>
    <n v="559.85"/>
    <n v="1300"/>
    <n v="105549.20637499999"/>
    <n v="11667"/>
    <n v="131059.00413963053"/>
    <n v="83872.266964999988"/>
  </r>
  <r>
    <d v="2017-03-17T00:00:00"/>
    <x v="6"/>
    <n v="3"/>
    <n v="65.48"/>
    <n v="505"/>
    <n v="460"/>
    <n v="550"/>
    <n v="555"/>
    <n v="510"/>
    <n v="611"/>
    <n v="611.48750000000007"/>
    <n v="559.85"/>
    <n v="1300"/>
    <n v="105657.4535"/>
    <n v="11467"/>
    <n v="128948.50684348698"/>
    <n v="83957.316019999998"/>
  </r>
  <r>
    <d v="2017-03-20T00:00:00"/>
    <x v="7"/>
    <n v="3"/>
    <n v="65.36"/>
    <n v="505"/>
    <n v="465"/>
    <n v="550"/>
    <n v="560"/>
    <n v="515"/>
    <n v="611"/>
    <n v="611.48750000000007"/>
    <n v="565.58749999999998"/>
    <n v="1300"/>
    <n v="105471.88699999999"/>
    <n v="11800"/>
    <n v="132462.48484156598"/>
    <n v="83811.517640000005"/>
  </r>
  <r>
    <d v="2017-03-21T00:00:00"/>
    <x v="7"/>
    <n v="3"/>
    <n v="65.28"/>
    <n v="505"/>
    <n v="465"/>
    <n v="560"/>
    <n v="555"/>
    <n v="515"/>
    <n v="616"/>
    <n v="611.48750000000007"/>
    <n v="565.58749999999998"/>
    <n v="1300"/>
    <n v="105348.17599999999"/>
    <n v="11933"/>
    <n v="133865.96554350143"/>
    <n v="83714.318719999996"/>
  </r>
  <r>
    <d v="2017-03-22T00:00:00"/>
    <x v="7"/>
    <n v="3"/>
    <n v="65.44"/>
    <n v="505"/>
    <n v="465"/>
    <n v="555"/>
    <n v="562"/>
    <n v="615"/>
    <n v="616"/>
    <n v="611.48750000000007"/>
    <n v="565.58749999999998"/>
    <n v="1300"/>
    <n v="105595.598"/>
    <n v="12000"/>
    <n v="134572.98213770956"/>
    <n v="83908.716559999986"/>
  </r>
  <r>
    <d v="2017-03-23T00:00:00"/>
    <x v="7"/>
    <n v="3"/>
    <n v="65.53"/>
    <n v="500"/>
    <n v="460"/>
    <n v="555"/>
    <n v="562"/>
    <n v="515"/>
    <n v="611"/>
    <n v="605.75"/>
    <n v="559.85"/>
    <n v="1280"/>
    <n v="104255.433125"/>
    <n v="12200"/>
    <n v="136683.47943385312"/>
    <n v="82479.55200499999"/>
  </r>
  <r>
    <d v="2017-03-24T00:00:00"/>
    <x v="7"/>
    <n v="3"/>
    <n v="65.42"/>
    <n v="495"/>
    <n v="465"/>
    <n v="555"/>
    <n v="562"/>
    <n v="515"/>
    <n v="606"/>
    <n v="600.01250000000005"/>
    <n v="565.58749999999998"/>
    <n v="1280"/>
    <n v="104087.81374999999"/>
    <n v="12133"/>
    <n v="135976.46283964501"/>
    <n v="82348.486069999999"/>
  </r>
  <r>
    <d v="2017-03-27T00:00:00"/>
    <x v="8"/>
    <n v="3"/>
    <n v="65.03"/>
    <n v="490"/>
    <n v="460"/>
    <n v="555"/>
    <n v="562"/>
    <n v="515"/>
    <n v="596"/>
    <n v="594.27499999999998"/>
    <n v="559.85"/>
    <n v="1210"/>
    <n v="98355.343999999983"/>
    <n v="12067"/>
    <n v="135279.99873191764"/>
    <n v="76540.087564999994"/>
  </r>
  <r>
    <d v="2017-03-29T00:00:00"/>
    <x v="8"/>
    <n v="3"/>
    <n v="64.900000000000006"/>
    <n v="495"/>
    <n v="457"/>
    <n v="550"/>
    <n v="557"/>
    <n v="515"/>
    <n v="593"/>
    <n v="600.01250000000005"/>
    <n v="556.40750000000003"/>
    <n v="1200"/>
    <n v="97434.961249999993"/>
    <n v="12067"/>
    <n v="135279.99873191764"/>
    <n v="75634.012849999999"/>
  </r>
  <r>
    <d v="2017-03-30T00:00:00"/>
    <x v="8"/>
    <n v="3"/>
    <n v="64.91"/>
    <n v="490"/>
    <n v="460"/>
    <n v="545"/>
    <n v="552"/>
    <n v="525"/>
    <n v="588"/>
    <n v="594.27499999999998"/>
    <n v="559.85"/>
    <n v="1200"/>
    <n v="97449.296374999991"/>
    <n v="12133"/>
    <n v="135976.46283964501"/>
    <n v="75644.98881499999"/>
  </r>
  <r>
    <d v="2017-03-31T00:00:00"/>
    <x v="8"/>
    <n v="3"/>
    <n v="64.84"/>
    <n v="495"/>
    <n v="460"/>
    <n v="545"/>
    <n v="552"/>
    <n v="525"/>
    <n v="591"/>
    <n v="600.01250000000005"/>
    <n v="559.85"/>
    <n v="1150"/>
    <n v="93689.542999999991"/>
    <n v="12267"/>
    <n v="137390.4960280612"/>
    <n v="71762.37325999999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105">
  <r>
    <s v="PUNJAB OILS, AMRITSAR (P.B) "/>
    <x v="0"/>
    <d v="2017-03-01T00:00:00"/>
    <n v="3"/>
    <x v="0"/>
    <n v="25"/>
    <n v="58500"/>
    <n v="1462500"/>
    <n v="0"/>
    <n v="0"/>
    <n v="0"/>
    <n v="0"/>
    <n v="1462500"/>
    <n v="0"/>
    <n v="0"/>
    <n v="1462500"/>
    <n v="25"/>
  </r>
  <r>
    <s v="PUNJAB OILS, AMRITSAR (P.B) "/>
    <x v="0"/>
    <d v="2017-03-01T00:00:00"/>
    <n v="3"/>
    <x v="0"/>
    <n v="20.59"/>
    <n v="58500"/>
    <n v="1204515"/>
    <n v="0"/>
    <n v="0"/>
    <n v="0"/>
    <n v="0"/>
    <n v="1204515"/>
    <n v="0"/>
    <n v="0"/>
    <n v="1204515"/>
    <n v="20.59"/>
  </r>
  <r>
    <s v="PUNJAB OILS, AMRITSAR (P.B) "/>
    <x v="0"/>
    <d v="2017-03-01T00:00:00"/>
    <n v="3"/>
    <x v="0"/>
    <n v="27.17"/>
    <n v="58500"/>
    <n v="1589445"/>
    <n v="0"/>
    <n v="0"/>
    <n v="0"/>
    <n v="0"/>
    <n v="1589445"/>
    <n v="0"/>
    <n v="0"/>
    <n v="1589445"/>
    <n v="27.17"/>
  </r>
  <r>
    <s v="DEEP CHAND ARYA INDUSTRIES, DELHI"/>
    <x v="0"/>
    <d v="2017-03-01T00:00:00"/>
    <n v="3"/>
    <x v="0"/>
    <n v="29.18"/>
    <n v="58255.89"/>
    <n v="1699906.8702"/>
    <n v="0"/>
    <n v="0"/>
    <n v="0"/>
    <n v="0"/>
    <n v="1699906.8702"/>
    <n v="0"/>
    <n v="0"/>
    <n v="1699906.8702"/>
    <n v="29.18"/>
  </r>
  <r>
    <s v="HARKARAN DASS VEDPAL, LUDHIANA (P.B)"/>
    <x v="0"/>
    <d v="2017-03-01T00:00:00"/>
    <n v="3"/>
    <x v="0"/>
    <n v="20.22"/>
    <n v="58500"/>
    <n v="1182870"/>
    <n v="0"/>
    <n v="0"/>
    <n v="0"/>
    <n v="0"/>
    <n v="1182870"/>
    <n v="0"/>
    <n v="0"/>
    <n v="1182870"/>
    <n v="20.22"/>
  </r>
  <r>
    <s v="HARKARAN DASS VEDPAL, LUDHIANA (P.B)"/>
    <x v="0"/>
    <d v="2017-03-01T00:00:00"/>
    <n v="3"/>
    <x v="0"/>
    <n v="28.49"/>
    <n v="58200"/>
    <n v="1658118"/>
    <n v="0"/>
    <n v="0"/>
    <n v="0"/>
    <n v="0"/>
    <n v="1658118"/>
    <n v="0"/>
    <n v="0"/>
    <n v="1658118"/>
    <n v="28.49"/>
  </r>
  <r>
    <s v="DEEP CHAND ARYA INDUSTRIES, DELHI"/>
    <x v="0"/>
    <d v="2017-03-01T00:00:00"/>
    <n v="3"/>
    <x v="0"/>
    <n v="27.55"/>
    <n v="58181.11"/>
    <n v="1602889.5805000002"/>
    <n v="0"/>
    <n v="0"/>
    <n v="0"/>
    <n v="0"/>
    <n v="1602889.5805000002"/>
    <n v="0"/>
    <n v="0"/>
    <n v="1602889.5805000002"/>
    <n v="27.55"/>
  </r>
  <r>
    <s v="RICELA HEALTH FOODS LIMITED, DHURI (P.B)"/>
    <x v="1"/>
    <d v="2017-03-01T00:00:00"/>
    <n v="3"/>
    <x v="0"/>
    <n v="28.67"/>
    <n v="50000"/>
    <n v="1433500"/>
    <n v="0"/>
    <n v="0"/>
    <n v="0"/>
    <n v="0"/>
    <n v="1433500"/>
    <n v="28670"/>
    <n v="0"/>
    <n v="1462170"/>
    <n v="28.67"/>
  </r>
  <r>
    <s v="RICELA HEALTH FOODS LIMITED, DHURI (P.B)"/>
    <x v="1"/>
    <d v="2017-03-01T00:00:00"/>
    <n v="3"/>
    <x v="0"/>
    <n v="29"/>
    <n v="50000"/>
    <n v="1450000"/>
    <n v="0"/>
    <n v="0"/>
    <n v="0"/>
    <n v="0"/>
    <n v="1450000"/>
    <n v="29000"/>
    <n v="0"/>
    <n v="1479000"/>
    <n v="29"/>
  </r>
  <r>
    <s v="SIDDHARTH OILS, LUDHIANA (P.B)"/>
    <x v="2"/>
    <d v="2017-03-02T00:00:00"/>
    <n v="3"/>
    <x v="0"/>
    <n v="29.63"/>
    <n v="57000"/>
    <n v="1688910"/>
    <n v="0"/>
    <n v="0"/>
    <n v="0"/>
    <n v="0"/>
    <n v="1688910"/>
    <n v="0"/>
    <n v="0"/>
    <n v="1688910"/>
    <n v="29.63"/>
  </r>
  <r>
    <s v="PUNJAB OILS, AMRITSAR (P.B) "/>
    <x v="0"/>
    <d v="2017-03-02T00:00:00"/>
    <n v="3"/>
    <x v="0"/>
    <n v="27.44"/>
    <n v="59494.2"/>
    <n v="1632520.848"/>
    <n v="0"/>
    <n v="0"/>
    <n v="0"/>
    <n v="0"/>
    <n v="1632520.848"/>
    <n v="0"/>
    <n v="0"/>
    <n v="1632520.848"/>
    <n v="27.44"/>
  </r>
  <r>
    <s v="HARKARAN DASS VEDPAL, LUDHIANA (P.B)"/>
    <x v="0"/>
    <d v="2017-03-02T00:00:00"/>
    <n v="3"/>
    <x v="0"/>
    <n v="28.55"/>
    <n v="57834.26"/>
    <n v="1651168.1230000001"/>
    <n v="0"/>
    <n v="0"/>
    <n v="0"/>
    <n v="0"/>
    <n v="1651168.1230000001"/>
    <n v="0"/>
    <n v="0"/>
    <n v="1651168.1230000001"/>
    <n v="28.55"/>
  </r>
  <r>
    <s v="AMARJIT OIL TRADERS, AMRITSAR (P.B) "/>
    <x v="0"/>
    <d v="2017-03-02T00:00:00"/>
    <n v="3"/>
    <x v="0"/>
    <n v="27.74"/>
    <n v="59300.28"/>
    <n v="1644989.7671999999"/>
    <n v="0"/>
    <n v="0"/>
    <n v="0"/>
    <n v="0"/>
    <n v="1644989.7671999999"/>
    <n v="0"/>
    <n v="0"/>
    <n v="1644989.7671999999"/>
    <n v="27.74"/>
  </r>
  <r>
    <s v="RICELA HEALTH FOODS LIMITED, DHURI (P.B)"/>
    <x v="1"/>
    <d v="2017-03-02T00:00:00"/>
    <n v="3"/>
    <x v="0"/>
    <n v="33.450000000000003"/>
    <n v="50000"/>
    <n v="1672500.0000000002"/>
    <n v="0"/>
    <n v="0"/>
    <n v="0"/>
    <n v="0"/>
    <n v="1672500.0000000002"/>
    <n v="33450.000000000007"/>
    <n v="0"/>
    <n v="1705950.0000000002"/>
    <n v="33.450000000000003"/>
  </r>
  <r>
    <s v="RICELA HEALTH FOODS LIMITED, DHURI (P.B)"/>
    <x v="1"/>
    <d v="2017-03-02T00:00:00"/>
    <n v="3"/>
    <x v="0"/>
    <n v="33.729999999999997"/>
    <n v="50000"/>
    <n v="1686499.9999999998"/>
    <n v="0"/>
    <n v="0"/>
    <n v="0"/>
    <n v="0"/>
    <n v="1686499.9999999998"/>
    <n v="33729.999999999993"/>
    <n v="0"/>
    <n v="1720229.9999999998"/>
    <n v="33.729999999999997"/>
  </r>
  <r>
    <s v="ADANI WILMAR LIMITED,KUTCH, GUJARAT"/>
    <x v="3"/>
    <d v="2017-03-03T00:00:00"/>
    <n v="3"/>
    <x v="0"/>
    <n v="32.89"/>
    <n v="64500"/>
    <n v="2121405"/>
    <n v="0"/>
    <n v="265175.625"/>
    <n v="0"/>
    <n v="0"/>
    <n v="2386580.625"/>
    <n v="47731.612500000003"/>
    <n v="0"/>
    <n v="2434312.2374999998"/>
    <n v="32.89"/>
  </r>
  <r>
    <s v="ADANI WILMAR LIMITED,KUTCH, GUJARAT"/>
    <x v="3"/>
    <d v="2017-03-03T00:00:00"/>
    <n v="3"/>
    <x v="0"/>
    <n v="31.67"/>
    <n v="64500"/>
    <n v="2042715"/>
    <n v="0"/>
    <n v="255339.375"/>
    <n v="0"/>
    <n v="0"/>
    <n v="2298054.375"/>
    <n v="45961.087500000001"/>
    <n v="0"/>
    <n v="2344015.4624999999"/>
    <n v="31.67"/>
  </r>
  <r>
    <s v="ADANI WILMAR LIMITED,KUTCH, GUJARAT"/>
    <x v="3"/>
    <d v="2017-03-03T00:00:00"/>
    <n v="3"/>
    <x v="0"/>
    <n v="26.65"/>
    <n v="64500"/>
    <n v="1718925"/>
    <n v="0"/>
    <n v="214865.625"/>
    <n v="0"/>
    <n v="0"/>
    <n v="1933790.625"/>
    <n v="38675.8125"/>
    <n v="0"/>
    <n v="1972466.4375"/>
    <n v="26.65"/>
  </r>
  <r>
    <s v="SURUCHI REFINERY PRIVATE LTD., PALADAM- COIMBATORE"/>
    <x v="4"/>
    <d v="2017-03-03T00:00:00"/>
    <n v="3"/>
    <x v="0"/>
    <n v="19.73"/>
    <n v="90196"/>
    <n v="1779567.08"/>
    <n v="0"/>
    <n v="0"/>
    <n v="0"/>
    <n v="0"/>
    <n v="1779567.08"/>
    <n v="35591.3416"/>
    <n v="0"/>
    <n v="1816080"/>
    <n v="19.73"/>
  </r>
  <r>
    <s v="SURUCHI REFINERY PRIVATE LTD., PALADAM- COIMBATORE"/>
    <x v="4"/>
    <d v="2017-03-03T00:00:00"/>
    <n v="3"/>
    <x v="0"/>
    <n v="19.77"/>
    <n v="90196"/>
    <n v="1783174.92"/>
    <n v="0"/>
    <n v="0"/>
    <n v="0"/>
    <n v="0"/>
    <n v="1783174.92"/>
    <n v="35663.498399999997"/>
    <n v="0"/>
    <n v="1820680"/>
    <n v="19.77"/>
  </r>
  <r>
    <s v="ADANI WILMAR LIMITED,KUTCH, GUJARAT"/>
    <x v="3"/>
    <d v="2017-03-04T00:00:00"/>
    <n v="3"/>
    <x v="0"/>
    <n v="32.71"/>
    <n v="64500"/>
    <n v="2109795"/>
    <n v="0"/>
    <n v="263724.375"/>
    <n v="0"/>
    <n v="0"/>
    <n v="2373519.375"/>
    <n v="47470.387500000004"/>
    <n v="0"/>
    <n v="2420989.7625000002"/>
    <n v="32.71"/>
  </r>
  <r>
    <s v="ADANI WILMAR LIMITED,KUTCH, GUJARAT"/>
    <x v="3"/>
    <d v="2017-03-04T00:00:00"/>
    <n v="3"/>
    <x v="0"/>
    <n v="27.45"/>
    <n v="64500"/>
    <n v="1770525"/>
    <n v="0"/>
    <n v="221315.625"/>
    <n v="0"/>
    <n v="0"/>
    <n v="1991840.625"/>
    <n v="39836.8125"/>
    <n v="0"/>
    <n v="2031677.4375"/>
    <n v="27.45"/>
  </r>
  <r>
    <s v="SIDDHARTH OILS, LUDHIANA (P.B)"/>
    <x v="2"/>
    <d v="2017-03-04T00:00:00"/>
    <n v="3"/>
    <x v="0"/>
    <n v="28.15"/>
    <n v="56375.96"/>
    <n v="1586983.274"/>
    <n v="0"/>
    <n v="0"/>
    <n v="0"/>
    <n v="0"/>
    <n v="1586983.274"/>
    <n v="0"/>
    <n v="0"/>
    <n v="1586983.274"/>
    <n v="28.15"/>
  </r>
  <r>
    <s v="M.D. TRADING CO., LUDHIANA (P.B)"/>
    <x v="0"/>
    <d v="2017-03-05T00:00:00"/>
    <n v="3"/>
    <x v="1"/>
    <n v="30.97"/>
    <n v="58168.04"/>
    <n v="1801464.1987999999"/>
    <n v="0"/>
    <n v="0"/>
    <n v="0"/>
    <n v="0"/>
    <n v="1801464.1987999999"/>
    <n v="0"/>
    <n v="0"/>
    <n v="1801464.1987999999"/>
    <n v="30.97"/>
  </r>
  <r>
    <s v="SIDDHARTH OILS, LUDHIANA (P.B)"/>
    <x v="0"/>
    <d v="2017-03-05T00:00:00"/>
    <n v="3"/>
    <x v="1"/>
    <n v="29.88"/>
    <n v="58200"/>
    <n v="1739016"/>
    <n v="0"/>
    <n v="0"/>
    <n v="0"/>
    <n v="0"/>
    <n v="1739016"/>
    <n v="0"/>
    <n v="0"/>
    <n v="1739016"/>
    <n v="29.88"/>
  </r>
  <r>
    <s v="HARKARAN DASS VEDPAL, LUDHIANA (P.B)"/>
    <x v="0"/>
    <d v="2017-03-05T00:00:00"/>
    <n v="3"/>
    <x v="1"/>
    <n v="29.16"/>
    <n v="58090.71"/>
    <n v="1693925.1036"/>
    <n v="0"/>
    <n v="0"/>
    <n v="0"/>
    <n v="0"/>
    <n v="1693925.1036"/>
    <n v="0"/>
    <n v="0"/>
    <n v="1693925.1036"/>
    <n v="29.16"/>
  </r>
  <r>
    <s v="PUNJAB OILS, AMRITSAR (P.B) "/>
    <x v="0"/>
    <d v="2017-03-05T00:00:00"/>
    <n v="3"/>
    <x v="1"/>
    <n v="29.43"/>
    <n v="58500"/>
    <n v="1721655"/>
    <n v="0"/>
    <n v="0"/>
    <n v="0"/>
    <n v="0"/>
    <n v="1721655"/>
    <n v="0"/>
    <n v="0"/>
    <n v="1721655"/>
    <n v="29.43"/>
  </r>
  <r>
    <s v="RICELA HEALTH FOODS LIMITED, DHURI (P.B)"/>
    <x v="1"/>
    <d v="2017-03-06T00:00:00"/>
    <n v="3"/>
    <x v="1"/>
    <n v="29.4"/>
    <n v="50000"/>
    <n v="1470000"/>
    <n v="0"/>
    <n v="0"/>
    <n v="0"/>
    <n v="0"/>
    <n v="1470000"/>
    <n v="29400"/>
    <n v="0"/>
    <n v="1499400"/>
    <n v="29.4"/>
  </r>
  <r>
    <s v="HARKARAN DASS VEDPAL, LUDHIANA (P.B)"/>
    <x v="0"/>
    <d v="2017-03-06T00:00:00"/>
    <n v="3"/>
    <x v="1"/>
    <n v="28.28"/>
    <n v="57608.45"/>
    <n v="1629166.966"/>
    <n v="0"/>
    <n v="0"/>
    <n v="0"/>
    <n v="0"/>
    <n v="1629166.966"/>
    <n v="0"/>
    <n v="0"/>
    <n v="1629166.966"/>
    <n v="28.28"/>
  </r>
  <r>
    <s v="SIDDHARTH OILS, LUDHIANA (P.B)"/>
    <x v="0"/>
    <d v="2017-03-06T00:00:00"/>
    <n v="3"/>
    <x v="1"/>
    <n v="30.41"/>
    <n v="58436.06"/>
    <n v="1777040.5845999999"/>
    <n v="0"/>
    <n v="0"/>
    <n v="0"/>
    <n v="0"/>
    <n v="1777040.5845999999"/>
    <n v="0"/>
    <n v="0"/>
    <n v="1777040.5845999999"/>
    <n v="30.41"/>
  </r>
  <r>
    <s v="RICELA HEALTH FOODS LIMITED, DHURI (P.B)"/>
    <x v="1"/>
    <d v="2017-03-07T00:00:00"/>
    <n v="3"/>
    <x v="1"/>
    <n v="28.98"/>
    <n v="50202.26"/>
    <n v="1454861.4948"/>
    <n v="0"/>
    <n v="0"/>
    <n v="0"/>
    <n v="0"/>
    <n v="1454861.4948"/>
    <n v="29097.229896000001"/>
    <n v="0"/>
    <n v="1483958.7246959999"/>
    <n v="28.98"/>
  </r>
  <r>
    <s v="RICELA HEALTH FOODS LIMITED, DHURI (P.B)"/>
    <x v="1"/>
    <d v="2017-03-07T00:00:00"/>
    <n v="3"/>
    <x v="1"/>
    <n v="30.05"/>
    <n v="50294.1"/>
    <n v="1511337.7050000001"/>
    <n v="0"/>
    <n v="0"/>
    <n v="0"/>
    <n v="0"/>
    <n v="1511337.7050000001"/>
    <n v="30226.754100000002"/>
    <n v="0"/>
    <n v="1541564.4591000001"/>
    <n v="30.05"/>
  </r>
  <r>
    <s v="RICELA HEALTH FOODS LIMITED, DHURI (P.B)"/>
    <x v="1"/>
    <d v="2017-03-07T00:00:00"/>
    <n v="3"/>
    <x v="1"/>
    <n v="28.62"/>
    <n v="50294.1"/>
    <n v="1439417.142"/>
    <n v="0"/>
    <n v="0"/>
    <n v="0"/>
    <n v="0"/>
    <n v="1439417.142"/>
    <n v="28788.342840000001"/>
    <n v="0"/>
    <n v="1468205.48484"/>
    <n v="28.62"/>
  </r>
  <r>
    <s v="RICELA HEALTH FOODS LIMITED, DHURI (P.B)"/>
    <x v="1"/>
    <d v="2017-03-07T00:00:00"/>
    <n v="3"/>
    <x v="1"/>
    <n v="29.62"/>
    <n v="50294.1"/>
    <n v="1489711.2420000001"/>
    <n v="0"/>
    <n v="0"/>
    <n v="0"/>
    <n v="0"/>
    <n v="1489711.2420000001"/>
    <n v="29794.224840000003"/>
    <n v="0"/>
    <n v="1519505.4668400001"/>
    <n v="29.62"/>
  </r>
  <r>
    <s v="PUNJAB OILS, AMRITSAR (P.B) "/>
    <x v="2"/>
    <d v="2017-03-07T00:00:00"/>
    <n v="3"/>
    <x v="1"/>
    <n v="36.51"/>
    <n v="56000"/>
    <n v="2044560"/>
    <n v="0"/>
    <n v="0"/>
    <n v="0"/>
    <n v="0"/>
    <n v="2044560"/>
    <n v="0"/>
    <n v="0"/>
    <n v="2044560"/>
    <n v="36.51"/>
  </r>
  <r>
    <s v="PUNJAB OILS, AMRITSAR (P.B) "/>
    <x v="0"/>
    <d v="2017-03-07T00:00:00"/>
    <n v="3"/>
    <x v="1"/>
    <n v="19.22"/>
    <n v="58476.07"/>
    <n v="1123910.0654"/>
    <n v="0"/>
    <n v="0"/>
    <n v="0"/>
    <n v="0"/>
    <n v="1123910.0654"/>
    <n v="0"/>
    <n v="0"/>
    <n v="1123910.0654"/>
    <n v="19.22"/>
  </r>
  <r>
    <s v="HARKARAN DASS VEDPAL, LUDHIANA (P.B)"/>
    <x v="0"/>
    <d v="2017-03-07T00:00:00"/>
    <n v="3"/>
    <x v="1"/>
    <n v="19.93"/>
    <n v="57336.81"/>
    <n v="1142722.6232999999"/>
    <n v="0"/>
    <n v="0"/>
    <n v="0"/>
    <n v="0"/>
    <n v="1142722.6232999999"/>
    <n v="0"/>
    <n v="0"/>
    <n v="1142722.6232999999"/>
    <n v="19.93"/>
  </r>
  <r>
    <s v="M.D. TRADING CO., LUDHIANA (P.B)"/>
    <x v="0"/>
    <d v="2017-03-07T00:00:00"/>
    <n v="3"/>
    <x v="1"/>
    <n v="19.600000000000001"/>
    <n v="58400"/>
    <n v="1144640"/>
    <n v="0"/>
    <n v="0"/>
    <n v="0"/>
    <n v="0"/>
    <n v="1144640"/>
    <n v="0"/>
    <n v="0"/>
    <n v="1144640"/>
    <n v="19.600000000000001"/>
  </r>
  <r>
    <s v="HARKARAN DASS VEDPAL, LUDHIANA (P.B)"/>
    <x v="0"/>
    <d v="2017-03-07T00:00:00"/>
    <n v="3"/>
    <x v="1"/>
    <n v="30.48"/>
    <n v="57400"/>
    <n v="1749552"/>
    <n v="0"/>
    <n v="0"/>
    <n v="0"/>
    <n v="0"/>
    <n v="1749552"/>
    <n v="0"/>
    <n v="0"/>
    <n v="1749552"/>
    <n v="30.48"/>
  </r>
  <r>
    <s v="DEEP CHAND ARYA INDUSTRIES, DELHI"/>
    <x v="0"/>
    <d v="2017-03-07T00:00:00"/>
    <n v="3"/>
    <x v="1"/>
    <n v="19.89"/>
    <n v="57800"/>
    <n v="1149642"/>
    <n v="0"/>
    <n v="0"/>
    <n v="0"/>
    <n v="0"/>
    <n v="1149642"/>
    <n v="0"/>
    <n v="0"/>
    <n v="1149642"/>
    <n v="19.89"/>
  </r>
  <r>
    <s v="SIDDHARTH OILS, LUDHIANA (P.B)"/>
    <x v="0"/>
    <d v="2017-03-08T00:00:00"/>
    <n v="3"/>
    <x v="1"/>
    <n v="23.64"/>
    <n v="58500"/>
    <n v="1382940"/>
    <n v="0"/>
    <n v="0"/>
    <n v="0"/>
    <n v="0"/>
    <n v="1382940"/>
    <n v="0"/>
    <n v="0"/>
    <n v="1382940"/>
    <n v="23.64"/>
  </r>
  <r>
    <s v="DEEP CHAND ARYA INDUSTRIES, DELHI"/>
    <x v="0"/>
    <d v="2017-03-08T00:00:00"/>
    <n v="3"/>
    <x v="1"/>
    <n v="28.65"/>
    <n v="57800"/>
    <n v="1655970"/>
    <n v="0"/>
    <n v="0"/>
    <n v="0"/>
    <n v="0"/>
    <n v="1655970"/>
    <n v="0"/>
    <n v="0"/>
    <n v="1655970"/>
    <n v="28.65"/>
  </r>
  <r>
    <s v="DEEP CHAND ARYA INDUSTRIES, DELHI"/>
    <x v="0"/>
    <d v="2017-03-08T00:00:00"/>
    <n v="3"/>
    <x v="1"/>
    <n v="27.39"/>
    <n v="57400"/>
    <n v="1572186"/>
    <n v="0"/>
    <n v="0"/>
    <n v="0"/>
    <n v="0"/>
    <n v="1572186"/>
    <n v="0"/>
    <n v="0"/>
    <n v="1572186"/>
    <n v="27.39"/>
  </r>
  <r>
    <s v="PUNJAB OILS, AMRITSAR (P.B) "/>
    <x v="0"/>
    <d v="2017-03-08T00:00:00"/>
    <n v="3"/>
    <x v="1"/>
    <n v="31.77"/>
    <n v="58180.85"/>
    <n v="1848405.6044999999"/>
    <n v="0"/>
    <n v="0"/>
    <n v="0"/>
    <n v="0"/>
    <n v="1848405.6044999999"/>
    <n v="0"/>
    <n v="0"/>
    <n v="1848405.6044999999"/>
    <n v="31.77"/>
  </r>
  <r>
    <s v="PUNJAB OILS, AMRITSAR (P.B) "/>
    <x v="0"/>
    <d v="2017-03-08T00:00:00"/>
    <n v="3"/>
    <x v="1"/>
    <n v="30.73"/>
    <n v="57800"/>
    <n v="1776194"/>
    <n v="0"/>
    <n v="0"/>
    <n v="0"/>
    <n v="0"/>
    <n v="1776194"/>
    <n v="0"/>
    <n v="0"/>
    <n v="1776194"/>
    <n v="30.73"/>
  </r>
  <r>
    <s v="PUNJAB OILS, AMRITSAR (P.B) "/>
    <x v="0"/>
    <d v="2017-03-08T00:00:00"/>
    <n v="3"/>
    <x v="1"/>
    <n v="21.56"/>
    <n v="57400"/>
    <n v="1237544"/>
    <n v="0"/>
    <n v="0"/>
    <n v="0"/>
    <n v="0"/>
    <n v="1237544"/>
    <n v="0"/>
    <n v="0"/>
    <n v="1237544"/>
    <n v="21.56"/>
  </r>
  <r>
    <s v="HINDUSTAN OIL TRADERS, AMRITSAR (P.B) "/>
    <x v="0"/>
    <d v="2017-03-08T00:00:00"/>
    <n v="3"/>
    <x v="1"/>
    <n v="28.88"/>
    <n v="55147.98"/>
    <n v="1592673.6624"/>
    <n v="0"/>
    <n v="0"/>
    <n v="0"/>
    <n v="0"/>
    <n v="1592673.6624"/>
    <n v="0"/>
    <n v="0"/>
    <n v="1592673.6624"/>
    <n v="28.88"/>
  </r>
  <r>
    <s v="PUNJAB OILS, AMRITSAR (P.B) "/>
    <x v="0"/>
    <d v="2017-03-09T00:00:00"/>
    <n v="3"/>
    <x v="1"/>
    <n v="21.05"/>
    <n v="57602.83"/>
    <n v="1212539.5715000001"/>
    <n v="0"/>
    <n v="0"/>
    <n v="0"/>
    <n v="0"/>
    <n v="1212539.5715000001"/>
    <n v="0"/>
    <n v="0"/>
    <n v="1212539.5715000001"/>
    <n v="21.05"/>
  </r>
  <r>
    <s v="PUNJAB OILS, AMRITSAR (P.B) "/>
    <x v="0"/>
    <d v="2017-03-09T00:00:00"/>
    <n v="3"/>
    <x v="1"/>
    <n v="9.06"/>
    <n v="57800"/>
    <n v="523668"/>
    <n v="0"/>
    <n v="0"/>
    <n v="0"/>
    <n v="0"/>
    <n v="523668"/>
    <n v="0"/>
    <n v="0"/>
    <n v="523668"/>
    <n v="9.06"/>
  </r>
  <r>
    <s v="DEEP CHAND ARYA INDUSTRIES, DELHI"/>
    <x v="0"/>
    <d v="2017-03-10T00:00:00"/>
    <n v="3"/>
    <x v="1"/>
    <n v="27.62"/>
    <n v="57400"/>
    <n v="1585388"/>
    <n v="0"/>
    <n v="0"/>
    <n v="0"/>
    <n v="0"/>
    <n v="1585388"/>
    <n v="0"/>
    <n v="0"/>
    <n v="1585388"/>
    <n v="27.62"/>
  </r>
  <r>
    <s v="RICELA HEALTH FOODS LIMITED, DHURI (P.B)"/>
    <x v="1"/>
    <d v="2017-03-10T00:00:00"/>
    <n v="3"/>
    <x v="1"/>
    <n v="29.76"/>
    <n v="50294.1"/>
    <n v="1496752.416"/>
    <n v="0"/>
    <n v="0"/>
    <n v="0"/>
    <n v="0"/>
    <n v="1496752.416"/>
    <n v="29935.048320000002"/>
    <n v="0"/>
    <n v="1526687.46432"/>
    <n v="29.76"/>
  </r>
  <r>
    <s v="RICELA HEALTH FOODS LIMITED, DHURI (P.B)"/>
    <x v="1"/>
    <d v="2017-03-10T00:00:00"/>
    <n v="3"/>
    <x v="1"/>
    <n v="29.75"/>
    <n v="50294.1"/>
    <n v="1496249.4749999999"/>
    <n v="0"/>
    <n v="0"/>
    <n v="0"/>
    <n v="0"/>
    <n v="1496249.4749999999"/>
    <n v="29924.989499999996"/>
    <n v="0"/>
    <n v="1526174.4644999998"/>
    <n v="29.75"/>
  </r>
  <r>
    <s v="NAMRATHA OIL REFINERIES PVT.LTD.,TIPTUR-KARNATAKA"/>
    <x v="5"/>
    <d v="2017-03-10T00:00:00"/>
    <n v="3"/>
    <x v="1"/>
    <n v="19.87"/>
    <n v="106862.74"/>
    <n v="2123362.6438000002"/>
    <n v="0"/>
    <n v="0"/>
    <n v="0"/>
    <n v="0"/>
    <n v="2123362.6438000002"/>
    <n v="42467.252876000006"/>
    <n v="0"/>
    <n v="2165829.8966760002"/>
    <n v="19.87"/>
  </r>
  <r>
    <s v="NAMRATHA OIL REFINERIES PVT.LTD.,TIPTUR-KARNATAKA"/>
    <x v="5"/>
    <d v="2017-03-10T00:00:00"/>
    <n v="3"/>
    <x v="1"/>
    <n v="20.02"/>
    <n v="106860"/>
    <n v="2139337.2000000002"/>
    <n v="0"/>
    <n v="0"/>
    <n v="0"/>
    <n v="0"/>
    <n v="2139337.2000000002"/>
    <n v="42786.744000000006"/>
    <n v="0"/>
    <n v="2182123.9440000001"/>
    <n v="20.02"/>
  </r>
  <r>
    <s v="NAMRATHA OIL REFINERIES PVT.LTD.,TIPTUR-KARNATAKA"/>
    <x v="5"/>
    <d v="2017-03-10T00:00:00"/>
    <n v="3"/>
    <x v="1"/>
    <n v="19.96"/>
    <n v="106862.74"/>
    <n v="2132980.2904000003"/>
    <n v="0"/>
    <n v="0"/>
    <n v="0"/>
    <n v="0"/>
    <n v="2132980.2904000003"/>
    <n v="42659.605808000008"/>
    <n v="0"/>
    <n v="2175639.8962080004"/>
    <n v="19.96"/>
  </r>
  <r>
    <s v="S.R.A. TRADE LINKS, DELHI"/>
    <x v="2"/>
    <d v="2017-03-10T00:00:00"/>
    <n v="3"/>
    <x v="1"/>
    <n v="0"/>
    <n v="0"/>
    <n v="0"/>
    <n v="0"/>
    <n v="0"/>
    <n v="0"/>
    <n v="0"/>
    <n v="0"/>
    <n v="0"/>
    <n v="0"/>
    <n v="0"/>
    <n v="0"/>
  </r>
  <r>
    <s v="HARKARAN DASS VEDPAL, NOIDA (U.P)"/>
    <x v="2"/>
    <d v="2017-03-10T00:00:00"/>
    <n v="3"/>
    <x v="1"/>
    <n v="21.07"/>
    <n v="54800"/>
    <n v="1154636"/>
    <n v="0"/>
    <n v="0"/>
    <n v="0"/>
    <n v="0"/>
    <n v="1154636"/>
    <n v="0"/>
    <n v="0"/>
    <n v="1154636"/>
    <n v="21.07"/>
  </r>
  <r>
    <s v="HARKARAN DASS VEDPAL, LUDHIANA (P.B)"/>
    <x v="0"/>
    <d v="2017-03-11T00:00:00"/>
    <n v="3"/>
    <x v="1"/>
    <n v="28.2"/>
    <n v="58500"/>
    <n v="1649700"/>
    <n v="0"/>
    <n v="0"/>
    <n v="0"/>
    <n v="0"/>
    <n v="1649700"/>
    <n v="0"/>
    <n v="0"/>
    <n v="1649700"/>
    <n v="28.2"/>
  </r>
  <r>
    <s v="PUNJAB OILS, AMRITSAR (P.B) "/>
    <x v="0"/>
    <d v="2017-03-11T00:00:00"/>
    <n v="3"/>
    <x v="1"/>
    <n v="20.32"/>
    <n v="58200"/>
    <n v="1182624"/>
    <n v="0"/>
    <n v="0"/>
    <n v="0"/>
    <n v="0"/>
    <n v="1182624"/>
    <n v="0"/>
    <n v="0"/>
    <n v="1182624"/>
    <n v="20.32"/>
  </r>
  <r>
    <s v="PUNJAB OILS, AMRITSAR (P.B) "/>
    <x v="0"/>
    <d v="2017-03-11T00:00:00"/>
    <n v="3"/>
    <x v="1"/>
    <n v="22.42"/>
    <n v="58248.67"/>
    <n v="1305935.1814000001"/>
    <n v="0"/>
    <n v="0"/>
    <n v="0"/>
    <n v="0"/>
    <n v="1305935.1814000001"/>
    <n v="0"/>
    <n v="0"/>
    <n v="1305935.1814000001"/>
    <n v="22.42"/>
  </r>
  <r>
    <s v="PUNJAB OILS, AMRITSAR (P.B) "/>
    <x v="0"/>
    <d v="2017-03-11T00:00:00"/>
    <n v="3"/>
    <x v="1"/>
    <n v="29.92"/>
    <n v="58200"/>
    <n v="1741344"/>
    <n v="0"/>
    <n v="0"/>
    <n v="0"/>
    <n v="0"/>
    <n v="1741344"/>
    <n v="0"/>
    <n v="0"/>
    <n v="1741344"/>
    <n v="29.92"/>
  </r>
  <r>
    <s v="RICELA HEALTH FOODS LIMITED, DHURI (P.B)"/>
    <x v="1"/>
    <d v="2017-03-11T00:00:00"/>
    <n v="3"/>
    <x v="1"/>
    <n v="29.94"/>
    <n v="50294.1"/>
    <n v="1505805.3540000001"/>
    <n v="0"/>
    <n v="0"/>
    <n v="0"/>
    <n v="0"/>
    <n v="1505805.3540000001"/>
    <n v="30116.107080000002"/>
    <n v="0"/>
    <n v="1535921.46108"/>
    <n v="29.94"/>
  </r>
  <r>
    <s v="S.R.A. TRADE LINKS, DELHI"/>
    <x v="2"/>
    <d v="2017-03-15T00:00:00"/>
    <n v="3"/>
    <x v="2"/>
    <n v="27.48"/>
    <n v="55675.59"/>
    <n v="1529965.2131999999"/>
    <n v="0"/>
    <n v="0"/>
    <n v="0"/>
    <n v="0"/>
    <n v="1529965.2131999999"/>
    <n v="0"/>
    <n v="0"/>
    <n v="1529965.2131999999"/>
    <n v="27.48"/>
  </r>
  <r>
    <s v="RICELA HEALTH FOODS LIMITED, DHURI (P.B)"/>
    <x v="1"/>
    <d v="2017-03-15T00:00:00"/>
    <n v="3"/>
    <x v="2"/>
    <n v="29.24"/>
    <n v="50000"/>
    <n v="1462000"/>
    <n v="0"/>
    <n v="0"/>
    <n v="0"/>
    <n v="0"/>
    <n v="1462000"/>
    <n v="29240"/>
    <n v="0"/>
    <n v="1491240"/>
    <n v="29.24"/>
  </r>
  <r>
    <s v="RICELA HEALTH FOODS LIMITED, DHURI (P.B)"/>
    <x v="1"/>
    <d v="2017-03-15T00:00:00"/>
    <n v="3"/>
    <x v="2"/>
    <n v="28.06"/>
    <n v="50000"/>
    <n v="1403000"/>
    <n v="0"/>
    <n v="0"/>
    <n v="0"/>
    <n v="0"/>
    <n v="1403000"/>
    <n v="28060"/>
    <n v="0"/>
    <n v="1431060"/>
    <n v="28.06"/>
  </r>
  <r>
    <s v="RICELA HEALTH FOODS LIMITED, DHURI (P.B)"/>
    <x v="1"/>
    <d v="2017-03-15T00:00:00"/>
    <n v="3"/>
    <x v="2"/>
    <n v="29.33"/>
    <n v="50000"/>
    <n v="1466500"/>
    <n v="0"/>
    <n v="0"/>
    <n v="0"/>
    <n v="0"/>
    <n v="1466500"/>
    <n v="29330"/>
    <n v="0"/>
    <n v="1495830"/>
    <n v="29.33"/>
  </r>
  <r>
    <s v="RICELA HEALTH FOODS LIMITED, DHURI (P.B)"/>
    <x v="1"/>
    <d v="2017-03-15T00:00:00"/>
    <n v="3"/>
    <x v="2"/>
    <n v="29.96"/>
    <n v="50000"/>
    <n v="1498000"/>
    <n v="0"/>
    <n v="0"/>
    <n v="0"/>
    <n v="0"/>
    <n v="1498000"/>
    <n v="29960"/>
    <n v="0"/>
    <n v="1527960"/>
    <n v="29.96"/>
  </r>
  <r>
    <s v="AMARJIT OIL TRADERS, AMRITSAR (P.B) "/>
    <x v="0"/>
    <d v="2017-03-15T00:00:00"/>
    <n v="3"/>
    <x v="2"/>
    <n v="30.47"/>
    <n v="58500"/>
    <n v="1782495"/>
    <n v="0"/>
    <n v="0"/>
    <n v="0"/>
    <n v="0"/>
    <n v="1782495"/>
    <n v="0"/>
    <n v="0"/>
    <n v="1782495"/>
    <n v="30.47"/>
  </r>
  <r>
    <s v="DEEP CHAND ARYA INDUSTRIES, DELHI"/>
    <x v="0"/>
    <d v="2017-03-15T00:00:00"/>
    <n v="3"/>
    <x v="2"/>
    <n v="28.4"/>
    <n v="56507.9"/>
    <n v="1604824.3599999999"/>
    <n v="0"/>
    <n v="0"/>
    <n v="0"/>
    <n v="0"/>
    <n v="1604824.3599999999"/>
    <n v="0"/>
    <n v="0"/>
    <n v="1604824.3599999999"/>
    <n v="28.4"/>
  </r>
  <r>
    <s v="RICELA HEALTH FOODS LIMITED, DHURI (P.B)"/>
    <x v="1"/>
    <d v="2017-03-16T00:00:00"/>
    <n v="3"/>
    <x v="2"/>
    <n v="29.9"/>
    <n v="50000"/>
    <n v="1495000"/>
    <n v="0"/>
    <n v="0"/>
    <n v="0"/>
    <n v="0"/>
    <n v="1495000"/>
    <n v="29900"/>
    <n v="0"/>
    <n v="1524900"/>
    <n v="29.9"/>
  </r>
  <r>
    <s v="SIDDHARTH OILS, LUDHIANA (P.B)"/>
    <x v="0"/>
    <d v="2017-03-16T00:00:00"/>
    <n v="3"/>
    <x v="2"/>
    <n v="28.71"/>
    <n v="55612.65"/>
    <n v="1596639.1815000002"/>
    <n v="0"/>
    <n v="0"/>
    <n v="0"/>
    <n v="0"/>
    <n v="1596639.1815000002"/>
    <n v="0"/>
    <n v="0"/>
    <n v="1596639.1815000002"/>
    <n v="28.71"/>
  </r>
  <r>
    <s v="AMARJIT OIL TRADERS, AMRITSAR (P.B) "/>
    <x v="0"/>
    <d v="2017-03-16T00:00:00"/>
    <n v="3"/>
    <x v="2"/>
    <n v="29.97"/>
    <n v="56849.31"/>
    <n v="1703773.8206999998"/>
    <n v="0"/>
    <n v="0"/>
    <n v="0"/>
    <n v="0"/>
    <n v="1703773.8206999998"/>
    <n v="0"/>
    <n v="0"/>
    <n v="1703773.8206999998"/>
    <n v="29.97"/>
  </r>
  <r>
    <s v="BHAI GEHLA SINGH JASWANT SINGH, NEW DELHI"/>
    <x v="4"/>
    <d v="2017-03-17T00:00:00"/>
    <n v="3"/>
    <x v="2"/>
    <n v="19.53"/>
    <n v="86470"/>
    <n v="1688759.1"/>
    <n v="0"/>
    <n v="0"/>
    <n v="0"/>
    <n v="0"/>
    <n v="1688759.1"/>
    <n v="33775.182000000001"/>
    <n v="0"/>
    <n v="1722534.2820000001"/>
    <n v="19.53"/>
  </r>
  <r>
    <s v="DEEP CHAND ARYA INDUSTRIES, DELHI"/>
    <x v="0"/>
    <d v="2017-03-17T00:00:00"/>
    <n v="3"/>
    <x v="2"/>
    <n v="28.56"/>
    <n v="57150.31"/>
    <n v="1632212.8535999998"/>
    <n v="0"/>
    <n v="0"/>
    <n v="0"/>
    <n v="0"/>
    <n v="1632212.8535999998"/>
    <n v="0"/>
    <n v="0"/>
    <n v="1632212.8535999998"/>
    <n v="28.56"/>
  </r>
  <r>
    <s v="DEEP CHAND ARYA INDUSTRIES, DELHI"/>
    <x v="0"/>
    <d v="2017-03-17T00:00:00"/>
    <n v="3"/>
    <x v="2"/>
    <n v="28.34"/>
    <n v="57100"/>
    <n v="1618214"/>
    <n v="0"/>
    <n v="0"/>
    <n v="0"/>
    <n v="0"/>
    <n v="1618214"/>
    <n v="0"/>
    <n v="0"/>
    <n v="1618214"/>
    <n v="28.34"/>
  </r>
  <r>
    <s v="RICELA HEALTH FOODS LIMITED, DHURI (P.B)"/>
    <x v="1"/>
    <d v="2017-03-19T00:00:00"/>
    <n v="3"/>
    <x v="3"/>
    <n v="31.05"/>
    <n v="50000"/>
    <n v="1552500"/>
    <n v="0"/>
    <n v="0"/>
    <n v="0"/>
    <n v="0"/>
    <n v="1552500"/>
    <n v="31050"/>
    <n v="0"/>
    <n v="1583550"/>
    <n v="31.05"/>
  </r>
  <r>
    <s v="RICELA HEALTH FOODS LIMITED, DHURI (P.B)"/>
    <x v="1"/>
    <d v="2017-03-20T00:00:00"/>
    <n v="3"/>
    <x v="3"/>
    <n v="28.92"/>
    <n v="49881.39"/>
    <n v="1442569.7988"/>
    <n v="0"/>
    <n v="0"/>
    <n v="0"/>
    <n v="0"/>
    <n v="1442569.7988"/>
    <n v="28851.395976"/>
    <n v="0"/>
    <n v="1471421.194776"/>
    <n v="28.92"/>
  </r>
  <r>
    <s v="RICELA HEALTH FOODS LIMITED, DHURI (P.B)"/>
    <x v="1"/>
    <d v="2017-03-20T00:00:00"/>
    <n v="3"/>
    <x v="3"/>
    <n v="32.31"/>
    <n v="49509.8"/>
    <n v="1599661.6380000003"/>
    <n v="0"/>
    <n v="0"/>
    <n v="0"/>
    <n v="0"/>
    <n v="1599661.6380000003"/>
    <n v="31993.232760000006"/>
    <n v="0"/>
    <n v="1631654.8707600003"/>
    <n v="32.31"/>
  </r>
  <r>
    <s v="RICELA HEALTH FOODS LIMITED, DHURI (P.B)"/>
    <x v="1"/>
    <d v="2017-03-21T00:00:00"/>
    <n v="3"/>
    <x v="3"/>
    <n v="29.96"/>
    <n v="49509.8"/>
    <n v="1483313.6080000002"/>
    <n v="0"/>
    <n v="0"/>
    <n v="0"/>
    <n v="0"/>
    <n v="1483313.6080000002"/>
    <n v="29666.272160000004"/>
    <n v="0"/>
    <n v="1512979.8801600002"/>
    <n v="29.96"/>
  </r>
  <r>
    <s v="RICELA HEALTH FOODS LIMITED, DHURI (P.B)"/>
    <x v="1"/>
    <d v="2017-03-22T00:00:00"/>
    <n v="3"/>
    <x v="3"/>
    <n v="29.92"/>
    <n v="49509.8"/>
    <n v="1481333.2160000002"/>
    <n v="0"/>
    <n v="0"/>
    <n v="0"/>
    <n v="0"/>
    <n v="1481333.2160000002"/>
    <n v="29626.664320000007"/>
    <n v="0"/>
    <n v="1510959.8803200002"/>
    <n v="29.92"/>
  </r>
  <r>
    <s v="RICELA HEALTH FOODS LIMITED, DHURI (P.B)"/>
    <x v="1"/>
    <d v="2017-03-22T00:00:00"/>
    <n v="3"/>
    <x v="3"/>
    <n v="30.66"/>
    <n v="49509.8"/>
    <n v="1517970.4680000001"/>
    <n v="0"/>
    <n v="0"/>
    <n v="0"/>
    <n v="0"/>
    <n v="1517970.4680000001"/>
    <n v="30359.409360000001"/>
    <n v="0"/>
    <n v="1548329.87736"/>
    <n v="30.66"/>
  </r>
  <r>
    <s v="AMRITSAR OIL TRADERS, AMRITSAR (P.B) "/>
    <x v="2"/>
    <d v="2017-03-22T00:00:00"/>
    <n v="3"/>
    <x v="3"/>
    <n v="27.39"/>
    <n v="56350"/>
    <n v="1543426.5"/>
    <n v="0"/>
    <n v="0"/>
    <n v="0"/>
    <n v="0"/>
    <n v="1543426.5"/>
    <n v="0"/>
    <n v="0"/>
    <n v="1543426.5"/>
    <n v="27.39"/>
  </r>
  <r>
    <s v="BHAI GEHLA SINGH JASWANT SINGH, NEW DELHI"/>
    <x v="5"/>
    <d v="2017-03-23T00:00:00"/>
    <n v="3"/>
    <x v="3"/>
    <n v="19.82"/>
    <n v="111250"/>
    <n v="2204975"/>
    <n v="0"/>
    <n v="0"/>
    <n v="0"/>
    <n v="0"/>
    <n v="2204975"/>
    <n v="0"/>
    <n v="0"/>
    <n v="2204975"/>
    <n v="19.82"/>
  </r>
  <r>
    <s v="PUNJAB OILS, AMRITSAR (P.B) "/>
    <x v="0"/>
    <d v="2017-03-23T00:00:00"/>
    <n v="3"/>
    <x v="3"/>
    <n v="27.73"/>
    <n v="57397.41"/>
    <n v="1591630.1793000002"/>
    <n v="0"/>
    <n v="0"/>
    <n v="0"/>
    <n v="0"/>
    <n v="1591630.1793000002"/>
    <n v="0"/>
    <n v="0"/>
    <n v="1591630.1793000002"/>
    <n v="27.73"/>
  </r>
  <r>
    <s v="PUNJAB OILS, AMRITSAR (P.B) "/>
    <x v="0"/>
    <d v="2017-03-23T00:00:00"/>
    <n v="3"/>
    <x v="3"/>
    <n v="27.91"/>
    <n v="57100"/>
    <n v="1593661"/>
    <n v="0"/>
    <n v="0"/>
    <n v="0"/>
    <n v="0"/>
    <n v="1593661"/>
    <n v="0"/>
    <n v="0"/>
    <n v="1593661"/>
    <n v="27.91"/>
  </r>
  <r>
    <s v="RICELA HEALTH FOODS LIMITED, DHURI (P.B)"/>
    <x v="1"/>
    <d v="2017-03-23T00:00:00"/>
    <n v="3"/>
    <x v="3"/>
    <n v="29.46"/>
    <n v="49509.8"/>
    <n v="1458558.7080000001"/>
    <n v="0"/>
    <n v="0"/>
    <n v="0"/>
    <n v="0"/>
    <n v="1458558.7080000001"/>
    <n v="29171.174160000002"/>
    <n v="0"/>
    <n v="1487729.88216"/>
    <n v="29.46"/>
  </r>
  <r>
    <s v="HARKARAN DASS VEDPAL, LUDHIANA (P.B)"/>
    <x v="0"/>
    <d v="2017-03-23T00:00:00"/>
    <n v="3"/>
    <x v="3"/>
    <n v="32.799999999999997"/>
    <n v="57100"/>
    <n v="1872879.9999999998"/>
    <n v="0"/>
    <n v="0"/>
    <n v="0"/>
    <n v="0"/>
    <n v="1872879.9999999998"/>
    <n v="0"/>
    <n v="0"/>
    <n v="1872879.9999999998"/>
    <n v="32.799999999999997"/>
  </r>
  <r>
    <s v="BALAJI INDUSTRIES,JALGAON - MUMBAI (MAHARATHRA)"/>
    <x v="5"/>
    <d v="2017-03-24T00:00:00"/>
    <n v="3"/>
    <x v="3"/>
    <n v="20.84"/>
    <n v="108823"/>
    <n v="2267871.3199999998"/>
    <n v="0"/>
    <n v="0"/>
    <n v="0"/>
    <n v="0"/>
    <n v="2267871.3199999998"/>
    <n v="45357.426399999997"/>
    <n v="0"/>
    <n v="2313228.7463999996"/>
    <n v="20.84"/>
  </r>
  <r>
    <s v="PUNJAB OILS, AMRITSAR (P.B) "/>
    <x v="0"/>
    <d v="2017-03-24T00:00:00"/>
    <n v="3"/>
    <x v="3"/>
    <n v="24.51"/>
    <n v="56300"/>
    <n v="1379913"/>
    <n v="0"/>
    <n v="0"/>
    <n v="0"/>
    <n v="0"/>
    <n v="1379913"/>
    <n v="0"/>
    <n v="0"/>
    <n v="1379913"/>
    <n v="24.51"/>
  </r>
  <r>
    <s v="PUNJAB OILS, AMRITSAR (P.B) "/>
    <x v="0"/>
    <d v="2017-03-24T00:00:00"/>
    <n v="3"/>
    <x v="3"/>
    <n v="24.43"/>
    <n v="56300"/>
    <n v="1375409"/>
    <n v="0"/>
    <n v="0"/>
    <n v="0"/>
    <n v="0"/>
    <n v="1375409"/>
    <n v="0"/>
    <n v="0"/>
    <n v="1375409"/>
    <n v="24.43"/>
  </r>
  <r>
    <s v="PUNJAB OILS, AMRITSAR (P.B) "/>
    <x v="0"/>
    <d v="2017-03-24T00:00:00"/>
    <n v="3"/>
    <x v="3"/>
    <n v="19.77"/>
    <n v="56300"/>
    <n v="1113051"/>
    <n v="0"/>
    <n v="0"/>
    <n v="0"/>
    <n v="0"/>
    <n v="1113051"/>
    <n v="0"/>
    <n v="0"/>
    <n v="1113051"/>
    <n v="19.77"/>
  </r>
  <r>
    <s v="PUNJAB OILS, AMRITSAR (P.B) "/>
    <x v="0"/>
    <d v="2017-03-24T00:00:00"/>
    <n v="3"/>
    <x v="3"/>
    <n v="19.47"/>
    <n v="56428.29"/>
    <n v="1098658.8063000001"/>
    <n v="0"/>
    <n v="0"/>
    <n v="0"/>
    <n v="0"/>
    <n v="1098658.8063000001"/>
    <n v="0"/>
    <n v="0"/>
    <n v="1098658.8063000001"/>
    <n v="19.47"/>
  </r>
  <r>
    <s v="HARKARAN DASS VEDPAL, LUDHIANA (P.B)"/>
    <x v="0"/>
    <d v="2017-03-24T00:00:00"/>
    <n v="3"/>
    <x v="3"/>
    <n v="20.62"/>
    <n v="57100"/>
    <n v="1177402"/>
    <n v="0"/>
    <n v="0"/>
    <n v="0"/>
    <n v="0"/>
    <n v="1177402"/>
    <n v="0"/>
    <n v="0"/>
    <n v="1177402"/>
    <n v="20.62"/>
  </r>
  <r>
    <s v="HARKARAN DASS VEDPAL, LUDHIANA (P.B)"/>
    <x v="0"/>
    <d v="2017-03-25T00:00:00"/>
    <n v="3"/>
    <x v="3"/>
    <n v="27.96"/>
    <n v="56365.9"/>
    <n v="1575990.564"/>
    <n v="0"/>
    <n v="0"/>
    <n v="0"/>
    <n v="0"/>
    <n v="1575990.564"/>
    <n v="0"/>
    <n v="0"/>
    <n v="1575990.564"/>
    <n v="27.96"/>
  </r>
  <r>
    <s v="PUNJAB OILS, AMRITSAR (P.B) "/>
    <x v="0"/>
    <d v="2017-03-25T00:00:00"/>
    <n v="3"/>
    <x v="3"/>
    <n v="28.5"/>
    <n v="57100"/>
    <n v="1627350"/>
    <n v="0"/>
    <n v="0"/>
    <n v="0"/>
    <n v="0"/>
    <n v="1627350"/>
    <n v="0"/>
    <n v="0"/>
    <n v="1627350"/>
    <n v="28.5"/>
  </r>
  <r>
    <s v="AMARJIT OIL TRADERS, AMRITSAR (P.B) "/>
    <x v="0"/>
    <d v="2017-03-25T00:00:00"/>
    <n v="3"/>
    <x v="3"/>
    <n v="34.04"/>
    <n v="55190.05"/>
    <n v="1878669.3020000001"/>
    <n v="0"/>
    <n v="0"/>
    <n v="0"/>
    <n v="0"/>
    <n v="1878669.3020000001"/>
    <n v="0"/>
    <n v="0"/>
    <n v="1878669.3020000001"/>
    <n v="34.04"/>
  </r>
  <r>
    <s v="DEEP CHAND ARYA INDUSTRIES, DELHI"/>
    <x v="0"/>
    <d v="2017-03-25T00:00:00"/>
    <n v="3"/>
    <x v="3"/>
    <n v="34.700000000000003"/>
    <n v="56300"/>
    <n v="1953610.0000000002"/>
    <n v="0"/>
    <n v="0"/>
    <n v="0"/>
    <n v="0"/>
    <n v="1953610.0000000002"/>
    <n v="0"/>
    <n v="0"/>
    <n v="1953610.0000000002"/>
    <n v="34.700000000000003"/>
  </r>
  <r>
    <s v="DEEP CHAND ARYA INDUSTRIES, DELHI"/>
    <x v="0"/>
    <d v="2017-03-25T00:00:00"/>
    <n v="3"/>
    <x v="3"/>
    <n v="34.93"/>
    <n v="56061.04"/>
    <n v="1958212.1272"/>
    <n v="0"/>
    <n v="0"/>
    <n v="0"/>
    <n v="0"/>
    <n v="1958212.1272"/>
    <n v="0"/>
    <n v="0"/>
    <n v="1958212.1272"/>
    <n v="34.93"/>
  </r>
  <r>
    <s v="PUNJAB OILS, AMRITSAR (P.B) "/>
    <x v="0"/>
    <d v="2017-03-25T00:00:00"/>
    <n v="3"/>
    <x v="3"/>
    <n v="20"/>
    <n v="56136.56"/>
    <n v="1122731.2"/>
    <n v="0"/>
    <n v="0"/>
    <n v="0"/>
    <n v="0"/>
    <n v="1122731.2"/>
    <n v="0"/>
    <n v="0"/>
    <n v="1122731.2"/>
    <n v="20"/>
  </r>
  <r>
    <s v="PUNJAB OILS, AMRITSAR (P.B) "/>
    <x v="0"/>
    <d v="2017-03-25T00:00:00"/>
    <n v="3"/>
    <x v="3"/>
    <n v="20.350000000000001"/>
    <n v="56300"/>
    <n v="1145705"/>
    <n v="0"/>
    <n v="0"/>
    <n v="0"/>
    <n v="0"/>
    <n v="1145705"/>
    <n v="0"/>
    <n v="0"/>
    <n v="1145705"/>
    <n v="20.350000000000001"/>
  </r>
  <r>
    <s v="HARKARAN DASS VEDPAL, LUDHIANA (P.B)"/>
    <x v="0"/>
    <d v="2017-03-28T00:00:00"/>
    <n v="3"/>
    <x v="4"/>
    <n v="27.29"/>
    <n v="56300"/>
    <n v="1536427"/>
    <n v="0"/>
    <n v="0"/>
    <n v="0"/>
    <n v="0"/>
    <n v="1536427"/>
    <n v="0"/>
    <n v="0"/>
    <n v="1536427"/>
    <n v="27.29"/>
  </r>
  <r>
    <s v="M.D. TRADING CO., LUDHIANA (P.B)"/>
    <x v="0"/>
    <d v="2017-03-28T00:00:00"/>
    <n v="3"/>
    <x v="4"/>
    <n v="26.92"/>
    <n v="58400"/>
    <n v="1572128"/>
    <n v="0"/>
    <n v="0"/>
    <n v="0"/>
    <n v="0"/>
    <n v="1572128"/>
    <n v="0"/>
    <n v="0"/>
    <n v="1572128"/>
    <n v="26.92"/>
  </r>
  <r>
    <s v="M.D. TRADING CO., LUDHIANA (P.B)"/>
    <x v="0"/>
    <d v="2017-03-28T00:00:00"/>
    <n v="3"/>
    <x v="4"/>
    <n v="27.82"/>
    <n v="58400"/>
    <n v="1624688"/>
    <n v="0"/>
    <n v="0"/>
    <n v="0"/>
    <n v="0"/>
    <n v="1624688"/>
    <n v="0"/>
    <n v="0"/>
    <n v="1624688"/>
    <n v="27.82"/>
  </r>
  <r>
    <s v="S.R.A. TRADE LINKS, DELHI"/>
    <x v="2"/>
    <d v="2017-03-28T00:00:00"/>
    <n v="3"/>
    <x v="4"/>
    <n v="28.73"/>
    <n v="56350"/>
    <n v="1618935.5"/>
    <n v="0"/>
    <n v="0"/>
    <n v="0"/>
    <n v="0"/>
    <n v="1618935.5"/>
    <n v="0"/>
    <n v="0"/>
    <n v="1618935.5"/>
    <n v="28.73"/>
  </r>
  <r>
    <s v="BALAJI INDUSTRIES,JALGAON - MUMBAI (MAHARATHRA)"/>
    <x v="5"/>
    <d v="2017-03-29T00:00:00"/>
    <n v="3"/>
    <x v="4"/>
    <n v="20.12"/>
    <n v="108823"/>
    <n v="2189518.7600000002"/>
    <n v="0"/>
    <n v="0"/>
    <n v="0"/>
    <n v="0"/>
    <n v="2189518.7600000002"/>
    <n v="43790.375200000002"/>
    <n v="0"/>
    <n v="2233309.1352000004"/>
    <n v="2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2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34" firstHeaderRow="0" firstDataRow="1" firstDataCol="1"/>
  <pivotFields count="18">
    <pivotField showAll="0"/>
    <pivotField axis="axisRow" showAll="0">
      <items count="7">
        <item x="3"/>
        <item x="5"/>
        <item x="2"/>
        <item x="1"/>
        <item x="0"/>
        <item x="4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43" showAll="0" defaultSubtota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numFmtId="43" showAll="0"/>
    <pivotField dataField="1" numFmtId="43" showAll="0"/>
    <pivotField dragToRow="0" dragToCol="0" dragToPage="0" showAll="0" defaultSubtotal="0"/>
  </pivotFields>
  <rowFields count="2">
    <field x="1"/>
    <field x="4"/>
  </rowFields>
  <rowItems count="31">
    <i>
      <x/>
    </i>
    <i r="1">
      <x/>
    </i>
    <i r="1">
      <x v="3"/>
    </i>
    <i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INVOICE VALUE" fld="15" baseField="0" baseItem="0"/>
    <dataField name="Sum of QTY" fld="16" baseField="0" baseItem="0"/>
  </dataFields>
  <formats count="4">
    <format dxfId="63">
      <pivotArea outline="0" collapsedLevelsAreSubtotals="1" fieldPosition="0"/>
    </format>
    <format dxfId="62">
      <pivotArea type="all" dataOnly="0" outline="0" fieldPosition="0"/>
    </format>
    <format dxfId="61">
      <pivotArea type="all" dataOnly="0" outline="0" fieldPosition="0"/>
    </format>
    <format dxfId="6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" firstHeaderRow="0" firstDataRow="1" firstDataCol="1"/>
  <pivotFields count="18"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showAll="0"/>
    <pivotField numFmtId="1" showAll="0"/>
    <pivotField numFmtId="1" showAll="0"/>
    <pivotField showAll="0"/>
    <pivotField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0">
    <i>
      <x/>
    </i>
    <i r="1">
      <x/>
    </i>
    <i r="1">
      <x v="1"/>
    </i>
    <i r="1">
      <x v="2"/>
    </i>
    <i r="1">
      <x v="4"/>
    </i>
    <i>
      <x v="1"/>
    </i>
    <i r="1">
      <x v="1"/>
    </i>
    <i>
      <x v="2"/>
    </i>
    <i r="1">
      <x v="1"/>
    </i>
    <i r="1">
      <x v="3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3">
    <format dxfId="59">
      <pivotArea outline="0" collapsedLevelsAreSubtotals="1" fieldPosition="0"/>
    </format>
    <format dxfId="58">
      <pivotArea type="all" dataOnly="0" outline="0" fieldPosition="0"/>
    </format>
    <format dxfId="5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1" firstHeaderRow="0" firstDataRow="1" firstDataCol="1"/>
  <pivotFields count="18">
    <pivotField showAll="0"/>
    <pivotField axis="axisRow" showAll="0">
      <items count="7">
        <item x="5"/>
        <item x="3"/>
        <item x="4"/>
        <item x="0"/>
        <item x="1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8">
    <i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3">
    <format dxfId="56">
      <pivotArea type="all" dataOnly="0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5" firstHeaderRow="0" firstDataRow="1" firstDataCol="1"/>
  <pivotFields count="18">
    <pivotField showAll="0"/>
    <pivotField axis="axisRow" showAll="0">
      <items count="8">
        <item x="1"/>
        <item x="3"/>
        <item x="0"/>
        <item x="2"/>
        <item x="5"/>
        <item x="4"/>
        <item x="6"/>
        <item t="default"/>
      </items>
    </pivotField>
    <pivotField numFmtId="14" showAll="0"/>
    <pivotField showAll="0"/>
    <pivotField axis="axisRow" showAll="0">
      <items count="8">
        <item m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32">
    <i>
      <x/>
    </i>
    <i r="1">
      <x v="1"/>
    </i>
    <i r="1">
      <x v="3"/>
    </i>
    <i r="1">
      <x v="4"/>
    </i>
    <i>
      <x v="1"/>
    </i>
    <i r="1">
      <x v="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 v="3"/>
    </i>
    <i r="1">
      <x v="4"/>
    </i>
    <i>
      <x v="5"/>
    </i>
    <i r="1">
      <x v="2"/>
    </i>
    <i r="1">
      <x v="3"/>
    </i>
    <i r="1">
      <x v="4"/>
    </i>
    <i r="1">
      <x v="5"/>
    </i>
    <i>
      <x v="6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 numFmtId="166"/>
    <dataField name="Sum of QTY" fld="16" baseField="0" baseItem="0"/>
    <dataField name="Sum of Average" fld="17" baseField="0" baseItem="0" numFmtId="166"/>
  </dataFields>
  <formats count="6">
    <format dxfId="53">
      <pivotArea type="all" dataOnly="0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5" firstHeaderRow="0" firstDataRow="1" firstDataCol="1"/>
  <pivotFields count="18"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2">
    <i>
      <x/>
    </i>
    <i r="1">
      <x/>
    </i>
    <i r="1">
      <x v="1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4"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8" firstHeaderRow="0" firstDataRow="1" firstDataCol="1"/>
  <pivotFields count="18">
    <pivotField showAll="0"/>
    <pivotField axis="axisRow" showAll="0">
      <items count="4">
        <item x="1"/>
        <item x="0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showAll="0"/>
    <pivotField dataField="1" dragToRow="0" dragToCol="0" dragToPage="0" showAll="0" defaultSubtotal="0"/>
  </pivotFields>
  <rowFields count="2">
    <field x="1"/>
    <field x="4"/>
  </rowFields>
  <rowItems count="15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 v="1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erage" fld="17" baseField="0" baseItem="0" numFmtId="1"/>
  </dataFields>
  <formats count="4"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9" firstHeaderRow="0" firstDataRow="1" firstDataCol="1"/>
  <pivotFields count="18">
    <pivotField showAll="0"/>
    <pivotField axis="axisRow" showAll="0">
      <items count="7">
        <item x="4"/>
        <item x="3"/>
        <item x="2"/>
        <item x="0"/>
        <item x="1"/>
        <item x="5"/>
        <item t="default"/>
      </items>
    </pivotField>
    <pivotField numFmtId="14" showAll="0"/>
    <pivotField showAll="0"/>
    <pivotField axis="axisRow" showAll="0">
      <items count="7">
        <item m="1" x="5"/>
        <item x="0"/>
        <item x="1"/>
        <item x="2"/>
        <item x="3"/>
        <item x="4"/>
        <item t="default"/>
      </items>
    </pivotField>
    <pivotField dataField="1"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26">
    <i>
      <x/>
    </i>
    <i r="1">
      <x v="3"/>
    </i>
    <i r="1">
      <x v="4"/>
    </i>
    <i r="1">
      <x v="5"/>
    </i>
    <i>
      <x v="1"/>
    </i>
    <i r="1">
      <x v="2"/>
    </i>
    <i r="1">
      <x v="3"/>
    </i>
    <i r="1">
      <x v="5"/>
    </i>
    <i>
      <x v="2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 v="2"/>
    </i>
    <i r="1">
      <x v="3"/>
    </i>
    <i r="1">
      <x v="4"/>
    </i>
    <i>
      <x v="5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 numFmtId="43"/>
    <dataField name="Sum of GRN QTY" fld="5" baseField="0" baseItem="0" numFmtId="43"/>
    <dataField name="Sum of Average" fld="17" baseField="0" baseItem="0" numFmtId="43"/>
  </dataFields>
  <formats count="6"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40" firstHeaderRow="0" firstDataRow="1" firstDataCol="1"/>
  <pivotFields count="18">
    <pivotField showAll="0"/>
    <pivotField axis="axisRow" showAll="0">
      <items count="9">
        <item x="3"/>
        <item x="4"/>
        <item x="6"/>
        <item x="0"/>
        <item x="1"/>
        <item x="7"/>
        <item x="5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43" showAll="0"/>
    <pivotField numFmtId="166" showAll="0"/>
    <pivotField numFmtId="166" showAll="0"/>
    <pivotField showAll="0"/>
    <pivotField numFmtId="166" showAll="0"/>
    <pivotField showAll="0"/>
    <pivotField showAll="0"/>
    <pivotField numFmtId="166" showAll="0"/>
    <pivotField numFmtId="166" showAll="0"/>
    <pivotField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37">
    <i>
      <x/>
    </i>
    <i r="1">
      <x/>
    </i>
    <i r="1">
      <x v="1"/>
    </i>
    <i r="1">
      <x v="2"/>
    </i>
    <i r="1">
      <x v="3"/>
    </i>
    <i>
      <x v="1"/>
    </i>
    <i r="1">
      <x/>
    </i>
    <i r="1">
      <x v="3"/>
    </i>
    <i>
      <x v="2"/>
    </i>
    <i r="1">
      <x v="2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3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g Price" fld="17" baseField="0" baseItem="0" numFmtId="166"/>
  </dataFields>
  <formats count="5"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9" firstHeaderRow="0" firstDataRow="1" firstDataCol="1"/>
  <pivotFields count="18">
    <pivotField showAll="0"/>
    <pivotField axis="axisRow" showAll="0">
      <items count="7">
        <item x="4"/>
        <item x="3"/>
        <item x="0"/>
        <item x="1"/>
        <item x="2"/>
        <item x="5"/>
        <item t="default"/>
      </items>
    </pivotField>
    <pivotField numFmtId="14"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26">
    <i>
      <x/>
    </i>
    <i r="1">
      <x v="2"/>
    </i>
    <i r="1">
      <x v="3"/>
    </i>
    <i r="1">
      <x v="4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>
      <x v="5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erage" fld="17" baseField="0" baseItem="0"/>
  </dataFields>
  <formats count="4"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0" firstHeaderRow="0" firstDataRow="1" firstDataCol="1"/>
  <pivotFields count="18">
    <pivotField showAll="0"/>
    <pivotField axis="axisRow" showAll="0">
      <items count="8">
        <item x="0"/>
        <item x="4"/>
        <item x="1"/>
        <item x="3"/>
        <item x="2"/>
        <item x="5"/>
        <item x="6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27">
    <i>
      <x/>
    </i>
    <i r="1">
      <x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1"/>
    </i>
    <i r="1">
      <x v="3"/>
    </i>
    <i r="1">
      <x v="4"/>
    </i>
    <i>
      <x v="6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5"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" firstHeaderRow="0" firstDataRow="1" firstDataCol="1"/>
  <pivotFields count="18">
    <pivotField showAll="0"/>
    <pivotField axis="axisRow" showAll="0">
      <items count="6">
        <item x="4"/>
        <item x="0"/>
        <item x="2"/>
        <item x="1"/>
        <item x="3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19">
    <i>
      <x/>
    </i>
    <i r="1">
      <x v="3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 numFmtId="43"/>
    <dataField name="Sum of Avg" fld="17" baseField="0" baseItem="0"/>
  </dataFields>
  <formats count="5"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0" firstHeaderRow="0" firstDataRow="1" firstDataCol="1"/>
  <pivotFields count="18">
    <pivotField showAll="0"/>
    <pivotField axis="axisRow" showAll="0">
      <items count="7">
        <item x="3"/>
        <item x="2"/>
        <item x="0"/>
        <item x="1"/>
        <item x="4"/>
        <item x="5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27">
    <i>
      <x/>
    </i>
    <i r="1">
      <x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2"/>
    </i>
    <i>
      <x v="5"/>
    </i>
    <i r="1">
      <x v="1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 numFmtId="43"/>
    <dataField name="Sum of Avg" fld="17" baseField="0" baseItem="0"/>
  </dataFields>
  <formats count="5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1:J71" firstHeaderRow="0" firstDataRow="1" firstDataCol="1"/>
  <pivotFields count="17">
    <pivotField showAll="0"/>
    <pivotField axis="axisRow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PS Tr" fld="6" subtotal="average" baseField="2" baseItem="0"/>
    <dataField name="Average of PFAD Tr" fld="7" subtotal="average" baseField="2" baseItem="0"/>
    <dataField name="Average of PS Guj2" fld="10" subtotal="average" baseField="2" baseItem="0"/>
    <dataField name="Average of PFAD Guj2" fld="11" subtotal="average" baseField="2" baseItem="0"/>
    <dataField name="Average of RPO" fld="9" subtotal="average" baseField="2" baseItem="0"/>
    <dataField name="Average of RBFAD" fld="8" subtotal="average" baseField="2" baseItem="0"/>
    <dataField name="Average of Exp CNO" fld="15" subtotal="average" baseField="2" baseItem="0"/>
    <dataField name="Average of CPKO-EG" fld="13" subtotal="average" baseField="1" baseItem="5"/>
    <dataField name="Average of PKFAD" fld="16" subtotal="average" baseField="1" baseItem="5"/>
  </dataFields>
  <formats count="3">
    <format dxfId="6">
      <pivotArea type="all" dataOnly="0" outline="0" fieldPosition="0"/>
    </format>
    <format dxfId="5">
      <pivotArea type="all" dataOnly="0" outline="0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57" firstHeaderRow="0" firstDataRow="1" firstDataCol="1"/>
  <pivotFields count="17">
    <pivotField showAll="0"/>
    <pivotField axis="axisRow" showAll="0" sortType="ascending">
      <items count="54"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 defaultSubtota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PS Tr" fld="6" subtotal="average" baseField="2" baseItem="0"/>
    <dataField name="Average of PFAD Tr" fld="7" subtotal="average" baseField="2" baseItem="0"/>
    <dataField name="Average of PS Guj2" fld="10" subtotal="average" baseField="2" baseItem="0"/>
    <dataField name="Average of PFAD Guj2" fld="11" subtotal="average" baseField="2" baseItem="0"/>
    <dataField name="Average of RPO" fld="9" subtotal="average" baseField="2" baseItem="0"/>
    <dataField name="Average of RBFAD" fld="8" subtotal="average" baseField="2" baseItem="0"/>
    <dataField name="Average of Exp CNO" fld="15" subtotal="average" baseField="2" baseItem="0"/>
    <dataField name="Average of CPKO-EG" fld="13" subtotal="average" baseField="1" baseItem="5"/>
    <dataField name="Average of PKFAD" fld="16" subtotal="average" baseField="1" baseItem="5"/>
  </dataFields>
  <formats count="3">
    <format dxfId="9">
      <pivotArea type="all" dataOnly="0" outline="0" fieldPosition="0"/>
    </format>
    <format dxfId="8">
      <pivotArea type="all" dataOnly="0" outline="0" fieldPosition="0"/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4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eek No">
  <location ref="A3:B47" firstHeaderRow="1" firstDataRow="1" firstDataCol="1"/>
  <pivotFields count="7">
    <pivotField numFmtId="15"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numFmtId="43" showAll="0"/>
    <pivotField numFmtId="166" showAll="0"/>
    <pivotField numFmtId="166" showAll="0"/>
    <pivotField dataField="1" numFmtId="166" showAll="0" defaultSubtotal="0"/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Avg of Dlvd Baddi" fld="6" subtotal="average" baseField="1" baseItem="3"/>
  </dataFields>
  <formats count="4">
    <format dxfId="3">
      <pivotArea type="all" dataOnly="0" outline="0" fieldPosition="0"/>
    </format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F2" sqref="F2"/>
    </sheetView>
  </sheetViews>
  <sheetFormatPr defaultRowHeight="15" customHeight="1" x14ac:dyDescent="0.25"/>
  <cols>
    <col min="1" max="1" width="9.140625" style="28"/>
    <col min="2" max="2" width="18.85546875" style="28" bestFit="1" customWidth="1"/>
    <col min="3" max="3" width="8" style="28" bestFit="1" customWidth="1"/>
    <col min="4" max="4" width="9" style="31" customWidth="1"/>
    <col min="5" max="5" width="13.42578125" style="28" customWidth="1"/>
    <col min="6" max="16384" width="9.140625" style="28"/>
  </cols>
  <sheetData>
    <row r="2" spans="2:5" ht="15" customHeight="1" x14ac:dyDescent="0.25">
      <c r="B2" s="105" t="s">
        <v>169</v>
      </c>
      <c r="C2" s="105"/>
      <c r="D2" s="105"/>
      <c r="E2" s="105"/>
    </row>
    <row r="3" spans="2:5" ht="15" customHeight="1" x14ac:dyDescent="0.2">
      <c r="B3" s="53" t="s">
        <v>163</v>
      </c>
      <c r="C3" s="56" t="s">
        <v>88</v>
      </c>
      <c r="D3" s="90" t="s">
        <v>166</v>
      </c>
      <c r="E3" s="55" t="s">
        <v>164</v>
      </c>
    </row>
    <row r="4" spans="2:5" ht="15" customHeight="1" x14ac:dyDescent="0.2">
      <c r="B4" s="85" t="s">
        <v>74</v>
      </c>
      <c r="C4" s="88">
        <f>Summary!B3</f>
        <v>1.4586387260563818E-2</v>
      </c>
      <c r="D4" s="87">
        <f>Summary!D3+Summary!F3+Summary!H3+Summary!J3+Summary!L3+Summary!N3+Summary!P3+Summary!R3+Summary!T3+Summary!V3+Summary!X3+Summary!Z3</f>
        <v>4410.4749999999995</v>
      </c>
      <c r="E4" s="87">
        <f>Summary!C3</f>
        <v>3365720.1312596789</v>
      </c>
    </row>
    <row r="5" spans="2:5" ht="15" customHeight="1" x14ac:dyDescent="0.2">
      <c r="B5" s="85" t="s">
        <v>76</v>
      </c>
      <c r="C5" s="88">
        <f>Summary!B5</f>
        <v>1.435122196474602E-2</v>
      </c>
      <c r="D5" s="87">
        <f>Summary!D5+Summary!F5+Summary!H5+Summary!J5+Summary!L5+Summary!N5+Summary!P5+Summary!R5+Summary!T5+Summary!V5+Summary!X5+Summary!Z5</f>
        <v>11488.86</v>
      </c>
      <c r="E5" s="87">
        <f>Summary!C5</f>
        <v>9005552.8533908334</v>
      </c>
    </row>
    <row r="6" spans="2:5" ht="15" customHeight="1" x14ac:dyDescent="0.2">
      <c r="B6" s="85" t="s">
        <v>50</v>
      </c>
      <c r="C6" s="88">
        <f>Summary!B6</f>
        <v>1.2428154108884242E-2</v>
      </c>
      <c r="D6" s="87">
        <f>Summary!D6+Summary!F6+Summary!H6+Summary!J6+Summary!L6+Summary!N6+Summary!P6+Summary!R6+Summary!T6+Summary!V6+Summary!X6+Summary!Z6</f>
        <v>195.28000000000003</v>
      </c>
      <c r="E6" s="87">
        <f>Summary!C6</f>
        <v>145628.23999999953</v>
      </c>
    </row>
    <row r="7" spans="2:5" ht="15" customHeight="1" x14ac:dyDescent="0.2">
      <c r="B7" s="85" t="s">
        <v>77</v>
      </c>
      <c r="C7" s="88">
        <f>Summary!B7</f>
        <v>2.9177567079980418E-3</v>
      </c>
      <c r="D7" s="87">
        <f>Summary!D7+Summary!F7+Summary!H7+Summary!J7+Summary!L7+Summary!N7+Summary!P7+Summary!R7+Summary!T7+Summary!V7+Summary!X7+Summary!Z7</f>
        <v>216.26</v>
      </c>
      <c r="E7" s="87">
        <f>Summary!C7</f>
        <v>34580.876472999196</v>
      </c>
    </row>
    <row r="8" spans="2:5" ht="15" customHeight="1" x14ac:dyDescent="0.2">
      <c r="B8" s="85" t="s">
        <v>49</v>
      </c>
      <c r="C8" s="88">
        <f>Summary!B8</f>
        <v>1.0538691004661309E-2</v>
      </c>
      <c r="D8" s="87">
        <f>Summary!D8+Summary!F8+Summary!H8+Summary!J8+Summary!L8+Summary!N8+Summary!P8+Summary!R8+Summary!T8+Summary!V8+Summary!X8+Summary!Z8</f>
        <v>3418.4399999999996</v>
      </c>
      <c r="E8" s="87">
        <f>Summary!C8</f>
        <v>1855860.0593426619</v>
      </c>
    </row>
    <row r="9" spans="2:5" ht="15" customHeight="1" x14ac:dyDescent="0.2">
      <c r="B9" s="53" t="s">
        <v>78</v>
      </c>
      <c r="C9" s="57">
        <f>Summary!B9</f>
        <v>1.3618500145963748E-2</v>
      </c>
      <c r="D9" s="55">
        <f>SUM(D4:D8)</f>
        <v>19729.314999999999</v>
      </c>
      <c r="E9" s="55">
        <f>SUM(E4:E8)</f>
        <v>14407342.160466172</v>
      </c>
    </row>
    <row r="10" spans="2:5" ht="15" customHeight="1" x14ac:dyDescent="0.25">
      <c r="B10"/>
      <c r="C10"/>
      <c r="D10" s="64"/>
      <c r="E10"/>
    </row>
    <row r="11" spans="2:5" ht="15" customHeight="1" x14ac:dyDescent="0.2">
      <c r="B11" s="53" t="s">
        <v>165</v>
      </c>
      <c r="C11" s="56" t="s">
        <v>88</v>
      </c>
      <c r="D11" s="90" t="s">
        <v>166</v>
      </c>
      <c r="E11" s="55" t="s">
        <v>164</v>
      </c>
    </row>
    <row r="12" spans="2:5" ht="15" customHeight="1" x14ac:dyDescent="0.2">
      <c r="B12" s="85" t="s">
        <v>89</v>
      </c>
      <c r="C12" s="86"/>
      <c r="D12" s="91"/>
      <c r="E12" s="87"/>
    </row>
    <row r="13" spans="2:5" ht="15" customHeight="1" x14ac:dyDescent="0.2">
      <c r="B13" s="85" t="s">
        <v>83</v>
      </c>
      <c r="C13" s="88">
        <f>Summary!B13</f>
        <v>3.6305820964695035E-2</v>
      </c>
      <c r="D13" s="87">
        <f>Summary!D13+Summary!F13+Summary!H13+Summary!J13+Summary!L13+Summary!N13+Summary!P13+Summary!R13+Summary!T13+Summary!V13+Summary!X13+Summary!Z13</f>
        <v>2036.1499999999996</v>
      </c>
      <c r="E13" s="87">
        <f>Summary!C13</f>
        <v>7130497.4607372209</v>
      </c>
    </row>
    <row r="14" spans="2:5" ht="15" customHeight="1" x14ac:dyDescent="0.2">
      <c r="B14" s="85" t="s">
        <v>84</v>
      </c>
      <c r="C14" s="88">
        <f>Summary!B14</f>
        <v>2.2093033428732596E-2</v>
      </c>
      <c r="D14" s="87">
        <f>Summary!D14+Summary!F14+Summary!H14+Summary!J14+Summary!L14+Summary!N14+Summary!P14+Summary!R14+Summary!T14+Summary!V14+Summary!X14+Summary!Z14</f>
        <v>1127.43</v>
      </c>
      <c r="E14" s="87">
        <f>Summary!C14</f>
        <v>2278547.5205674376</v>
      </c>
    </row>
    <row r="15" spans="2:5" ht="15" customHeight="1" x14ac:dyDescent="0.2">
      <c r="B15" s="89" t="s">
        <v>80</v>
      </c>
      <c r="C15" s="88">
        <f>Summary!B15</f>
        <v>0</v>
      </c>
      <c r="D15" s="87">
        <f>Summary!D15+Summary!F15+Summary!H15+Summary!J15+Summary!L15+Summary!N15+Summary!P15+Summary!R15+Summary!T15+Summary!V15+Summary!X15+Summary!Z15</f>
        <v>0</v>
      </c>
      <c r="E15" s="87">
        <f>Summary!C15</f>
        <v>0</v>
      </c>
    </row>
    <row r="16" spans="2:5" ht="15" customHeight="1" x14ac:dyDescent="0.2">
      <c r="B16" s="89" t="s">
        <v>71</v>
      </c>
      <c r="C16" s="88">
        <f>Summary!B16</f>
        <v>0.22256370297008946</v>
      </c>
      <c r="D16" s="87">
        <f>Summary!D16+Summary!F16+Summary!H16+Summary!J16+Summary!L16+Summary!N16+Summary!P16+Summary!R16+Summary!T16+Summary!V16+Summary!X16+Summary!Z16</f>
        <v>1122.2850000000001</v>
      </c>
      <c r="E16" s="87">
        <f>Summary!C16</f>
        <v>17549264.592870064</v>
      </c>
    </row>
    <row r="17" spans="2:5" ht="15" customHeight="1" x14ac:dyDescent="0.2">
      <c r="B17" s="53" t="s">
        <v>81</v>
      </c>
      <c r="C17" s="57">
        <f>Summary!B17</f>
        <v>7.1245587066128713E-2</v>
      </c>
      <c r="D17" s="55">
        <f>SUM(D13:D16)</f>
        <v>4285.8649999999998</v>
      </c>
      <c r="E17" s="55">
        <f>SUM(E10:E16)</f>
        <v>26958309.574174725</v>
      </c>
    </row>
    <row r="18" spans="2:5" ht="15" customHeight="1" x14ac:dyDescent="0.25">
      <c r="B18"/>
      <c r="C18"/>
      <c r="D18" s="64"/>
      <c r="E18"/>
    </row>
    <row r="19" spans="2:5" ht="15" customHeight="1" x14ac:dyDescent="0.2">
      <c r="B19" s="53" t="s">
        <v>85</v>
      </c>
      <c r="C19" s="57">
        <f>Summary!B19</f>
        <v>2.8799947505367882E-2</v>
      </c>
      <c r="D19" s="55">
        <f>D17+D9</f>
        <v>24015.18</v>
      </c>
      <c r="E19" s="55">
        <f>E17+E9</f>
        <v>41365651.734640896</v>
      </c>
    </row>
  </sheetData>
  <mergeCells count="1">
    <mergeCell ref="B2:E2"/>
  </mergeCells>
  <conditionalFormatting sqref="E11 B4:E9">
    <cfRule type="cellIs" dxfId="251" priority="5" operator="lessThan">
      <formula>0</formula>
    </cfRule>
    <cfRule type="cellIs" dxfId="250" priority="6" operator="lessThan">
      <formula>0</formula>
    </cfRule>
  </conditionalFormatting>
  <conditionalFormatting sqref="B19">
    <cfRule type="cellIs" dxfId="249" priority="21" operator="lessThan">
      <formula>0</formula>
    </cfRule>
    <cfRule type="cellIs" dxfId="248" priority="22" operator="lessThan">
      <formula>0</formula>
    </cfRule>
  </conditionalFormatting>
  <conditionalFormatting sqref="B3:D3">
    <cfRule type="cellIs" dxfId="247" priority="31" operator="lessThan">
      <formula>0</formula>
    </cfRule>
    <cfRule type="cellIs" dxfId="246" priority="32" operator="lessThan">
      <formula>0</formula>
    </cfRule>
  </conditionalFormatting>
  <conditionalFormatting sqref="B12:B17">
    <cfRule type="cellIs" dxfId="245" priority="29" operator="lessThan">
      <formula>0</formula>
    </cfRule>
    <cfRule type="cellIs" dxfId="244" priority="30" operator="lessThan">
      <formula>0</formula>
    </cfRule>
  </conditionalFormatting>
  <conditionalFormatting sqref="E12:E16">
    <cfRule type="cellIs" dxfId="243" priority="25" operator="lessThan">
      <formula>0</formula>
    </cfRule>
    <cfRule type="cellIs" dxfId="242" priority="26" operator="lessThan">
      <formula>0</formula>
    </cfRule>
  </conditionalFormatting>
  <conditionalFormatting sqref="E17">
    <cfRule type="cellIs" dxfId="241" priority="23" operator="lessThan">
      <formula>0</formula>
    </cfRule>
    <cfRule type="cellIs" dxfId="240" priority="24" operator="lessThan">
      <formula>0</formula>
    </cfRule>
  </conditionalFormatting>
  <conditionalFormatting sqref="E19">
    <cfRule type="cellIs" dxfId="239" priority="19" operator="lessThan">
      <formula>0</formula>
    </cfRule>
    <cfRule type="cellIs" dxfId="238" priority="20" operator="lessThan">
      <formula>0</formula>
    </cfRule>
  </conditionalFormatting>
  <conditionalFormatting sqref="C12:D12">
    <cfRule type="cellIs" dxfId="237" priority="17" operator="lessThan">
      <formula>0</formula>
    </cfRule>
    <cfRule type="cellIs" dxfId="236" priority="18" operator="lessThan">
      <formula>0</formula>
    </cfRule>
  </conditionalFormatting>
  <conditionalFormatting sqref="B11:C11">
    <cfRule type="cellIs" dxfId="235" priority="7" operator="lessThan">
      <formula>0</formula>
    </cfRule>
    <cfRule type="cellIs" dxfId="234" priority="8" operator="lessThan">
      <formula>0</formula>
    </cfRule>
  </conditionalFormatting>
  <conditionalFormatting sqref="C17:D17 C13:C16">
    <cfRule type="cellIs" dxfId="233" priority="13" operator="lessThan">
      <formula>0</formula>
    </cfRule>
    <cfRule type="cellIs" dxfId="232" priority="14" operator="lessThan">
      <formula>0</formula>
    </cfRule>
  </conditionalFormatting>
  <conditionalFormatting sqref="C19:D19">
    <cfRule type="cellIs" dxfId="231" priority="11" operator="lessThan">
      <formula>0</formula>
    </cfRule>
    <cfRule type="cellIs" dxfId="230" priority="12" operator="lessThan">
      <formula>0</formula>
    </cfRule>
  </conditionalFormatting>
  <conditionalFormatting sqref="E3">
    <cfRule type="cellIs" dxfId="229" priority="9" operator="lessThan">
      <formula>0</formula>
    </cfRule>
    <cfRule type="cellIs" dxfId="228" priority="10" operator="lessThan">
      <formula>0</formula>
    </cfRule>
  </conditionalFormatting>
  <conditionalFormatting sqref="D11">
    <cfRule type="cellIs" dxfId="227" priority="3" operator="lessThan">
      <formula>0</formula>
    </cfRule>
    <cfRule type="cellIs" dxfId="226" priority="4" operator="lessThan">
      <formula>0</formula>
    </cfRule>
  </conditionalFormatting>
  <conditionalFormatting sqref="D13:D16">
    <cfRule type="cellIs" dxfId="225" priority="1" operator="lessThan">
      <formula>0</formula>
    </cfRule>
    <cfRule type="cellIs" dxfId="224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defaultRowHeight="18.75" customHeight="1" x14ac:dyDescent="0.25"/>
  <cols>
    <col min="1" max="1" width="18.85546875" style="93" bestFit="1" customWidth="1"/>
    <col min="2" max="2" width="8" style="93" bestFit="1" customWidth="1"/>
    <col min="3" max="3" width="15.140625" style="93" bestFit="1" customWidth="1"/>
    <col min="4" max="20" width="8.7109375" style="93" customWidth="1"/>
    <col min="21" max="21" width="9.28515625" style="93" bestFit="1" customWidth="1"/>
    <col min="22" max="22" width="8.7109375" style="93" customWidth="1"/>
    <col min="23" max="23" width="9.28515625" style="93" bestFit="1" customWidth="1"/>
    <col min="24" max="26" width="8.7109375" style="93" customWidth="1"/>
    <col min="27" max="27" width="9.28515625" style="93" bestFit="1" customWidth="1"/>
    <col min="28" max="16384" width="9.140625" style="93"/>
  </cols>
  <sheetData>
    <row r="1" spans="1:27" ht="18.75" customHeight="1" x14ac:dyDescent="0.25">
      <c r="C1" s="94"/>
      <c r="D1" s="109">
        <v>42461</v>
      </c>
      <c r="E1" s="108"/>
      <c r="F1" s="109">
        <v>42491</v>
      </c>
      <c r="G1" s="108"/>
      <c r="H1" s="109">
        <v>42522</v>
      </c>
      <c r="I1" s="108"/>
      <c r="J1" s="109">
        <v>42552</v>
      </c>
      <c r="K1" s="108"/>
      <c r="L1" s="109">
        <v>42583</v>
      </c>
      <c r="M1" s="108"/>
      <c r="N1" s="109">
        <v>42614</v>
      </c>
      <c r="O1" s="108"/>
      <c r="P1" s="109">
        <v>42644</v>
      </c>
      <c r="Q1" s="108"/>
      <c r="R1" s="109">
        <v>42675</v>
      </c>
      <c r="S1" s="108"/>
      <c r="T1" s="109">
        <v>42705</v>
      </c>
      <c r="U1" s="108"/>
      <c r="V1" s="109">
        <v>42736</v>
      </c>
      <c r="W1" s="108"/>
      <c r="X1" s="109">
        <v>42767</v>
      </c>
      <c r="Y1" s="108"/>
      <c r="Z1" s="109">
        <v>42795</v>
      </c>
      <c r="AA1" s="108"/>
    </row>
    <row r="2" spans="1:27" ht="18.75" customHeight="1" x14ac:dyDescent="0.25">
      <c r="A2" s="95"/>
      <c r="B2" s="96" t="s">
        <v>88</v>
      </c>
      <c r="C2" s="96"/>
      <c r="D2" s="54" t="s">
        <v>73</v>
      </c>
      <c r="E2" s="54" t="s">
        <v>82</v>
      </c>
      <c r="F2" s="54" t="s">
        <v>73</v>
      </c>
      <c r="G2" s="54" t="s">
        <v>82</v>
      </c>
      <c r="H2" s="54" t="s">
        <v>73</v>
      </c>
      <c r="I2" s="54" t="s">
        <v>82</v>
      </c>
      <c r="J2" s="54" t="s">
        <v>73</v>
      </c>
      <c r="K2" s="54" t="s">
        <v>82</v>
      </c>
      <c r="L2" s="54" t="s">
        <v>73</v>
      </c>
      <c r="M2" s="54" t="s">
        <v>82</v>
      </c>
      <c r="N2" s="54" t="s">
        <v>73</v>
      </c>
      <c r="O2" s="54" t="s">
        <v>82</v>
      </c>
      <c r="P2" s="54" t="s">
        <v>73</v>
      </c>
      <c r="Q2" s="54" t="s">
        <v>82</v>
      </c>
      <c r="R2" s="54" t="s">
        <v>73</v>
      </c>
      <c r="S2" s="54" t="s">
        <v>82</v>
      </c>
      <c r="T2" s="54" t="s">
        <v>73</v>
      </c>
      <c r="U2" s="54" t="s">
        <v>82</v>
      </c>
      <c r="V2" s="54" t="s">
        <v>73</v>
      </c>
      <c r="W2" s="54" t="s">
        <v>82</v>
      </c>
      <c r="X2" s="54" t="s">
        <v>73</v>
      </c>
      <c r="Y2" s="54" t="s">
        <v>82</v>
      </c>
      <c r="Z2" s="54" t="s">
        <v>73</v>
      </c>
      <c r="AA2" s="54" t="s">
        <v>82</v>
      </c>
    </row>
    <row r="3" spans="1:27" ht="18.75" customHeight="1" x14ac:dyDescent="0.25">
      <c r="A3" s="95" t="s">
        <v>74</v>
      </c>
      <c r="B3" s="97">
        <f>IFERROR(C3/C27,0)</f>
        <v>1.4586387260563818E-2</v>
      </c>
      <c r="C3" s="98">
        <f>D3*E3+F3*G3+H3*I3+J3*K3+L3*M3+N3*O3+P3*Q3+R3*S3+T3*U3+V3*W3+X3*Y3+Z3*AA3</f>
        <v>3365720.1312596789</v>
      </c>
      <c r="D3" s="99">
        <f>'VA Apr'!C11</f>
        <v>351.315</v>
      </c>
      <c r="E3" s="99">
        <f>'VA Apr'!K11</f>
        <v>2421.7149999288376</v>
      </c>
      <c r="F3" s="99">
        <f>'VA May'!C11</f>
        <v>306.29000000000002</v>
      </c>
      <c r="G3" s="99">
        <f>'VA May'!K11</f>
        <v>2605.4493863658558</v>
      </c>
      <c r="H3" s="99">
        <f>'VA Jun'!C15</f>
        <v>793.99</v>
      </c>
      <c r="I3" s="99">
        <f>'VA Jun'!K15</f>
        <v>563.96731879494894</v>
      </c>
      <c r="J3" s="99">
        <f>'VA Jul'!C10</f>
        <v>691.6400000000001</v>
      </c>
      <c r="K3" s="99">
        <f>'VA Jul'!K10</f>
        <v>1397.0236323810132</v>
      </c>
      <c r="L3" s="99">
        <f>'VA Aug'!C7</f>
        <v>355.76</v>
      </c>
      <c r="M3" s="99">
        <f>'VA Aug'!K7</f>
        <v>1201.3437817629924</v>
      </c>
      <c r="N3" s="99">
        <f>'VA Sep'!C4</f>
        <v>302.16999999999996</v>
      </c>
      <c r="O3" s="99">
        <f>'VA Sep'!K4</f>
        <v>-42.443577920826577</v>
      </c>
      <c r="P3" s="99">
        <f>'VA Oct'!C12</f>
        <v>456.65999999999997</v>
      </c>
      <c r="Q3" s="99">
        <f>'VA Oct'!K12</f>
        <v>-497.88517912669857</v>
      </c>
      <c r="R3" s="99">
        <f>'VA Nov'!C15</f>
        <v>455.17</v>
      </c>
      <c r="S3" s="99">
        <f>'VA Nov'!K15</f>
        <v>-161.21499703406775</v>
      </c>
      <c r="T3" s="99">
        <f>'VA Dec'!C11</f>
        <v>216.55</v>
      </c>
      <c r="U3" s="99">
        <f>'VA Dec'!K11</f>
        <v>-1118.6303818979329</v>
      </c>
      <c r="V3" s="99">
        <f>'VA Jan'!C14</f>
        <v>147.69999999999999</v>
      </c>
      <c r="W3" s="99">
        <f>'VA Jan'!K14</f>
        <v>1252.4767779282483</v>
      </c>
      <c r="X3" s="99">
        <f>'VA Feb'!C6</f>
        <v>134.26999999999998</v>
      </c>
      <c r="Y3" s="99">
        <f>'VA Feb'!K6</f>
        <v>431.32299098829998</v>
      </c>
      <c r="Z3" s="99">
        <f>'VA Mar'!C6</f>
        <v>198.96</v>
      </c>
      <c r="AA3" s="99">
        <f>'VA Mar'!K6</f>
        <v>946.9483127261791</v>
      </c>
    </row>
    <row r="4" spans="1:27" ht="18.75" customHeight="1" x14ac:dyDescent="0.25">
      <c r="A4" s="95" t="s">
        <v>75</v>
      </c>
      <c r="B4" s="97">
        <f t="shared" ref="B4:B9" si="0">IFERROR(C4/C28,0)</f>
        <v>0</v>
      </c>
      <c r="C4" s="98">
        <f t="shared" ref="C4:C8" si="1">D4*E4+F4*G4+H4*I4+J4*K4+L4*M4+N4*O4+P4*Q4+R4*S4+T4*U4+V4*W4+X4*Y4+Z4*AA4</f>
        <v>0</v>
      </c>
      <c r="D4" s="99">
        <v>0</v>
      </c>
      <c r="E4" s="99">
        <v>0</v>
      </c>
      <c r="F4" s="99">
        <v>0</v>
      </c>
      <c r="G4" s="99">
        <v>0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1:27" ht="18.75" customHeight="1" x14ac:dyDescent="0.25">
      <c r="A5" s="95" t="s">
        <v>76</v>
      </c>
      <c r="B5" s="97">
        <f t="shared" si="0"/>
        <v>1.435122196474602E-2</v>
      </c>
      <c r="C5" s="98">
        <f t="shared" si="1"/>
        <v>9005552.8533908334</v>
      </c>
      <c r="D5" s="99">
        <f>'VA Apr'!C17</f>
        <v>838.23</v>
      </c>
      <c r="E5" s="99">
        <f>'VA Apr'!K17</f>
        <v>2204.6562900397307</v>
      </c>
      <c r="F5" s="99">
        <f>'VA May'!C14</f>
        <v>1306.23</v>
      </c>
      <c r="G5" s="99">
        <f>'VA May'!K14</f>
        <v>2739.8028704490557</v>
      </c>
      <c r="H5" s="99">
        <f>'VA Jun'!C21</f>
        <v>1713.5400000000002</v>
      </c>
      <c r="I5" s="99">
        <f>'VA Jun'!K21</f>
        <v>945.48255223105662</v>
      </c>
      <c r="J5" s="99">
        <f>'VA Jul'!C17</f>
        <v>1178.1099999999999</v>
      </c>
      <c r="K5" s="99">
        <f>'VA Jul'!K17</f>
        <v>-1184.9655859809395</v>
      </c>
      <c r="L5" s="99">
        <f>'VA Aug'!C12</f>
        <v>349.11</v>
      </c>
      <c r="M5" s="99">
        <f>'VA Aug'!K12</f>
        <v>-660.65263627510183</v>
      </c>
      <c r="N5" s="99">
        <f>'VA Sep'!C9</f>
        <v>755.67000000000007</v>
      </c>
      <c r="O5" s="99">
        <f>'VA Sep'!K9</f>
        <v>873.96645575999651</v>
      </c>
      <c r="P5" s="99">
        <f>'VA Oct'!C17</f>
        <v>475.09000000000003</v>
      </c>
      <c r="Q5" s="99">
        <f>'VA Oct'!K17</f>
        <v>738.84961565177264</v>
      </c>
      <c r="R5" s="99">
        <f>'VA Nov'!C21</f>
        <v>734.36</v>
      </c>
      <c r="S5" s="99">
        <f>'VA Nov'!K21</f>
        <v>262.94126931387075</v>
      </c>
      <c r="T5" s="99">
        <f>'VA Dec'!C15</f>
        <v>1137.4000000000001</v>
      </c>
      <c r="U5" s="99">
        <f>'VA Dec'!K15</f>
        <v>596.28085376003946</v>
      </c>
      <c r="V5" s="99">
        <f>'VA Jan'!C17</f>
        <v>592.34999999999991</v>
      </c>
      <c r="W5" s="99">
        <f>'VA Jan'!K17</f>
        <v>1455.0841644298125</v>
      </c>
      <c r="X5" s="99">
        <f>'VA Feb'!C10</f>
        <v>854.17999999999984</v>
      </c>
      <c r="Y5" s="99">
        <f>'VA Feb'!K10</f>
        <v>-179.62849188695651</v>
      </c>
      <c r="Z5" s="99">
        <f>'VA Mar'!C12</f>
        <v>1554.59</v>
      </c>
      <c r="AA5" s="99">
        <f>'VA Mar'!K12</f>
        <v>639.41711641011557</v>
      </c>
    </row>
    <row r="6" spans="1:27" ht="18.75" customHeight="1" x14ac:dyDescent="0.25">
      <c r="A6" s="95" t="s">
        <v>50</v>
      </c>
      <c r="B6" s="97">
        <f t="shared" si="0"/>
        <v>1.2428154108884242E-2</v>
      </c>
      <c r="C6" s="98">
        <f t="shared" si="1"/>
        <v>145628.23999999953</v>
      </c>
      <c r="D6" s="99">
        <v>0</v>
      </c>
      <c r="E6" s="99">
        <v>0</v>
      </c>
      <c r="F6" s="99">
        <v>0</v>
      </c>
      <c r="G6" s="99">
        <v>0</v>
      </c>
      <c r="H6" s="99"/>
      <c r="I6" s="99"/>
      <c r="J6" s="99">
        <f>'VA Jul'!C24</f>
        <v>91.34</v>
      </c>
      <c r="K6" s="99">
        <f>'VA Jul'!K24</f>
        <v>1526.0766367418385</v>
      </c>
      <c r="L6" s="99"/>
      <c r="M6" s="99"/>
      <c r="N6" s="99"/>
      <c r="O6" s="99"/>
      <c r="P6" s="99"/>
      <c r="Q6" s="99"/>
      <c r="R6" s="99">
        <f>'VA Nov'!C27</f>
        <v>103.94000000000001</v>
      </c>
      <c r="S6" s="99">
        <f>'VA Nov'!K27</f>
        <v>60</v>
      </c>
      <c r="T6" s="99"/>
      <c r="U6" s="99"/>
      <c r="V6" s="99"/>
      <c r="W6" s="99"/>
      <c r="X6" s="99"/>
      <c r="Y6" s="99"/>
      <c r="Z6" s="99"/>
      <c r="AA6" s="99"/>
    </row>
    <row r="7" spans="1:27" ht="18.75" customHeight="1" x14ac:dyDescent="0.25">
      <c r="A7" s="95" t="s">
        <v>77</v>
      </c>
      <c r="B7" s="97">
        <f t="shared" si="0"/>
        <v>2.9177567079980418E-3</v>
      </c>
      <c r="C7" s="98">
        <f t="shared" si="1"/>
        <v>34580.876472999196</v>
      </c>
      <c r="D7" s="99">
        <v>0</v>
      </c>
      <c r="E7" s="99">
        <v>0</v>
      </c>
      <c r="F7" s="99">
        <v>0</v>
      </c>
      <c r="G7" s="99">
        <v>0</v>
      </c>
      <c r="H7" s="99"/>
      <c r="I7" s="99"/>
      <c r="J7" s="99">
        <f>'VA Jul'!C32</f>
        <v>196.2</v>
      </c>
      <c r="K7" s="99">
        <f>'VA Jul'!K32</f>
        <v>159.99543999999588</v>
      </c>
      <c r="L7" s="99">
        <f>'VA Aug'!C23</f>
        <v>20.059999999999999</v>
      </c>
      <c r="M7" s="99">
        <f>'VA Aug'!K23</f>
        <v>159.01152268195438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</row>
    <row r="8" spans="1:27" ht="18.75" customHeight="1" x14ac:dyDescent="0.25">
      <c r="A8" s="95" t="s">
        <v>49</v>
      </c>
      <c r="B8" s="97">
        <f t="shared" si="0"/>
        <v>1.0538691004661309E-2</v>
      </c>
      <c r="C8" s="98">
        <f t="shared" si="1"/>
        <v>1855860.0593426619</v>
      </c>
      <c r="D8" s="99">
        <f>'VA Apr'!C23</f>
        <v>511.98</v>
      </c>
      <c r="E8" s="99">
        <f>'VA Apr'!K23</f>
        <v>-1164.4111551102353</v>
      </c>
      <c r="F8" s="99">
        <f>'VA May'!C20</f>
        <v>81.8</v>
      </c>
      <c r="G8" s="99">
        <f>'VA May'!K20</f>
        <v>175.64792176038898</v>
      </c>
      <c r="H8" s="99">
        <f>'VA Jun'!C27</f>
        <v>109.58000000000001</v>
      </c>
      <c r="I8" s="99">
        <f>'VA Jun'!K27</f>
        <v>-1102.6200255521046</v>
      </c>
      <c r="J8" s="99">
        <f>'VA Jul'!C27</f>
        <v>222.23999999999998</v>
      </c>
      <c r="K8" s="99">
        <f>'VA Jul'!K27</f>
        <v>-57.276920086398846</v>
      </c>
      <c r="L8" s="99">
        <f>'VA Aug'!C18</f>
        <v>170.48999999999998</v>
      </c>
      <c r="M8" s="99">
        <f>'VA Aug'!K18</f>
        <v>35.576704909380723</v>
      </c>
      <c r="N8" s="99">
        <f>'VA Sep'!C15</f>
        <v>226.41</v>
      </c>
      <c r="O8" s="99">
        <f>'VA Sep'!K15</f>
        <v>622.87379462037893</v>
      </c>
      <c r="P8" s="99">
        <f>'VA Oct'!C23</f>
        <v>169.19</v>
      </c>
      <c r="Q8" s="99">
        <f>'VA Oct'!K23</f>
        <v>1659.1178430640134</v>
      </c>
      <c r="R8" s="99">
        <f>'VA Nov'!C29</f>
        <v>313.15000000000003</v>
      </c>
      <c r="S8" s="99">
        <f>'VA Nov'!K29</f>
        <v>1458.8574522113984</v>
      </c>
      <c r="T8" s="99">
        <f>'VA Dec'!C21</f>
        <v>312.14</v>
      </c>
      <c r="U8" s="99">
        <f>'VA Dec'!K21</f>
        <v>1828.3430327417238</v>
      </c>
      <c r="V8" s="99">
        <f>'VA Jan'!C22</f>
        <v>144.89000000000001</v>
      </c>
      <c r="W8" s="99">
        <f>'VA Jan'!K22</f>
        <v>538.71102822830812</v>
      </c>
      <c r="X8" s="99">
        <f>'VA Feb'!C15</f>
        <v>436.82999999999993</v>
      </c>
      <c r="Y8" s="99">
        <f>'VA Feb'!K15</f>
        <v>1471.1471193828265</v>
      </c>
      <c r="Z8" s="99">
        <f>'VA Mar'!C18</f>
        <v>719.74</v>
      </c>
      <c r="AA8" s="99">
        <f>'VA Mar'!K18</f>
        <v>549.04533454858654</v>
      </c>
    </row>
    <row r="9" spans="1:27" ht="18.75" customHeight="1" x14ac:dyDescent="0.25">
      <c r="A9" s="95" t="s">
        <v>78</v>
      </c>
      <c r="B9" s="97">
        <f t="shared" si="0"/>
        <v>1.3618500145963748E-2</v>
      </c>
      <c r="C9" s="98">
        <f>SUM(C3:C8)</f>
        <v>14407342.160466172</v>
      </c>
      <c r="D9" s="106">
        <f>SUMPRODUCT(D3:D8,E3:E8)</f>
        <v>2102638.6240066653</v>
      </c>
      <c r="E9" s="106"/>
      <c r="F9" s="106">
        <f t="shared" ref="F9" si="2">SUMPRODUCT(F3:F8,G3:G8)</f>
        <v>4391203.796016668</v>
      </c>
      <c r="G9" s="106"/>
      <c r="H9" s="106">
        <f t="shared" ref="H9" si="3">SUMPRODUCT(H3:H8,I3:I8)</f>
        <v>1947081.4816000066</v>
      </c>
      <c r="I9" s="106"/>
      <c r="J9" s="106">
        <f t="shared" ref="J9" si="4">SUMPRODUCT(J3:J8,K3:K8)</f>
        <v>-271728.65879200312</v>
      </c>
      <c r="K9" s="106"/>
      <c r="L9" s="106">
        <f t="shared" ref="L9" si="5">SUMPRODUCT(L3:L8,M3:M8)</f>
        <v>206004.86551500167</v>
      </c>
      <c r="M9" s="106"/>
      <c r="N9" s="106">
        <f t="shared" ref="N9" si="6">SUMPRODUCT(N3:N8,O3:O8)</f>
        <v>788629.91152382037</v>
      </c>
      <c r="O9" s="106"/>
      <c r="P9" s="106">
        <f t="shared" ref="P9" si="7">SUMPRODUCT(P3:P8,Q3:Q8)</f>
        <v>404361.96586800297</v>
      </c>
      <c r="Q9" s="106"/>
      <c r="R9" s="106">
        <f t="shared" ref="R9" si="8">SUMPRODUCT(R3:R8,S3:S8)</f>
        <v>582790.93149333692</v>
      </c>
      <c r="S9" s="106"/>
      <c r="T9" s="106">
        <f t="shared" ref="T9" si="9">SUMPRODUCT(T3:T8,U3:U8)</f>
        <v>1006669.4281066733</v>
      </c>
      <c r="U9" s="106"/>
      <c r="V9" s="106">
        <f t="shared" ref="V9" si="10">SUMPRODUCT(V3:V8,W3:W8)</f>
        <v>1124963.7657800009</v>
      </c>
      <c r="W9" s="106"/>
      <c r="X9" s="106">
        <f t="shared" ref="X9" si="11">SUMPRODUCT(X3:X8,Y3:Y8)</f>
        <v>547119.8689599986</v>
      </c>
      <c r="Y9" s="106"/>
      <c r="Z9" s="106">
        <f t="shared" ref="Z9" si="12">SUMPRODUCT(Z3:Z8,AA3:AA8)</f>
        <v>1577606.1803880017</v>
      </c>
      <c r="AA9" s="106"/>
    </row>
    <row r="11" spans="1:27" ht="18.75" customHeight="1" x14ac:dyDescent="0.25">
      <c r="A11" s="100"/>
      <c r="B11" s="100"/>
      <c r="C11" s="100"/>
      <c r="D11" s="54" t="s">
        <v>73</v>
      </c>
      <c r="E11" s="54" t="s">
        <v>82</v>
      </c>
      <c r="F11" s="54" t="s">
        <v>73</v>
      </c>
      <c r="G11" s="54" t="s">
        <v>82</v>
      </c>
      <c r="H11" s="54" t="s">
        <v>73</v>
      </c>
      <c r="I11" s="54" t="s">
        <v>82</v>
      </c>
      <c r="J11" s="54" t="s">
        <v>73</v>
      </c>
      <c r="K11" s="54" t="s">
        <v>82</v>
      </c>
      <c r="L11" s="54" t="s">
        <v>73</v>
      </c>
      <c r="M11" s="54" t="s">
        <v>82</v>
      </c>
      <c r="N11" s="54" t="s">
        <v>73</v>
      </c>
      <c r="O11" s="54" t="s">
        <v>82</v>
      </c>
      <c r="P11" s="54" t="s">
        <v>73</v>
      </c>
      <c r="Q11" s="54" t="s">
        <v>82</v>
      </c>
      <c r="R11" s="54" t="s">
        <v>73</v>
      </c>
      <c r="S11" s="54" t="s">
        <v>82</v>
      </c>
      <c r="T11" s="54" t="s">
        <v>73</v>
      </c>
      <c r="U11" s="54" t="s">
        <v>82</v>
      </c>
      <c r="V11" s="54" t="s">
        <v>73</v>
      </c>
      <c r="W11" s="54" t="s">
        <v>82</v>
      </c>
      <c r="X11" s="54" t="s">
        <v>73</v>
      </c>
      <c r="Y11" s="54" t="s">
        <v>82</v>
      </c>
      <c r="Z11" s="54" t="s">
        <v>73</v>
      </c>
      <c r="AA11" s="54" t="s">
        <v>82</v>
      </c>
    </row>
    <row r="12" spans="1:27" ht="18.75" customHeight="1" x14ac:dyDescent="0.25">
      <c r="A12" s="95" t="s">
        <v>89</v>
      </c>
      <c r="B12" s="58"/>
      <c r="C12" s="98"/>
      <c r="D12" s="99">
        <f>'VA Apr'!C7</f>
        <v>858.88999999999987</v>
      </c>
      <c r="E12" s="99">
        <f>'VA Apr'!K7</f>
        <v>17722.408709010891</v>
      </c>
      <c r="F12" s="99">
        <f>'VA May'!C4</f>
        <v>773.16000000000008</v>
      </c>
      <c r="G12" s="99">
        <f>'VA May'!K4</f>
        <v>13911.510947693158</v>
      </c>
      <c r="H12" s="99">
        <f>'VA Jun'!C8</f>
        <v>622.81999999999994</v>
      </c>
      <c r="I12" s="99">
        <f>'VA Jun'!K8</f>
        <v>14623.484426113992</v>
      </c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</row>
    <row r="13" spans="1:27" ht="18.75" customHeight="1" x14ac:dyDescent="0.25">
      <c r="A13" s="95" t="s">
        <v>83</v>
      </c>
      <c r="B13" s="58">
        <f t="shared" ref="B13:B19" si="13">IFERROR(C13/C37,0)</f>
        <v>3.6305820964695035E-2</v>
      </c>
      <c r="C13" s="98">
        <f t="shared" ref="C13:C16" si="14">D13*E13+F13*G13+H13*I13+J13*K13+L13*M13+N13*O13+P13*Q13+R13*S13+T13*U13+V13*W13+X13*Y13+Z13*AA13</f>
        <v>7130497.4607372209</v>
      </c>
      <c r="D13" s="99">
        <f>'VA Apr'!C4</f>
        <v>42.39</v>
      </c>
      <c r="E13" s="99">
        <f>'VA Apr'!K4</f>
        <v>1427.7131381358879</v>
      </c>
      <c r="F13" s="99">
        <v>0</v>
      </c>
      <c r="G13" s="99">
        <v>0</v>
      </c>
      <c r="H13" s="99">
        <f>'VA Jun'!C4</f>
        <v>345.97</v>
      </c>
      <c r="I13" s="99">
        <f>'VA Jun'!K4</f>
        <v>369.48430738593368</v>
      </c>
      <c r="J13" s="99">
        <f>'VA Jul'!C4</f>
        <v>136.88</v>
      </c>
      <c r="K13" s="99">
        <f>'VA Jul'!K4</f>
        <v>2045.3925970739842</v>
      </c>
      <c r="L13" s="99"/>
      <c r="M13" s="99"/>
      <c r="N13" s="99"/>
      <c r="O13" s="99"/>
      <c r="P13" s="99">
        <f>'VA Oct'!C4</f>
        <v>484.38</v>
      </c>
      <c r="Q13" s="99">
        <f>'VA Oct'!K4</f>
        <v>5063.7975291277735</v>
      </c>
      <c r="R13" s="99">
        <f>'VA Nov'!C4</f>
        <v>486.52</v>
      </c>
      <c r="S13" s="99">
        <f>'VA Nov'!K4</f>
        <v>2188.1379914291001</v>
      </c>
      <c r="T13" s="99">
        <f>'VA Dec'!C4</f>
        <v>300.77</v>
      </c>
      <c r="U13" s="99">
        <f>'VA Dec'!K4</f>
        <v>-870.6879212019652</v>
      </c>
      <c r="V13" s="99">
        <f>'VA Jan'!C4</f>
        <v>118.60999999999999</v>
      </c>
      <c r="W13" s="99">
        <f>'VA Jan'!K4</f>
        <v>2204.3280965967933</v>
      </c>
      <c r="X13" s="99"/>
      <c r="Y13" s="99"/>
      <c r="Z13" s="99">
        <f>'VA Mar'!C26</f>
        <v>120.63</v>
      </c>
      <c r="AA13" s="99">
        <f>'VA Mar'!K26</f>
        <v>26073.275172605616</v>
      </c>
    </row>
    <row r="14" spans="1:27" ht="18.75" customHeight="1" x14ac:dyDescent="0.25">
      <c r="A14" s="95" t="s">
        <v>84</v>
      </c>
      <c r="B14" s="58">
        <f t="shared" si="13"/>
        <v>2.2093033428732596E-2</v>
      </c>
      <c r="C14" s="98">
        <f t="shared" si="14"/>
        <v>2278547.5205674376</v>
      </c>
      <c r="D14" s="99">
        <f>'VA Apr'!C29</f>
        <v>470.16999999999996</v>
      </c>
      <c r="E14" s="99">
        <f>'VA Apr'!K29</f>
        <v>-7709.1442076068743</v>
      </c>
      <c r="F14" s="99">
        <v>0</v>
      </c>
      <c r="G14" s="99">
        <v>0</v>
      </c>
      <c r="H14" s="99"/>
      <c r="I14" s="99"/>
      <c r="J14" s="99"/>
      <c r="K14" s="99"/>
      <c r="L14" s="99"/>
      <c r="M14" s="99"/>
      <c r="N14" s="99"/>
      <c r="O14" s="99"/>
      <c r="P14" s="99">
        <f>'VA Oct'!C27</f>
        <v>20.170000000000002</v>
      </c>
      <c r="Q14" s="99">
        <f>'VA Oct'!K27</f>
        <v>2951.2739196492766</v>
      </c>
      <c r="R14" s="99">
        <f>'VA Nov'!C35</f>
        <v>279.82000000000005</v>
      </c>
      <c r="S14" s="99">
        <f>'VA Nov'!K35</f>
        <v>307.41652024628104</v>
      </c>
      <c r="T14" s="99">
        <f>'VA Dec'!C26</f>
        <v>100.99</v>
      </c>
      <c r="U14" s="99">
        <f>'VA Dec'!K26</f>
        <v>7666.5884111830856</v>
      </c>
      <c r="V14" s="99">
        <f>'VA Jan'!C26</f>
        <v>138.67000000000002</v>
      </c>
      <c r="W14" s="99">
        <f>'VA Jan'!K26</f>
        <v>682.68479868528652</v>
      </c>
      <c r="X14" s="99">
        <f>'VA Feb'!C20</f>
        <v>58.58</v>
      </c>
      <c r="Y14" s="99">
        <f>'VA Feb'!K20</f>
        <v>33822.567466903114</v>
      </c>
      <c r="Z14" s="99">
        <f>'VA Mar'!C23</f>
        <v>59.03</v>
      </c>
      <c r="AA14" s="99">
        <f>'VA Mar'!K23</f>
        <v>49252.324243826326</v>
      </c>
    </row>
    <row r="15" spans="1:27" ht="18.75" customHeight="1" x14ac:dyDescent="0.25">
      <c r="A15" s="101" t="s">
        <v>80</v>
      </c>
      <c r="B15" s="58">
        <f t="shared" si="13"/>
        <v>0</v>
      </c>
      <c r="C15" s="98">
        <f t="shared" si="14"/>
        <v>0</v>
      </c>
      <c r="D15" s="99">
        <v>0</v>
      </c>
      <c r="E15" s="99"/>
      <c r="F15" s="99">
        <v>0</v>
      </c>
      <c r="G15" s="99">
        <v>0</v>
      </c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</row>
    <row r="16" spans="1:27" ht="18.75" customHeight="1" x14ac:dyDescent="0.25">
      <c r="A16" s="101" t="s">
        <v>71</v>
      </c>
      <c r="B16" s="58">
        <f t="shared" si="13"/>
        <v>0.22256370297008946</v>
      </c>
      <c r="C16" s="98">
        <f t="shared" si="14"/>
        <v>17549264.592870064</v>
      </c>
      <c r="D16" s="99">
        <v>0</v>
      </c>
      <c r="E16" s="99"/>
      <c r="F16" s="99">
        <f>'VA May'!C9</f>
        <v>208.53</v>
      </c>
      <c r="G16" s="99">
        <f>'VA May'!K9</f>
        <v>26305.695039925948</v>
      </c>
      <c r="H16" s="99">
        <f>'VA Jun'!C12</f>
        <v>202.46499999999997</v>
      </c>
      <c r="I16" s="99">
        <f>'VA Jun'!K12</f>
        <v>25134.396757969993</v>
      </c>
      <c r="J16" s="99">
        <f>'VA Jul'!C8</f>
        <v>100.00000000000001</v>
      </c>
      <c r="K16" s="99">
        <f>'VA Jul'!K8</f>
        <v>19482.865889000001</v>
      </c>
      <c r="L16" s="99">
        <f>'VA Aug'!C4</f>
        <v>200.07999999999998</v>
      </c>
      <c r="M16" s="99">
        <f>'VA Aug'!K4</f>
        <v>23835.770657049867</v>
      </c>
      <c r="N16" s="99"/>
      <c r="O16" s="99"/>
      <c r="P16" s="99"/>
      <c r="Q16" s="99"/>
      <c r="R16" s="99">
        <f>'VA Nov'!C12</f>
        <v>203.75</v>
      </c>
      <c r="S16" s="99">
        <f>'VA Nov'!K12</f>
        <v>-1331.7290157751745</v>
      </c>
      <c r="T16" s="99"/>
      <c r="U16" s="99"/>
      <c r="V16" s="99">
        <f>'VA Jan'!C10</f>
        <v>207.46</v>
      </c>
      <c r="W16" s="99">
        <f>'VA Jan'!K10</f>
        <v>2549.3809485856036</v>
      </c>
      <c r="X16" s="99"/>
      <c r="Y16" s="99"/>
      <c r="Z16" s="99"/>
      <c r="AA16" s="99"/>
    </row>
    <row r="17" spans="1:27" ht="18.75" customHeight="1" x14ac:dyDescent="0.25">
      <c r="A17" s="95" t="s">
        <v>81</v>
      </c>
      <c r="B17" s="58">
        <f t="shared" si="13"/>
        <v>7.1245587066128713E-2</v>
      </c>
      <c r="C17" s="98">
        <f>SUM(C10:C16)</f>
        <v>26958309.574174725</v>
      </c>
      <c r="D17" s="106">
        <f>SUMPRODUCT(D12:D16,E12:E16)</f>
        <v>11657512.043917419</v>
      </c>
      <c r="E17" s="106"/>
      <c r="F17" s="106">
        <f t="shared" ref="F17" si="15">SUMPRODUCT(F12:F16,G12:G16)</f>
        <v>16241350.3909942</v>
      </c>
      <c r="G17" s="106"/>
      <c r="H17" s="106">
        <f t="shared" ref="H17" si="16">SUMPRODUCT(H12:H16,I12:I16)</f>
        <v>14324464.695701022</v>
      </c>
      <c r="I17" s="106"/>
      <c r="J17" s="106">
        <f t="shared" ref="J17" si="17">SUMPRODUCT(J12:J16,K12:K16)</f>
        <v>2228259.9275874873</v>
      </c>
      <c r="K17" s="106"/>
      <c r="L17" s="106">
        <f t="shared" ref="L17" si="18">SUMPRODUCT(L12:L16,M12:M16)</f>
        <v>4769060.9930625372</v>
      </c>
      <c r="M17" s="106"/>
      <c r="N17" s="106">
        <f t="shared" ref="N17" si="19">SUMPRODUCT(N12:N16,O12:O16)</f>
        <v>0</v>
      </c>
      <c r="O17" s="106"/>
      <c r="P17" s="106">
        <f t="shared" ref="P17" si="20">SUMPRODUCT(P12:P16,Q12:Q16)</f>
        <v>2512329.4421182368</v>
      </c>
      <c r="Q17" s="106"/>
      <c r="R17" s="106">
        <f t="shared" ref="R17" si="21">SUMPRODUCT(R12:R16,S12:S16)</f>
        <v>879254.39932120824</v>
      </c>
      <c r="S17" s="106"/>
      <c r="T17" s="106">
        <f t="shared" ref="T17" si="22">SUMPRODUCT(T12:T16,U12:U16)</f>
        <v>512371.95758546476</v>
      </c>
      <c r="U17" s="106"/>
      <c r="V17" s="106">
        <f t="shared" ref="V17" si="23">SUMPRODUCT(V12:V16,W12:W16)</f>
        <v>885017.82816460368</v>
      </c>
      <c r="W17" s="106"/>
      <c r="X17" s="106">
        <f t="shared" ref="X17" si="24">SUMPRODUCT(X12:X16,Y12:Y16)</f>
        <v>1981326.0022111845</v>
      </c>
      <c r="Y17" s="106"/>
      <c r="Z17" s="106">
        <f t="shared" ref="Z17" si="25">SUMPRODUCT(Z12:Z16,AA12:AA16)</f>
        <v>6052583.8841844834</v>
      </c>
      <c r="AA17" s="106"/>
    </row>
    <row r="19" spans="1:27" ht="18.75" customHeight="1" x14ac:dyDescent="0.25">
      <c r="A19" s="95" t="s">
        <v>85</v>
      </c>
      <c r="B19" s="58">
        <f t="shared" si="13"/>
        <v>2.8799947505367882E-2</v>
      </c>
      <c r="C19" s="98">
        <f>C17+C9</f>
        <v>41365651.734640896</v>
      </c>
      <c r="D19" s="107">
        <f>D17+D9</f>
        <v>13760150.667924084</v>
      </c>
      <c r="E19" s="108"/>
      <c r="F19" s="107">
        <f t="shared" ref="F19" si="26">F17+F9</f>
        <v>20632554.187010869</v>
      </c>
      <c r="G19" s="108"/>
      <c r="H19" s="107">
        <f t="shared" ref="H19" si="27">H17+H9</f>
        <v>16271546.177301029</v>
      </c>
      <c r="I19" s="108"/>
      <c r="J19" s="107">
        <f t="shared" ref="J19" si="28">J17+J9</f>
        <v>1956531.2687954842</v>
      </c>
      <c r="K19" s="108"/>
      <c r="L19" s="107">
        <f t="shared" ref="L19" si="29">L17+L9</f>
        <v>4975065.8585775392</v>
      </c>
      <c r="M19" s="108"/>
      <c r="N19" s="107">
        <f t="shared" ref="N19" si="30">N17+N9</f>
        <v>788629.91152382037</v>
      </c>
      <c r="O19" s="108"/>
      <c r="P19" s="107">
        <f t="shared" ref="P19" si="31">P17+P9</f>
        <v>2916691.4079862395</v>
      </c>
      <c r="Q19" s="108"/>
      <c r="R19" s="107">
        <f t="shared" ref="R19" si="32">R17+R9</f>
        <v>1462045.330814545</v>
      </c>
      <c r="S19" s="108"/>
      <c r="T19" s="107">
        <f t="shared" ref="T19" si="33">T17+T9</f>
        <v>1519041.385692138</v>
      </c>
      <c r="U19" s="108"/>
      <c r="V19" s="107">
        <f t="shared" ref="V19" si="34">V17+V9</f>
        <v>2009981.5939446045</v>
      </c>
      <c r="W19" s="108"/>
      <c r="X19" s="107">
        <f t="shared" ref="X19" si="35">X17+X9</f>
        <v>2528445.871171183</v>
      </c>
      <c r="Y19" s="108"/>
      <c r="Z19" s="107">
        <f t="shared" ref="Z19" si="36">Z17+Z9</f>
        <v>7630190.0645724852</v>
      </c>
      <c r="AA19" s="108"/>
    </row>
    <row r="25" spans="1:27" ht="18.75" customHeight="1" x14ac:dyDescent="0.25">
      <c r="C25" s="94"/>
      <c r="D25" s="109">
        <v>42461</v>
      </c>
      <c r="E25" s="108"/>
      <c r="F25" s="109">
        <v>42491</v>
      </c>
      <c r="G25" s="108"/>
      <c r="H25" s="109">
        <v>42522</v>
      </c>
      <c r="I25" s="108"/>
      <c r="J25" s="109">
        <v>42552</v>
      </c>
      <c r="K25" s="108"/>
      <c r="L25" s="109">
        <v>42583</v>
      </c>
      <c r="M25" s="108"/>
      <c r="N25" s="109">
        <v>42614</v>
      </c>
      <c r="O25" s="108"/>
      <c r="P25" s="109">
        <v>42644</v>
      </c>
      <c r="Q25" s="108"/>
      <c r="R25" s="109">
        <v>42675</v>
      </c>
      <c r="S25" s="108"/>
      <c r="T25" s="109">
        <v>42705</v>
      </c>
      <c r="U25" s="108"/>
      <c r="V25" s="109">
        <v>42736</v>
      </c>
      <c r="W25" s="108"/>
      <c r="X25" s="109">
        <v>42767</v>
      </c>
      <c r="Y25" s="108"/>
      <c r="Z25" s="109">
        <v>42795</v>
      </c>
      <c r="AA25" s="108"/>
    </row>
    <row r="26" spans="1:27" ht="18.75" customHeight="1" x14ac:dyDescent="0.25">
      <c r="A26" s="95"/>
      <c r="B26" s="102" t="s">
        <v>87</v>
      </c>
      <c r="C26" s="96"/>
      <c r="D26" s="54" t="s">
        <v>73</v>
      </c>
      <c r="E26" s="54" t="s">
        <v>87</v>
      </c>
      <c r="F26" s="54" t="s">
        <v>73</v>
      </c>
      <c r="G26" s="54" t="s">
        <v>87</v>
      </c>
      <c r="H26" s="54" t="s">
        <v>73</v>
      </c>
      <c r="I26" s="54" t="s">
        <v>87</v>
      </c>
      <c r="J26" s="54" t="s">
        <v>73</v>
      </c>
      <c r="K26" s="54" t="s">
        <v>87</v>
      </c>
      <c r="L26" s="54" t="s">
        <v>73</v>
      </c>
      <c r="M26" s="54" t="s">
        <v>87</v>
      </c>
      <c r="N26" s="54" t="s">
        <v>73</v>
      </c>
      <c r="O26" s="54" t="s">
        <v>87</v>
      </c>
      <c r="P26" s="54" t="s">
        <v>73</v>
      </c>
      <c r="Q26" s="54" t="s">
        <v>87</v>
      </c>
      <c r="R26" s="54" t="s">
        <v>73</v>
      </c>
      <c r="S26" s="54" t="s">
        <v>87</v>
      </c>
      <c r="T26" s="54" t="s">
        <v>73</v>
      </c>
      <c r="U26" s="54" t="s">
        <v>87</v>
      </c>
      <c r="V26" s="54" t="s">
        <v>73</v>
      </c>
      <c r="W26" s="54" t="s">
        <v>87</v>
      </c>
      <c r="X26" s="54" t="s">
        <v>73</v>
      </c>
      <c r="Y26" s="54" t="s">
        <v>87</v>
      </c>
      <c r="Z26" s="54" t="s">
        <v>73</v>
      </c>
      <c r="AA26" s="54" t="s">
        <v>87</v>
      </c>
    </row>
    <row r="27" spans="1:27" ht="18.75" customHeight="1" x14ac:dyDescent="0.25">
      <c r="A27" s="95" t="s">
        <v>74</v>
      </c>
      <c r="B27" s="98">
        <f>IFERROR(ROUND(C27/(D27+F27+H27+J27+L27+N27+P27+R27+T27+V27+X27+Z27),-2),0)</f>
        <v>52300</v>
      </c>
      <c r="C27" s="98">
        <f>D27*E27+F27*G27+H27*I27+J27*K27+L27*M27+N27*O27+P27*Q27+R27*S27+T27*U27+V27*W27+X27*Y27+Z27*AA27</f>
        <v>230743916.9916555</v>
      </c>
      <c r="D27" s="99">
        <f t="shared" ref="D27" si="37">D3</f>
        <v>351.315</v>
      </c>
      <c r="E27" s="99">
        <f>'VA Apr'!D11</f>
        <v>48776.703419438396</v>
      </c>
      <c r="F27" s="99">
        <f t="shared" ref="F27" si="38">F3</f>
        <v>306.29000000000002</v>
      </c>
      <c r="G27" s="99">
        <f>'VA May'!D11</f>
        <v>50172.442529792017</v>
      </c>
      <c r="H27" s="99">
        <f>H3</f>
        <v>793.99</v>
      </c>
      <c r="I27" s="99">
        <f>'VA Jun'!D15</f>
        <v>49908.087096248062</v>
      </c>
      <c r="J27" s="99">
        <f>J3</f>
        <v>691.6400000000001</v>
      </c>
      <c r="K27" s="99">
        <f>'VA Jul'!D10</f>
        <v>49523.280727546124</v>
      </c>
      <c r="L27" s="99">
        <f>L3</f>
        <v>355.76</v>
      </c>
      <c r="M27" s="99">
        <f>'VA Aug'!D7</f>
        <v>50441.790943894754</v>
      </c>
      <c r="N27" s="99">
        <f>N3</f>
        <v>302.16999999999996</v>
      </c>
      <c r="O27" s="99">
        <f>'VA Sep'!D4</f>
        <v>55797.630889418309</v>
      </c>
      <c r="P27" s="99">
        <f>P3</f>
        <v>456.65999999999997</v>
      </c>
      <c r="Q27" s="99">
        <f>'VA Oct'!D12</f>
        <v>56314.418831077826</v>
      </c>
      <c r="R27" s="99">
        <f>R3</f>
        <v>455.17</v>
      </c>
      <c r="S27" s="99">
        <f>'VA Nov'!D15</f>
        <v>54571.69686095306</v>
      </c>
      <c r="T27" s="99">
        <f>T3</f>
        <v>216.55</v>
      </c>
      <c r="U27" s="99">
        <f>'VA Dec'!D11</f>
        <v>55363.791464788723</v>
      </c>
      <c r="V27" s="99">
        <f>V3</f>
        <v>147.69999999999999</v>
      </c>
      <c r="W27" s="99">
        <f>'VA Jan'!D14</f>
        <v>56068.579924847661</v>
      </c>
      <c r="X27" s="99">
        <f>X3</f>
        <v>134.26999999999998</v>
      </c>
      <c r="Y27" s="99">
        <f>'VA Feb'!D6</f>
        <v>56323.451493259861</v>
      </c>
      <c r="Z27" s="99">
        <f>Z3</f>
        <v>198.96</v>
      </c>
      <c r="AA27" s="99">
        <f>'VA Mar'!D6</f>
        <v>56128.9529915561</v>
      </c>
    </row>
    <row r="28" spans="1:27" ht="18.75" customHeight="1" x14ac:dyDescent="0.25">
      <c r="A28" s="95" t="s">
        <v>75</v>
      </c>
      <c r="B28" s="98">
        <f t="shared" ref="B28:B32" si="39">IFERROR(ROUND(C28/(D28+F28+H28+J28+L28+N28+P28+R28+T28+V28+X28+Z28),-2),0)</f>
        <v>0</v>
      </c>
      <c r="C28" s="98">
        <f t="shared" ref="C28:C32" si="40">D28*E28+F28*G28+H28*I28+J28*K28+L28*M28+N28*O28+P28*Q28+R28*S28+T28*U28+V28*W28+X28*Y28+Z28*AA28</f>
        <v>0</v>
      </c>
      <c r="D28" s="99">
        <f t="shared" ref="D28:F28" si="41">D4</f>
        <v>0</v>
      </c>
      <c r="E28" s="99">
        <v>0</v>
      </c>
      <c r="F28" s="99">
        <f t="shared" si="41"/>
        <v>0</v>
      </c>
      <c r="G28" s="99">
        <v>0</v>
      </c>
      <c r="H28" s="99">
        <f t="shared" ref="H28" si="42">H4</f>
        <v>0</v>
      </c>
      <c r="I28" s="99"/>
      <c r="J28" s="99">
        <f t="shared" ref="J28" si="43">J4</f>
        <v>0</v>
      </c>
      <c r="K28" s="99"/>
      <c r="L28" s="99">
        <f t="shared" ref="L28" si="44">L4</f>
        <v>0</v>
      </c>
      <c r="M28" s="99"/>
      <c r="N28" s="99">
        <f t="shared" ref="N28" si="45">N4</f>
        <v>0</v>
      </c>
      <c r="O28" s="99"/>
      <c r="P28" s="99">
        <f t="shared" ref="P28" si="46">P4</f>
        <v>0</v>
      </c>
      <c r="Q28" s="99"/>
      <c r="R28" s="99">
        <f t="shared" ref="R28" si="47">R4</f>
        <v>0</v>
      </c>
      <c r="S28" s="99"/>
      <c r="T28" s="99">
        <f t="shared" ref="T28" si="48">T4</f>
        <v>0</v>
      </c>
      <c r="U28" s="99"/>
      <c r="V28" s="99">
        <f t="shared" ref="V28" si="49">V4</f>
        <v>0</v>
      </c>
      <c r="W28" s="99"/>
      <c r="X28" s="99">
        <f t="shared" ref="X28" si="50">X4</f>
        <v>0</v>
      </c>
      <c r="Y28" s="99"/>
      <c r="Z28" s="99">
        <f t="shared" ref="Z28" si="51">Z4</f>
        <v>0</v>
      </c>
      <c r="AA28" s="99"/>
    </row>
    <row r="29" spans="1:27" ht="18.75" customHeight="1" x14ac:dyDescent="0.25">
      <c r="A29" s="95" t="s">
        <v>76</v>
      </c>
      <c r="B29" s="98">
        <f t="shared" si="39"/>
        <v>54600</v>
      </c>
      <c r="C29" s="98">
        <f t="shared" si="40"/>
        <v>627511223.47024536</v>
      </c>
      <c r="D29" s="99">
        <f t="shared" ref="D29" si="52">D5</f>
        <v>838.23</v>
      </c>
      <c r="E29" s="99">
        <f>'VA Apr'!D17</f>
        <v>47978.716054066303</v>
      </c>
      <c r="F29" s="99">
        <f t="shared" ref="F29" si="53">F5</f>
        <v>1306.23</v>
      </c>
      <c r="G29" s="99">
        <f>'VA May'!D14</f>
        <v>52627.867192760867</v>
      </c>
      <c r="H29" s="99">
        <f t="shared" ref="H29" si="54">H5</f>
        <v>1713.5400000000002</v>
      </c>
      <c r="I29" s="99">
        <f>'VA Jun'!D21</f>
        <v>53270.469453558129</v>
      </c>
      <c r="J29" s="99">
        <f t="shared" ref="J29" si="55">J5</f>
        <v>1178.1099999999999</v>
      </c>
      <c r="K29" s="99">
        <f>'VA Jul'!D17</f>
        <v>53396.103764928586</v>
      </c>
      <c r="L29" s="99">
        <f t="shared" ref="L29" si="56">L5</f>
        <v>349.11</v>
      </c>
      <c r="M29" s="99">
        <f>'VA Aug'!D12</f>
        <v>51804.57575506287</v>
      </c>
      <c r="N29" s="99">
        <f t="shared" ref="N29" si="57">N5</f>
        <v>755.67000000000007</v>
      </c>
      <c r="O29" s="99">
        <f>'VA Sep'!D9</f>
        <v>55082.938882508613</v>
      </c>
      <c r="P29" s="99">
        <f t="shared" ref="P29" si="58">P5</f>
        <v>475.09000000000003</v>
      </c>
      <c r="Q29" s="99">
        <f>'VA Oct'!D17</f>
        <v>57178.410271948465</v>
      </c>
      <c r="R29" s="99">
        <f t="shared" ref="R29" si="59">R5</f>
        <v>734.36</v>
      </c>
      <c r="S29" s="99">
        <f>'VA Nov'!D21</f>
        <v>56073.930746228019</v>
      </c>
      <c r="T29" s="99">
        <f t="shared" ref="T29" si="60">T5</f>
        <v>1137.4000000000001</v>
      </c>
      <c r="U29" s="99">
        <f>'VA Dec'!D15</f>
        <v>55895.474260242663</v>
      </c>
      <c r="V29" s="99">
        <f t="shared" ref="V29" si="61">V5</f>
        <v>592.34999999999991</v>
      </c>
      <c r="W29" s="99">
        <f>'VA Jan'!D17</f>
        <v>56754.849996117169</v>
      </c>
      <c r="X29" s="99">
        <f t="shared" ref="X29" si="62">X5</f>
        <v>854.17999999999984</v>
      </c>
      <c r="Y29" s="99">
        <f>'VA Feb'!D10</f>
        <v>58195.820278161496</v>
      </c>
      <c r="Z29" s="99">
        <f t="shared" ref="Z29" si="63">Z5</f>
        <v>1554.59</v>
      </c>
      <c r="AA29" s="99">
        <f>'VA Mar'!D12</f>
        <v>57510.369386783663</v>
      </c>
    </row>
    <row r="30" spans="1:27" ht="18.75" customHeight="1" x14ac:dyDescent="0.25">
      <c r="A30" s="95" t="s">
        <v>50</v>
      </c>
      <c r="B30" s="98">
        <f t="shared" si="39"/>
        <v>60000</v>
      </c>
      <c r="C30" s="98">
        <f t="shared" si="40"/>
        <v>11717608.16</v>
      </c>
      <c r="D30" s="99">
        <f t="shared" ref="D30" si="64">D6</f>
        <v>0</v>
      </c>
      <c r="E30" s="99">
        <v>0</v>
      </c>
      <c r="F30" s="99">
        <f t="shared" ref="F30" si="65">F6</f>
        <v>0</v>
      </c>
      <c r="G30" s="99">
        <v>0</v>
      </c>
      <c r="H30" s="99">
        <f t="shared" ref="H30" si="66">H6</f>
        <v>0</v>
      </c>
      <c r="I30" s="99"/>
      <c r="J30" s="99">
        <f t="shared" ref="J30" si="67">J6</f>
        <v>91.34</v>
      </c>
      <c r="K30" s="99">
        <f>'VA Jul'!D24</f>
        <v>58484</v>
      </c>
      <c r="L30" s="99">
        <f t="shared" ref="L30" si="68">L6</f>
        <v>0</v>
      </c>
      <c r="M30" s="99"/>
      <c r="N30" s="99">
        <f t="shared" ref="N30" si="69">N6</f>
        <v>0</v>
      </c>
      <c r="O30" s="99"/>
      <c r="P30" s="99">
        <f t="shared" ref="P30" si="70">P6</f>
        <v>0</v>
      </c>
      <c r="Q30" s="99"/>
      <c r="R30" s="99">
        <f t="shared" ref="R30" si="71">R6</f>
        <v>103.94000000000001</v>
      </c>
      <c r="S30" s="99">
        <f>'VA Nov'!D27</f>
        <v>61340</v>
      </c>
      <c r="T30" s="99">
        <f t="shared" ref="T30" si="72">T6</f>
        <v>0</v>
      </c>
      <c r="U30" s="99"/>
      <c r="V30" s="99">
        <f t="shared" ref="V30" si="73">V6</f>
        <v>0</v>
      </c>
      <c r="W30" s="99"/>
      <c r="X30" s="99">
        <f t="shared" ref="X30" si="74">X6</f>
        <v>0</v>
      </c>
      <c r="Y30" s="99"/>
      <c r="Z30" s="99">
        <f t="shared" ref="Z30" si="75">Z6</f>
        <v>0</v>
      </c>
      <c r="AA30" s="99"/>
    </row>
    <row r="31" spans="1:27" ht="18.75" customHeight="1" x14ac:dyDescent="0.25">
      <c r="A31" s="95" t="s">
        <v>77</v>
      </c>
      <c r="B31" s="98">
        <f t="shared" si="39"/>
        <v>54800</v>
      </c>
      <c r="C31" s="98">
        <f t="shared" si="40"/>
        <v>11851871.123527002</v>
      </c>
      <c r="D31" s="99">
        <f t="shared" ref="D31" si="76">D7</f>
        <v>0</v>
      </c>
      <c r="E31" s="99">
        <v>0</v>
      </c>
      <c r="F31" s="99">
        <f t="shared" ref="F31" si="77">F7</f>
        <v>0</v>
      </c>
      <c r="G31" s="99">
        <v>0</v>
      </c>
      <c r="H31" s="99">
        <f t="shared" ref="H31" si="78">H7</f>
        <v>0</v>
      </c>
      <c r="I31" s="99"/>
      <c r="J31" s="99">
        <f t="shared" ref="J31" si="79">J7</f>
        <v>196.2</v>
      </c>
      <c r="K31" s="99">
        <f>'VA Jul'!D32</f>
        <v>54800.004560000008</v>
      </c>
      <c r="L31" s="99">
        <f t="shared" ref="L31" si="80">L7</f>
        <v>20.059999999999999</v>
      </c>
      <c r="M31" s="99">
        <f>'VA Aug'!D23</f>
        <v>54840.988477318046</v>
      </c>
      <c r="N31" s="99">
        <f t="shared" ref="N31" si="81">N7</f>
        <v>0</v>
      </c>
      <c r="O31" s="99"/>
      <c r="P31" s="99">
        <f t="shared" ref="P31" si="82">P7</f>
        <v>0</v>
      </c>
      <c r="Q31" s="99"/>
      <c r="R31" s="99">
        <f t="shared" ref="R31" si="83">R7</f>
        <v>0</v>
      </c>
      <c r="S31" s="99"/>
      <c r="T31" s="99">
        <f t="shared" ref="T31" si="84">T7</f>
        <v>0</v>
      </c>
      <c r="U31" s="99"/>
      <c r="V31" s="99">
        <f t="shared" ref="V31" si="85">V7</f>
        <v>0</v>
      </c>
      <c r="W31" s="99"/>
      <c r="X31" s="99">
        <f t="shared" ref="X31" si="86">X7</f>
        <v>0</v>
      </c>
      <c r="Y31" s="99"/>
      <c r="Z31" s="99">
        <f t="shared" ref="Z31" si="87">Z7</f>
        <v>0</v>
      </c>
      <c r="AA31" s="99"/>
    </row>
    <row r="32" spans="1:27" ht="18.75" customHeight="1" x14ac:dyDescent="0.25">
      <c r="A32" s="95" t="s">
        <v>49</v>
      </c>
      <c r="B32" s="98">
        <f t="shared" si="39"/>
        <v>51500</v>
      </c>
      <c r="C32" s="98">
        <f t="shared" si="40"/>
        <v>176099674.857324</v>
      </c>
      <c r="D32" s="99">
        <f t="shared" ref="D32" si="88">D8</f>
        <v>511.98</v>
      </c>
      <c r="E32" s="99">
        <f>'VA Apr'!D23</f>
        <v>50626.878276221731</v>
      </c>
      <c r="F32" s="99">
        <f t="shared" ref="F32" si="89">F8</f>
        <v>81.8</v>
      </c>
      <c r="G32" s="99">
        <f>'VA May'!D20</f>
        <v>51187.041564792176</v>
      </c>
      <c r="H32" s="99">
        <f t="shared" ref="H32" si="90">H8</f>
        <v>109.58000000000001</v>
      </c>
      <c r="I32" s="99">
        <f>'VA Jun'!D27</f>
        <v>52406.47109326518</v>
      </c>
      <c r="J32" s="99">
        <f t="shared" ref="J32" si="91">J8</f>
        <v>222.23999999999998</v>
      </c>
      <c r="K32" s="99">
        <f>'VA Jul'!D27</f>
        <v>54500.027999999998</v>
      </c>
      <c r="L32" s="99">
        <f t="shared" ref="L32" si="92">L8</f>
        <v>170.48999999999998</v>
      </c>
      <c r="M32" s="99">
        <f>'VA Aug'!D18</f>
        <v>55157.895052964981</v>
      </c>
      <c r="N32" s="99">
        <f t="shared" ref="N32" si="93">N8</f>
        <v>226.41</v>
      </c>
      <c r="O32" s="99">
        <f>'VA Sep'!D15</f>
        <v>54801.705508413936</v>
      </c>
      <c r="P32" s="99">
        <f t="shared" ref="P32" si="94">P8</f>
        <v>169.19</v>
      </c>
      <c r="Q32" s="99">
        <f>'VA Oct'!D23</f>
        <v>53122.134003971863</v>
      </c>
      <c r="R32" s="99">
        <f t="shared" ref="R32" si="95">R8</f>
        <v>313.15000000000003</v>
      </c>
      <c r="S32" s="99">
        <f>'VA Nov'!D29</f>
        <v>49319.018964841125</v>
      </c>
      <c r="T32" s="99">
        <f t="shared" ref="T32" si="96">T8</f>
        <v>312.14</v>
      </c>
      <c r="U32" s="99">
        <f>'VA Dec'!D21</f>
        <v>48999.984000000011</v>
      </c>
      <c r="V32" s="99">
        <f t="shared" ref="V32" si="97">V8</f>
        <v>144.89000000000001</v>
      </c>
      <c r="W32" s="99">
        <f>'VA Jan'!D22</f>
        <v>52000.008000000009</v>
      </c>
      <c r="X32" s="99">
        <f t="shared" ref="X32" si="98">X8</f>
        <v>436.82999999999993</v>
      </c>
      <c r="Y32" s="99">
        <f>'VA Feb'!D15</f>
        <v>51230.022672069215</v>
      </c>
      <c r="Z32" s="99">
        <f t="shared" ref="Z32" si="99">Z8</f>
        <v>719.74</v>
      </c>
      <c r="AA32" s="99">
        <f>'VA Mar'!D18</f>
        <v>50971.716329385628</v>
      </c>
    </row>
    <row r="33" spans="1:27" ht="18.75" customHeight="1" x14ac:dyDescent="0.25">
      <c r="A33" s="95" t="s">
        <v>78</v>
      </c>
      <c r="B33" s="98"/>
      <c r="C33" s="98">
        <f>SUM(C27:C32)</f>
        <v>1057924294.6027519</v>
      </c>
      <c r="D33" s="106">
        <f>SUMPRODUCT(D27:D32,E27:E32)</f>
        <v>83273135.85966</v>
      </c>
      <c r="E33" s="106"/>
      <c r="F33" s="106">
        <f t="shared" ref="F33" si="100">SUMPRODUCT(F27:F32,G27:G32)</f>
        <v>88298516.385650039</v>
      </c>
      <c r="G33" s="106"/>
      <c r="H33" s="106">
        <f t="shared" ref="H33" si="101">SUMPRODUCT(H27:H32,I27:I32)</f>
        <v>136650303.4034</v>
      </c>
      <c r="I33" s="106"/>
      <c r="J33" s="106">
        <f t="shared" ref="J33" si="102">SUMPRODUCT(J27:J32,K27:K32)</f>
        <v>125364541.36629203</v>
      </c>
      <c r="K33" s="106"/>
      <c r="L33" s="106">
        <f t="shared" ref="L33" si="103">SUMPRODUCT(L27:L32,M27:M32)</f>
        <v>46534646.744484998</v>
      </c>
      <c r="M33" s="106"/>
      <c r="N33" s="106">
        <f t="shared" ref="N33" si="104">SUMPRODUCT(N27:N32,O27:O32)</f>
        <v>70892548.69536081</v>
      </c>
      <c r="O33" s="106"/>
      <c r="P33" s="106">
        <f t="shared" ref="P33" si="105">SUMPRODUCT(P27:P32,Q27:Q32)</f>
        <v>61869167.291631997</v>
      </c>
      <c r="Q33" s="106"/>
      <c r="R33" s="106">
        <f t="shared" ref="R33" si="106">SUMPRODUCT(R27:R32,S27:S32)</f>
        <v>87837781.431840003</v>
      </c>
      <c r="S33" s="106"/>
      <c r="T33" s="106">
        <f t="shared" ref="T33" si="107">SUMPRODUCT(T27:T32,U27:U32)</f>
        <v>90859396.471060008</v>
      </c>
      <c r="U33" s="106"/>
      <c r="V33" s="106">
        <f t="shared" ref="V33" si="108">SUMPRODUCT(V27:V32,W27:W32)</f>
        <v>49434345.809220001</v>
      </c>
      <c r="W33" s="106"/>
      <c r="X33" s="106">
        <f t="shared" ref="X33" si="109">SUMPRODUCT(X27:X32,Y27:Y32)</f>
        <v>79651066.401039973</v>
      </c>
      <c r="Y33" s="106"/>
      <c r="Z33" s="106">
        <f t="shared" ref="Z33" si="110">SUMPRODUCT(Z27:Z32,AA27:AA32)</f>
        <v>137258844.74311203</v>
      </c>
      <c r="AA33" s="106"/>
    </row>
    <row r="34" spans="1:27" ht="18.75" customHeight="1" x14ac:dyDescent="0.25">
      <c r="B34" s="103"/>
    </row>
    <row r="35" spans="1:27" ht="18.75" customHeight="1" x14ac:dyDescent="0.25">
      <c r="A35" s="100"/>
      <c r="B35" s="102" t="s">
        <v>87</v>
      </c>
      <c r="C35" s="100"/>
      <c r="D35" s="54" t="s">
        <v>73</v>
      </c>
      <c r="E35" s="54" t="s">
        <v>87</v>
      </c>
      <c r="F35" s="54" t="s">
        <v>73</v>
      </c>
      <c r="G35" s="54" t="s">
        <v>87</v>
      </c>
      <c r="H35" s="54" t="s">
        <v>73</v>
      </c>
      <c r="I35" s="54" t="s">
        <v>87</v>
      </c>
      <c r="J35" s="54" t="s">
        <v>73</v>
      </c>
      <c r="K35" s="54" t="s">
        <v>87</v>
      </c>
      <c r="L35" s="54" t="s">
        <v>73</v>
      </c>
      <c r="M35" s="54" t="s">
        <v>87</v>
      </c>
      <c r="N35" s="54" t="s">
        <v>73</v>
      </c>
      <c r="O35" s="54" t="s">
        <v>87</v>
      </c>
      <c r="P35" s="54" t="s">
        <v>73</v>
      </c>
      <c r="Q35" s="54" t="s">
        <v>87</v>
      </c>
      <c r="R35" s="54" t="s">
        <v>73</v>
      </c>
      <c r="S35" s="54" t="s">
        <v>87</v>
      </c>
      <c r="T35" s="54" t="s">
        <v>73</v>
      </c>
      <c r="U35" s="54" t="s">
        <v>87</v>
      </c>
      <c r="V35" s="54" t="s">
        <v>73</v>
      </c>
      <c r="W35" s="54" t="s">
        <v>87</v>
      </c>
      <c r="X35" s="54" t="s">
        <v>73</v>
      </c>
      <c r="Y35" s="54" t="s">
        <v>87</v>
      </c>
      <c r="Z35" s="54" t="s">
        <v>73</v>
      </c>
      <c r="AA35" s="54" t="s">
        <v>87</v>
      </c>
    </row>
    <row r="36" spans="1:27" ht="18.75" customHeight="1" x14ac:dyDescent="0.25">
      <c r="A36" s="95" t="s">
        <v>79</v>
      </c>
      <c r="B36" s="98"/>
      <c r="C36" s="98"/>
      <c r="D36" s="99">
        <f>D12</f>
        <v>858.88999999999987</v>
      </c>
      <c r="E36" s="99">
        <f>'VA Apr'!D7</f>
        <v>59100.28322707217</v>
      </c>
      <c r="F36" s="99">
        <f>F12</f>
        <v>773.16000000000008</v>
      </c>
      <c r="G36" s="99">
        <f>'VA May'!D4</f>
        <v>75847.45478296862</v>
      </c>
      <c r="H36" s="99">
        <f>H12</f>
        <v>622.81999999999994</v>
      </c>
      <c r="I36" s="99">
        <f>'VA Jun'!D8</f>
        <v>79724.171144150809</v>
      </c>
      <c r="J36" s="99">
        <f>J12</f>
        <v>0</v>
      </c>
      <c r="K36" s="99"/>
      <c r="L36" s="99">
        <f>L12</f>
        <v>0</v>
      </c>
      <c r="M36" s="99"/>
      <c r="N36" s="99">
        <f>N12</f>
        <v>0</v>
      </c>
      <c r="O36" s="99"/>
      <c r="P36" s="99">
        <f>P12</f>
        <v>0</v>
      </c>
      <c r="Q36" s="99"/>
      <c r="R36" s="99">
        <f>R12</f>
        <v>0</v>
      </c>
      <c r="S36" s="99"/>
      <c r="T36" s="99">
        <f>T12</f>
        <v>0</v>
      </c>
      <c r="U36" s="99"/>
      <c r="V36" s="99">
        <f>V12</f>
        <v>0</v>
      </c>
      <c r="W36" s="99"/>
      <c r="X36" s="99">
        <f>X12</f>
        <v>0</v>
      </c>
      <c r="Y36" s="99"/>
      <c r="Z36" s="99">
        <f>Z12</f>
        <v>0</v>
      </c>
      <c r="AA36" s="99"/>
    </row>
    <row r="37" spans="1:27" ht="18.75" customHeight="1" x14ac:dyDescent="0.25">
      <c r="A37" s="95" t="s">
        <v>83</v>
      </c>
      <c r="B37" s="98">
        <f t="shared" ref="B37:B40" si="111">IFERROR(ROUND(C37/(D37+F37+H37+J37+L37+N37+P37+R37+T37+V37+X37+Z37),-2),0)</f>
        <v>96500</v>
      </c>
      <c r="C37" s="98">
        <f t="shared" ref="C37:C40" si="112">D37*E37+F37*G37+H37*I37+J37*K37+L37*M37+N37*O37+P37*Q37+R37*S37+T37*U37+V37*W37+X37*Y37+Z37*AA37</f>
        <v>196400942.63867906</v>
      </c>
      <c r="D37" s="99">
        <f t="shared" ref="D37:F40" si="113">D13</f>
        <v>42.39</v>
      </c>
      <c r="E37" s="99">
        <f>'VA Apr'!D4</f>
        <v>82246.570370370362</v>
      </c>
      <c r="F37" s="99">
        <f t="shared" si="113"/>
        <v>0</v>
      </c>
      <c r="G37" s="99">
        <v>0</v>
      </c>
      <c r="H37" s="99">
        <f t="shared" ref="H37" si="114">H13</f>
        <v>345.97</v>
      </c>
      <c r="I37" s="99">
        <f>'VA Jun'!D4</f>
        <v>84209.383723675463</v>
      </c>
      <c r="J37" s="99">
        <f t="shared" ref="J37" si="115">J13</f>
        <v>136.88</v>
      </c>
      <c r="K37" s="99">
        <f>'VA Jul'!D4</f>
        <v>83526.954476037397</v>
      </c>
      <c r="L37" s="99">
        <f t="shared" ref="L37" si="116">L13</f>
        <v>0</v>
      </c>
      <c r="M37" s="99"/>
      <c r="N37" s="99">
        <f t="shared" ref="N37" si="117">N13</f>
        <v>0</v>
      </c>
      <c r="O37" s="99"/>
      <c r="P37" s="99">
        <f t="shared" ref="P37" si="118">P13</f>
        <v>484.38</v>
      </c>
      <c r="Q37" s="99">
        <f>'VA Oct'!D4</f>
        <v>96389.330419633334</v>
      </c>
      <c r="R37" s="99">
        <f t="shared" ref="R37" si="119">R13</f>
        <v>486.52</v>
      </c>
      <c r="S37" s="99">
        <f>'VA Nov'!D4</f>
        <v>96959.39109142471</v>
      </c>
      <c r="T37" s="99">
        <f t="shared" ref="T37" si="120">T13</f>
        <v>300.77</v>
      </c>
      <c r="U37" s="99">
        <f>'VA Dec'!D4</f>
        <v>107892.0628973737</v>
      </c>
      <c r="V37" s="99">
        <f t="shared" ref="V37" si="121">V13</f>
        <v>118.60999999999999</v>
      </c>
      <c r="W37" s="99">
        <f>'VA Jan'!D4</f>
        <v>107578.37708903129</v>
      </c>
      <c r="X37" s="99">
        <f t="shared" ref="X37" si="122">X13</f>
        <v>0</v>
      </c>
      <c r="Y37" s="99"/>
      <c r="Z37" s="99">
        <f t="shared" ref="Z37" si="123">Z13</f>
        <v>120.63</v>
      </c>
      <c r="AA37" s="99">
        <f>'VA Mar'!D26</f>
        <v>110048.13577455028</v>
      </c>
    </row>
    <row r="38" spans="1:27" ht="18.75" customHeight="1" x14ac:dyDescent="0.25">
      <c r="A38" s="95" t="s">
        <v>84</v>
      </c>
      <c r="B38" s="98">
        <f t="shared" si="111"/>
        <v>91500</v>
      </c>
      <c r="C38" s="98">
        <f t="shared" si="112"/>
        <v>103134208.70509</v>
      </c>
      <c r="D38" s="99">
        <f t="shared" si="113"/>
        <v>470.16999999999996</v>
      </c>
      <c r="E38" s="99">
        <f>'VA Apr'!D29</f>
        <v>83907.54250156325</v>
      </c>
      <c r="F38" s="99">
        <f t="shared" si="113"/>
        <v>0</v>
      </c>
      <c r="G38" s="99">
        <v>0</v>
      </c>
      <c r="H38" s="99">
        <f t="shared" ref="H38" si="124">H14</f>
        <v>0</v>
      </c>
      <c r="I38" s="99"/>
      <c r="J38" s="99">
        <f t="shared" ref="J38" si="125">J14</f>
        <v>0</v>
      </c>
      <c r="K38" s="99"/>
      <c r="L38" s="99">
        <f t="shared" ref="L38" si="126">L14</f>
        <v>0</v>
      </c>
      <c r="M38" s="99"/>
      <c r="N38" s="99">
        <f t="shared" ref="N38" si="127">N14</f>
        <v>0</v>
      </c>
      <c r="O38" s="99"/>
      <c r="P38" s="99">
        <f t="shared" ref="P38" si="128">P14</f>
        <v>20.170000000000002</v>
      </c>
      <c r="Q38" s="99">
        <f>'VA Oct'!D27</f>
        <v>91999.919999999984</v>
      </c>
      <c r="R38" s="99">
        <f t="shared" ref="R38" si="129">R14</f>
        <v>279.82000000000005</v>
      </c>
      <c r="S38" s="99">
        <f>'VA Nov'!D35</f>
        <v>92887.015224787348</v>
      </c>
      <c r="T38" s="99">
        <f t="shared" ref="T38" si="130">T14</f>
        <v>100.99</v>
      </c>
      <c r="U38" s="99">
        <f>'VA Dec'!D26</f>
        <v>93999.936000000002</v>
      </c>
      <c r="V38" s="99">
        <f t="shared" ref="V38" si="131">V14</f>
        <v>138.67000000000002</v>
      </c>
      <c r="W38" s="99">
        <f>'VA Jan'!D26</f>
        <v>112423.80213377085</v>
      </c>
      <c r="X38" s="99">
        <f t="shared" ref="X38" si="132">X14</f>
        <v>58.58</v>
      </c>
      <c r="Y38" s="99">
        <f>'VA Feb'!D20</f>
        <v>92078.525093888704</v>
      </c>
      <c r="Z38" s="99">
        <f t="shared" ref="Z38" si="133">Z14</f>
        <v>59.03</v>
      </c>
      <c r="AA38" s="99">
        <f>'VA Mar'!D23</f>
        <v>90789.332237845156</v>
      </c>
    </row>
    <row r="39" spans="1:27" ht="18.75" customHeight="1" x14ac:dyDescent="0.25">
      <c r="A39" s="101" t="s">
        <v>80</v>
      </c>
      <c r="B39" s="98">
        <f t="shared" si="111"/>
        <v>0</v>
      </c>
      <c r="C39" s="98">
        <f t="shared" si="112"/>
        <v>0</v>
      </c>
      <c r="D39" s="99">
        <f t="shared" si="113"/>
        <v>0</v>
      </c>
      <c r="E39" s="99">
        <v>0</v>
      </c>
      <c r="F39" s="99">
        <f t="shared" si="113"/>
        <v>0</v>
      </c>
      <c r="G39" s="99">
        <v>0</v>
      </c>
      <c r="H39" s="99">
        <f t="shared" ref="H39" si="134">H15</f>
        <v>0</v>
      </c>
      <c r="I39" s="99"/>
      <c r="J39" s="99">
        <f t="shared" ref="J39" si="135">J15</f>
        <v>0</v>
      </c>
      <c r="K39" s="99"/>
      <c r="L39" s="99">
        <f t="shared" ref="L39" si="136">L15</f>
        <v>0</v>
      </c>
      <c r="M39" s="99"/>
      <c r="N39" s="99">
        <f t="shared" ref="N39" si="137">N15</f>
        <v>0</v>
      </c>
      <c r="O39" s="99"/>
      <c r="P39" s="99">
        <f t="shared" ref="P39" si="138">P15</f>
        <v>0</v>
      </c>
      <c r="Q39" s="99"/>
      <c r="R39" s="99">
        <f t="shared" ref="R39" si="139">R15</f>
        <v>0</v>
      </c>
      <c r="S39" s="99"/>
      <c r="T39" s="99">
        <f t="shared" ref="T39" si="140">T15</f>
        <v>0</v>
      </c>
      <c r="U39" s="99"/>
      <c r="V39" s="99">
        <f t="shared" ref="V39" si="141">V15</f>
        <v>0</v>
      </c>
      <c r="W39" s="99"/>
      <c r="X39" s="99">
        <f t="shared" ref="X39" si="142">X15</f>
        <v>0</v>
      </c>
      <c r="Y39" s="99"/>
      <c r="Z39" s="99">
        <f t="shared" ref="Z39" si="143">Z15</f>
        <v>0</v>
      </c>
      <c r="AA39" s="99"/>
    </row>
    <row r="40" spans="1:27" ht="18.75" customHeight="1" x14ac:dyDescent="0.25">
      <c r="A40" s="101" t="s">
        <v>71</v>
      </c>
      <c r="B40" s="98">
        <f t="shared" si="111"/>
        <v>70300</v>
      </c>
      <c r="C40" s="98">
        <f t="shared" si="112"/>
        <v>78850523.956408679</v>
      </c>
      <c r="D40" s="99">
        <f t="shared" si="113"/>
        <v>0</v>
      </c>
      <c r="E40" s="99">
        <v>0</v>
      </c>
      <c r="F40" s="99">
        <f t="shared" si="113"/>
        <v>208.53</v>
      </c>
      <c r="G40" s="99">
        <f>'VA May'!D9</f>
        <v>49826.124778824051</v>
      </c>
      <c r="H40" s="99">
        <f t="shared" ref="H40" si="144">H16</f>
        <v>202.46499999999997</v>
      </c>
      <c r="I40" s="99">
        <f>'VA Jun'!D12</f>
        <v>59034.344785485744</v>
      </c>
      <c r="J40" s="99">
        <f t="shared" ref="J40" si="145">J16</f>
        <v>100.00000000000001</v>
      </c>
      <c r="K40" s="99">
        <f>'VA Jul'!D8</f>
        <v>59705.223122999996</v>
      </c>
      <c r="L40" s="99">
        <f t="shared" ref="L40" si="146">L16</f>
        <v>200.07999999999998</v>
      </c>
      <c r="M40" s="99">
        <f>'VA Aug'!D4</f>
        <v>61466.596618724521</v>
      </c>
      <c r="N40" s="99">
        <f t="shared" ref="N40" si="147">N16</f>
        <v>0</v>
      </c>
      <c r="O40" s="99"/>
      <c r="P40" s="99">
        <f t="shared" ref="P40" si="148">P16</f>
        <v>0</v>
      </c>
      <c r="Q40" s="99"/>
      <c r="R40" s="99">
        <f t="shared" ref="R40" si="149">R16</f>
        <v>203.75</v>
      </c>
      <c r="S40" s="99">
        <f>'VA Nov'!D12</f>
        <v>93196.362003671413</v>
      </c>
      <c r="T40" s="99">
        <f t="shared" ref="T40" si="150">T16</f>
        <v>0</v>
      </c>
      <c r="U40" s="99"/>
      <c r="V40" s="99">
        <f t="shared" ref="V40" si="151">V16</f>
        <v>207.46</v>
      </c>
      <c r="W40" s="99">
        <f>'VA Jan'!D10</f>
        <v>92790.78288472323</v>
      </c>
      <c r="X40" s="99">
        <f t="shared" ref="X40" si="152">X16</f>
        <v>0</v>
      </c>
      <c r="Y40" s="99"/>
      <c r="Z40" s="99">
        <f t="shared" ref="Z40" si="153">Z16</f>
        <v>0</v>
      </c>
      <c r="AA40" s="99"/>
    </row>
    <row r="41" spans="1:27" ht="18.75" customHeight="1" x14ac:dyDescent="0.25">
      <c r="A41" s="95" t="s">
        <v>81</v>
      </c>
      <c r="B41" s="98"/>
      <c r="C41" s="98">
        <f>SUM(C34:C40)</f>
        <v>378385675.30017775</v>
      </c>
      <c r="D41" s="106">
        <f>SUMPRODUCT(D36:D40,E36:E40)</f>
        <v>93697883.636859998</v>
      </c>
      <c r="E41" s="106"/>
      <c r="F41" s="106">
        <f t="shared" ref="F41" si="154">SUMPRODUCT(F36:F40,G36:G40)</f>
        <v>69032459.940128207</v>
      </c>
      <c r="G41" s="106"/>
      <c r="H41" s="106">
        <f t="shared" ref="H41" si="155">SUMPRODUCT(H36:H40,I36:I40)</f>
        <v>90740117.375873372</v>
      </c>
      <c r="I41" s="106"/>
      <c r="J41" s="106">
        <f t="shared" ref="J41" si="156">SUMPRODUCT(J36:J40,K36:K40)</f>
        <v>17403691.840980001</v>
      </c>
      <c r="K41" s="106"/>
      <c r="L41" s="106">
        <f t="shared" ref="L41" si="157">SUMPRODUCT(L36:L40,M36:M40)</f>
        <v>12298236.651474401</v>
      </c>
      <c r="M41" s="106"/>
      <c r="N41" s="106">
        <f t="shared" ref="N41" si="158">SUMPRODUCT(N36:N40,O36:O40)</f>
        <v>0</v>
      </c>
      <c r="O41" s="106"/>
      <c r="P41" s="106">
        <f t="shared" ref="P41" si="159">SUMPRODUCT(P36:P40,Q36:Q40)</f>
        <v>48544702.255061992</v>
      </c>
      <c r="Q41" s="106"/>
      <c r="R41" s="106">
        <f t="shared" ref="R41" si="160">SUMPRODUCT(R36:R40,S36:S40)</f>
        <v>92153086.312247992</v>
      </c>
      <c r="S41" s="106"/>
      <c r="T41" s="106">
        <f t="shared" ref="T41" si="161">SUMPRODUCT(T36:T40,U36:U40)</f>
        <v>41943749.294283092</v>
      </c>
      <c r="U41" s="106"/>
      <c r="V41" s="106">
        <f t="shared" ref="V41" si="162">SUMPRODUCT(V36:V40,W36:W40)</f>
        <v>47600055.765684687</v>
      </c>
      <c r="W41" s="106"/>
      <c r="X41" s="106">
        <f t="shared" ref="X41" si="163">SUMPRODUCT(X36:X40,Y36:Y40)</f>
        <v>5393960</v>
      </c>
      <c r="Y41" s="106"/>
      <c r="Z41" s="106">
        <f t="shared" ref="Z41" si="164">SUMPRODUCT(Z36:Z40,AA36:AA40)</f>
        <v>18634400.900483999</v>
      </c>
      <c r="AA41" s="106"/>
    </row>
    <row r="43" spans="1:27" ht="18.75" customHeight="1" x14ac:dyDescent="0.25">
      <c r="A43" s="95" t="s">
        <v>86</v>
      </c>
      <c r="B43" s="95"/>
      <c r="C43" s="98">
        <f>C41+C33</f>
        <v>1436309969.9029295</v>
      </c>
      <c r="D43" s="107">
        <f>D41+D33</f>
        <v>176971019.49651998</v>
      </c>
      <c r="E43" s="108"/>
      <c r="F43" s="107">
        <f t="shared" ref="F43" si="165">F41+F33</f>
        <v>157330976.32577825</v>
      </c>
      <c r="G43" s="108"/>
      <c r="H43" s="107">
        <f t="shared" ref="H43" si="166">H41+H33</f>
        <v>227390420.77927339</v>
      </c>
      <c r="I43" s="108"/>
      <c r="J43" s="107">
        <f t="shared" ref="J43" si="167">J41+J33</f>
        <v>142768233.20727202</v>
      </c>
      <c r="K43" s="108"/>
      <c r="L43" s="107">
        <f t="shared" ref="L43" si="168">L41+L33</f>
        <v>58832883.3959594</v>
      </c>
      <c r="M43" s="108"/>
      <c r="N43" s="107">
        <f t="shared" ref="N43" si="169">N41+N33</f>
        <v>70892548.69536081</v>
      </c>
      <c r="O43" s="108"/>
      <c r="P43" s="107">
        <f t="shared" ref="P43" si="170">P41+P33</f>
        <v>110413869.54669398</v>
      </c>
      <c r="Q43" s="108"/>
      <c r="R43" s="107">
        <f t="shared" ref="R43" si="171">R41+R33</f>
        <v>179990867.74408799</v>
      </c>
      <c r="S43" s="108"/>
      <c r="T43" s="107">
        <f t="shared" ref="T43" si="172">T41+T33</f>
        <v>132803145.7653431</v>
      </c>
      <c r="U43" s="108"/>
      <c r="V43" s="107">
        <f t="shared" ref="V43" si="173">V41+V33</f>
        <v>97034401.57490468</v>
      </c>
      <c r="W43" s="108"/>
      <c r="X43" s="107">
        <f t="shared" ref="X43" si="174">X41+X33</f>
        <v>85045026.401039973</v>
      </c>
      <c r="Y43" s="108"/>
      <c r="Z43" s="107">
        <f t="shared" ref="Z43" si="175">Z41+Z33</f>
        <v>155893245.64359602</v>
      </c>
      <c r="AA43" s="108"/>
    </row>
  </sheetData>
  <mergeCells count="96">
    <mergeCell ref="N17:O17"/>
    <mergeCell ref="P17:Q17"/>
    <mergeCell ref="R17:S17"/>
    <mergeCell ref="T17:U17"/>
    <mergeCell ref="V17:W17"/>
    <mergeCell ref="T9:U9"/>
    <mergeCell ref="V9:W9"/>
    <mergeCell ref="X9:Y9"/>
    <mergeCell ref="Z9:AA9"/>
    <mergeCell ref="Z17:AA17"/>
    <mergeCell ref="X17:Y17"/>
    <mergeCell ref="V19:W19"/>
    <mergeCell ref="X19:Y19"/>
    <mergeCell ref="Z19:AA19"/>
    <mergeCell ref="D9:E9"/>
    <mergeCell ref="F9:G9"/>
    <mergeCell ref="H9:I9"/>
    <mergeCell ref="J9:K9"/>
    <mergeCell ref="L9:M9"/>
    <mergeCell ref="N9:O9"/>
    <mergeCell ref="P9:Q9"/>
    <mergeCell ref="D17:E17"/>
    <mergeCell ref="F17:G17"/>
    <mergeCell ref="H17:I17"/>
    <mergeCell ref="J17:K17"/>
    <mergeCell ref="L17:M17"/>
    <mergeCell ref="R9:S9"/>
    <mergeCell ref="Z1:AA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N1:O1"/>
    <mergeCell ref="P1:Q1"/>
    <mergeCell ref="R1:S1"/>
    <mergeCell ref="T1:U1"/>
    <mergeCell ref="V1:W1"/>
    <mergeCell ref="X1:Y1"/>
    <mergeCell ref="D1:E1"/>
    <mergeCell ref="F1:G1"/>
    <mergeCell ref="H1:I1"/>
    <mergeCell ref="J1:K1"/>
    <mergeCell ref="L1:M1"/>
    <mergeCell ref="R25:S25"/>
    <mergeCell ref="T25:U25"/>
    <mergeCell ref="V25:W25"/>
    <mergeCell ref="D25:E25"/>
    <mergeCell ref="F25:G25"/>
    <mergeCell ref="H25:I25"/>
    <mergeCell ref="J25:K25"/>
    <mergeCell ref="L25:M25"/>
    <mergeCell ref="X25:Y25"/>
    <mergeCell ref="Z25:AA25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N25:O25"/>
    <mergeCell ref="P25:Q25"/>
    <mergeCell ref="R41:S41"/>
    <mergeCell ref="T41:U41"/>
    <mergeCell ref="V41:W41"/>
    <mergeCell ref="D41:E41"/>
    <mergeCell ref="F41:G41"/>
    <mergeCell ref="H41:I41"/>
    <mergeCell ref="J41:K41"/>
    <mergeCell ref="L41:M41"/>
    <mergeCell ref="X41:Y41"/>
    <mergeCell ref="Z41:AA41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N41:O41"/>
    <mergeCell ref="P41:Q41"/>
  </mergeCells>
  <conditionalFormatting sqref="C1:D1 C2 H1 L1 P1 T1 X1">
    <cfRule type="cellIs" dxfId="223" priority="169" operator="lessThan">
      <formula>0</formula>
    </cfRule>
    <cfRule type="cellIs" dxfId="222" priority="170" operator="lessThan">
      <formula>0</formula>
    </cfRule>
  </conditionalFormatting>
  <conditionalFormatting sqref="A2:B2 D2 A3:D3 C9 C4:D8 A4:B9">
    <cfRule type="cellIs" dxfId="221" priority="179" operator="lessThan">
      <formula>0</formula>
    </cfRule>
    <cfRule type="cellIs" dxfId="220" priority="180" operator="lessThan">
      <formula>0</formula>
    </cfRule>
  </conditionalFormatting>
  <conditionalFormatting sqref="D12:E16 A12:A17">
    <cfRule type="cellIs" dxfId="219" priority="177" operator="lessThan">
      <formula>0</formula>
    </cfRule>
    <cfRule type="cellIs" dxfId="218" priority="178" operator="lessThan">
      <formula>0</formula>
    </cfRule>
  </conditionalFormatting>
  <conditionalFormatting sqref="F1 J1 N1 R1 V1 Z1">
    <cfRule type="cellIs" dxfId="217" priority="175" operator="lessThan">
      <formula>0</formula>
    </cfRule>
    <cfRule type="cellIs" dxfId="216" priority="176" operator="lessThan">
      <formula>0</formula>
    </cfRule>
  </conditionalFormatting>
  <conditionalFormatting sqref="E2:E8">
    <cfRule type="cellIs" dxfId="215" priority="173" operator="lessThan">
      <formula>0</formula>
    </cfRule>
    <cfRule type="cellIs" dxfId="214" priority="174" operator="lessThan">
      <formula>0</formula>
    </cfRule>
  </conditionalFormatting>
  <conditionalFormatting sqref="F3:G8 F2">
    <cfRule type="cellIs" dxfId="213" priority="171" operator="lessThan">
      <formula>0</formula>
    </cfRule>
    <cfRule type="cellIs" dxfId="212" priority="172" operator="lessThan">
      <formula>0</formula>
    </cfRule>
  </conditionalFormatting>
  <conditionalFormatting sqref="G2">
    <cfRule type="cellIs" dxfId="211" priority="167" operator="lessThan">
      <formula>0</formula>
    </cfRule>
    <cfRule type="cellIs" dxfId="210" priority="168" operator="lessThan">
      <formula>0</formula>
    </cfRule>
  </conditionalFormatting>
  <conditionalFormatting sqref="C12:C16">
    <cfRule type="cellIs" dxfId="209" priority="165" operator="lessThan">
      <formula>0</formula>
    </cfRule>
    <cfRule type="cellIs" dxfId="208" priority="166" operator="lessThan">
      <formula>0</formula>
    </cfRule>
  </conditionalFormatting>
  <conditionalFormatting sqref="C17">
    <cfRule type="cellIs" dxfId="207" priority="163" operator="lessThan">
      <formula>0</formula>
    </cfRule>
    <cfRule type="cellIs" dxfId="206" priority="164" operator="lessThan">
      <formula>0</formula>
    </cfRule>
  </conditionalFormatting>
  <conditionalFormatting sqref="H2 J2 L2 N2 P2 R2 T2 V2 X2 Z2">
    <cfRule type="cellIs" dxfId="205" priority="161" operator="lessThan">
      <formula>0</formula>
    </cfRule>
    <cfRule type="cellIs" dxfId="204" priority="162" operator="lessThan">
      <formula>0</formula>
    </cfRule>
  </conditionalFormatting>
  <conditionalFormatting sqref="I2 K2 M2 O2 Q2 S2 U2 W2 Y2 AA2">
    <cfRule type="cellIs" dxfId="203" priority="159" operator="lessThan">
      <formula>0</formula>
    </cfRule>
    <cfRule type="cellIs" dxfId="202" priority="160" operator="lessThan">
      <formula>0</formula>
    </cfRule>
  </conditionalFormatting>
  <conditionalFormatting sqref="D11 F11 H11 J11 L11 N11 P11 R11 T11 V11 X11 Z11">
    <cfRule type="cellIs" dxfId="201" priority="157" operator="lessThan">
      <formula>0</formula>
    </cfRule>
    <cfRule type="cellIs" dxfId="200" priority="158" operator="lessThan">
      <formula>0</formula>
    </cfRule>
  </conditionalFormatting>
  <conditionalFormatting sqref="E11 G11 I11 K11 M11 O11 Q11 S11 U11 W11 Y11 AA11">
    <cfRule type="cellIs" dxfId="199" priority="155" operator="lessThan">
      <formula>0</formula>
    </cfRule>
    <cfRule type="cellIs" dxfId="198" priority="156" operator="lessThan">
      <formula>0</formula>
    </cfRule>
  </conditionalFormatting>
  <conditionalFormatting sqref="F12:AA12 F15:AA15 F13:Q14 F16:S16 V16:AA16 V13:AA14">
    <cfRule type="cellIs" dxfId="197" priority="153" operator="lessThan">
      <formula>0</formula>
    </cfRule>
    <cfRule type="cellIs" dxfId="196" priority="154" operator="lessThan">
      <formula>0</formula>
    </cfRule>
  </conditionalFormatting>
  <conditionalFormatting sqref="H3:AA8">
    <cfRule type="cellIs" dxfId="195" priority="149" operator="lessThan">
      <formula>0</formula>
    </cfRule>
    <cfRule type="cellIs" dxfId="194" priority="150" operator="lessThan">
      <formula>0</formula>
    </cfRule>
  </conditionalFormatting>
  <conditionalFormatting sqref="A19">
    <cfRule type="cellIs" dxfId="193" priority="147" operator="lessThan">
      <formula>0</formula>
    </cfRule>
    <cfRule type="cellIs" dxfId="192" priority="148" operator="lessThan">
      <formula>0</formula>
    </cfRule>
  </conditionalFormatting>
  <conditionalFormatting sqref="C19">
    <cfRule type="cellIs" dxfId="191" priority="145" operator="lessThan">
      <formula>0</formula>
    </cfRule>
    <cfRule type="cellIs" dxfId="190" priority="146" operator="lessThan">
      <formula>0</formula>
    </cfRule>
  </conditionalFormatting>
  <conditionalFormatting sqref="D19 F19 H19 J19 L19 N19 P19 R19 T19 V19 X19 Z19">
    <cfRule type="cellIs" dxfId="189" priority="141" operator="lessThan">
      <formula>0</formula>
    </cfRule>
    <cfRule type="cellIs" dxfId="188" priority="142" operator="lessThan">
      <formula>0</formula>
    </cfRule>
  </conditionalFormatting>
  <conditionalFormatting sqref="D9 F9 H9 J9 L9 N9 P9 R9 T9 V9 X9 Z9">
    <cfRule type="cellIs" dxfId="187" priority="137" operator="lessThan">
      <formula>0</formula>
    </cfRule>
    <cfRule type="cellIs" dxfId="186" priority="138" operator="lessThan">
      <formula>0</formula>
    </cfRule>
  </conditionalFormatting>
  <conditionalFormatting sqref="D17 F17 H17 J17 L17 N17 P17 R17 T17 V17 X17 Z17">
    <cfRule type="cellIs" dxfId="185" priority="133" operator="lessThan">
      <formula>0</formula>
    </cfRule>
    <cfRule type="cellIs" dxfId="184" priority="134" operator="lessThan">
      <formula>0</formula>
    </cfRule>
  </conditionalFormatting>
  <conditionalFormatting sqref="C25:D25 C26 H25 L25 P25 T25 X25">
    <cfRule type="cellIs" dxfId="183" priority="121" operator="lessThan">
      <formula>0</formula>
    </cfRule>
    <cfRule type="cellIs" dxfId="182" priority="122" operator="lessThan">
      <formula>0</formula>
    </cfRule>
  </conditionalFormatting>
  <conditionalFormatting sqref="A26:B26 A27:C27 A33:C33 D27:D32 C32 C29 C30:D31 C28:D28 A28:B32">
    <cfRule type="cellIs" dxfId="181" priority="131" operator="lessThan">
      <formula>0</formula>
    </cfRule>
    <cfRule type="cellIs" dxfId="180" priority="132" operator="lessThan">
      <formula>0</formula>
    </cfRule>
  </conditionalFormatting>
  <conditionalFormatting sqref="A36:A41 D36:E40">
    <cfRule type="cellIs" dxfId="179" priority="129" operator="lessThan">
      <formula>0</formula>
    </cfRule>
    <cfRule type="cellIs" dxfId="178" priority="130" operator="lessThan">
      <formula>0</formula>
    </cfRule>
  </conditionalFormatting>
  <conditionalFormatting sqref="F25 J25 N25 R25 V25 Z25">
    <cfRule type="cellIs" dxfId="177" priority="127" operator="lessThan">
      <formula>0</formula>
    </cfRule>
    <cfRule type="cellIs" dxfId="176" priority="128" operator="lessThan">
      <formula>0</formula>
    </cfRule>
  </conditionalFormatting>
  <conditionalFormatting sqref="E26:E32">
    <cfRule type="cellIs" dxfId="175" priority="125" operator="lessThan">
      <formula>0</formula>
    </cfRule>
    <cfRule type="cellIs" dxfId="174" priority="126" operator="lessThan">
      <formula>0</formula>
    </cfRule>
  </conditionalFormatting>
  <conditionalFormatting sqref="G27:G32">
    <cfRule type="cellIs" dxfId="173" priority="123" operator="lessThan">
      <formula>0</formula>
    </cfRule>
    <cfRule type="cellIs" dxfId="172" priority="124" operator="lessThan">
      <formula>0</formula>
    </cfRule>
  </conditionalFormatting>
  <conditionalFormatting sqref="T27:T32">
    <cfRule type="cellIs" dxfId="171" priority="63" operator="lessThan">
      <formula>0</formula>
    </cfRule>
    <cfRule type="cellIs" dxfId="170" priority="64" operator="lessThan">
      <formula>0</formula>
    </cfRule>
  </conditionalFormatting>
  <conditionalFormatting sqref="C36:C40">
    <cfRule type="cellIs" dxfId="169" priority="117" operator="lessThan">
      <formula>0</formula>
    </cfRule>
    <cfRule type="cellIs" dxfId="168" priority="118" operator="lessThan">
      <formula>0</formula>
    </cfRule>
  </conditionalFormatting>
  <conditionalFormatting sqref="C41">
    <cfRule type="cellIs" dxfId="167" priority="115" operator="lessThan">
      <formula>0</formula>
    </cfRule>
    <cfRule type="cellIs" dxfId="166" priority="116" operator="lessThan">
      <formula>0</formula>
    </cfRule>
  </conditionalFormatting>
  <conditionalFormatting sqref="Z27:Z32">
    <cfRule type="cellIs" dxfId="165" priority="57" operator="lessThan">
      <formula>0</formula>
    </cfRule>
    <cfRule type="cellIs" dxfId="164" priority="58" operator="lessThan">
      <formula>0</formula>
    </cfRule>
  </conditionalFormatting>
  <conditionalFormatting sqref="F36:F40">
    <cfRule type="cellIs" dxfId="163" priority="55" operator="lessThan">
      <formula>0</formula>
    </cfRule>
    <cfRule type="cellIs" dxfId="162" priority="56" operator="lessThan">
      <formula>0</formula>
    </cfRule>
  </conditionalFormatting>
  <conditionalFormatting sqref="V27:V32">
    <cfRule type="cellIs" dxfId="161" priority="61" operator="lessThan">
      <formula>0</formula>
    </cfRule>
    <cfRule type="cellIs" dxfId="160" priority="62" operator="lessThan">
      <formula>0</formula>
    </cfRule>
  </conditionalFormatting>
  <conditionalFormatting sqref="X27:X32">
    <cfRule type="cellIs" dxfId="159" priority="59" operator="lessThan">
      <formula>0</formula>
    </cfRule>
    <cfRule type="cellIs" dxfId="158" priority="60" operator="lessThan">
      <formula>0</formula>
    </cfRule>
  </conditionalFormatting>
  <conditionalFormatting sqref="G36:G40 K36:K40 M36:M40 O36:O40 S36:S40 U36:U40 W36:W40 Y36:Y40 AA36:AA40 I36:I40 Q36:Q40">
    <cfRule type="cellIs" dxfId="157" priority="105" operator="lessThan">
      <formula>0</formula>
    </cfRule>
    <cfRule type="cellIs" dxfId="156" priority="106" operator="lessThan">
      <formula>0</formula>
    </cfRule>
  </conditionalFormatting>
  <conditionalFormatting sqref="I28 K27:K32 M28:M32 O27:O32 Q27:Q32 S27:S32 U27:U32 W27:W32 Y27:Y32 AA27:AA32 I30:I31">
    <cfRule type="cellIs" dxfId="155" priority="103" operator="lessThan">
      <formula>0</formula>
    </cfRule>
    <cfRule type="cellIs" dxfId="154" priority="104" operator="lessThan">
      <formula>0</formula>
    </cfRule>
  </conditionalFormatting>
  <conditionalFormatting sqref="A43:B43">
    <cfRule type="cellIs" dxfId="153" priority="101" operator="lessThan">
      <formula>0</formula>
    </cfRule>
    <cfRule type="cellIs" dxfId="152" priority="102" operator="lessThan">
      <formula>0</formula>
    </cfRule>
  </conditionalFormatting>
  <conditionalFormatting sqref="C43">
    <cfRule type="cellIs" dxfId="151" priority="99" operator="lessThan">
      <formula>0</formula>
    </cfRule>
    <cfRule type="cellIs" dxfId="150" priority="100" operator="lessThan">
      <formula>0</formula>
    </cfRule>
  </conditionalFormatting>
  <conditionalFormatting sqref="D43 F43 H43 J43 L43 N43 P43 R43 T43 V43 X43 Z43">
    <cfRule type="cellIs" dxfId="149" priority="97" operator="lessThan">
      <formula>0</formula>
    </cfRule>
    <cfRule type="cellIs" dxfId="148" priority="98" operator="lessThan">
      <formula>0</formula>
    </cfRule>
  </conditionalFormatting>
  <conditionalFormatting sqref="D33 F33 H33 J33 L33 N33 P33 R33 T33 V33 X33 Z33">
    <cfRule type="cellIs" dxfId="147" priority="95" operator="lessThan">
      <formula>0</formula>
    </cfRule>
    <cfRule type="cellIs" dxfId="146" priority="96" operator="lessThan">
      <formula>0</formula>
    </cfRule>
  </conditionalFormatting>
  <conditionalFormatting sqref="D41 F41 H41 J41 L41 N41 P41 R41 T41 V41 X41 Z41">
    <cfRule type="cellIs" dxfId="145" priority="93" operator="lessThan">
      <formula>0</formula>
    </cfRule>
    <cfRule type="cellIs" dxfId="144" priority="94" operator="lessThan">
      <formula>0</formula>
    </cfRule>
  </conditionalFormatting>
  <conditionalFormatting sqref="D26">
    <cfRule type="cellIs" dxfId="143" priority="91" operator="lessThan">
      <formula>0</formula>
    </cfRule>
    <cfRule type="cellIs" dxfId="142" priority="92" operator="lessThan">
      <formula>0</formula>
    </cfRule>
  </conditionalFormatting>
  <conditionalFormatting sqref="G26 I26 K26 M26 O26 Q26 S26 U26 W26 Y26 AA26">
    <cfRule type="cellIs" dxfId="141" priority="89" operator="lessThan">
      <formula>0</formula>
    </cfRule>
    <cfRule type="cellIs" dxfId="140" priority="90" operator="lessThan">
      <formula>0</formula>
    </cfRule>
  </conditionalFormatting>
  <conditionalFormatting sqref="F26 H26 J26 L26 N26 P26 R26 T26 V26 X26 Z26">
    <cfRule type="cellIs" dxfId="139" priority="87" operator="lessThan">
      <formula>0</formula>
    </cfRule>
    <cfRule type="cellIs" dxfId="138" priority="88" operator="lessThan">
      <formula>0</formula>
    </cfRule>
  </conditionalFormatting>
  <conditionalFormatting sqref="G35 I35 K35 M35 O35 Q35 S35 U35 W35 Y35 AA35">
    <cfRule type="cellIs" dxfId="137" priority="85" operator="lessThan">
      <formula>0</formula>
    </cfRule>
    <cfRule type="cellIs" dxfId="136" priority="86" operator="lessThan">
      <formula>0</formula>
    </cfRule>
  </conditionalFormatting>
  <conditionalFormatting sqref="F35 H35 J35 L35 N35 P35 R35 T35 V35 X35 Z35">
    <cfRule type="cellIs" dxfId="135" priority="83" operator="lessThan">
      <formula>0</formula>
    </cfRule>
    <cfRule type="cellIs" dxfId="134" priority="84" operator="lessThan">
      <formula>0</formula>
    </cfRule>
  </conditionalFormatting>
  <conditionalFormatting sqref="E35">
    <cfRule type="cellIs" dxfId="133" priority="81" operator="lessThan">
      <formula>0</formula>
    </cfRule>
    <cfRule type="cellIs" dxfId="132" priority="82" operator="lessThan">
      <formula>0</formula>
    </cfRule>
  </conditionalFormatting>
  <conditionalFormatting sqref="D35">
    <cfRule type="cellIs" dxfId="131" priority="79" operator="lessThan">
      <formula>0</formula>
    </cfRule>
    <cfRule type="cellIs" dxfId="130" priority="80" operator="lessThan">
      <formula>0</formula>
    </cfRule>
  </conditionalFormatting>
  <conditionalFormatting sqref="F27:F32">
    <cfRule type="cellIs" dxfId="129" priority="77" operator="lessThan">
      <formula>0</formula>
    </cfRule>
    <cfRule type="cellIs" dxfId="128" priority="78" operator="lessThan">
      <formula>0</formula>
    </cfRule>
  </conditionalFormatting>
  <conditionalFormatting sqref="H27:H32 I27 I29 I32">
    <cfRule type="cellIs" dxfId="127" priority="75" operator="lessThan">
      <formula>0</formula>
    </cfRule>
    <cfRule type="cellIs" dxfId="126" priority="76" operator="lessThan">
      <formula>0</formula>
    </cfRule>
  </conditionalFormatting>
  <conditionalFormatting sqref="J27:J32">
    <cfRule type="cellIs" dxfId="125" priority="73" operator="lessThan">
      <formula>0</formula>
    </cfRule>
    <cfRule type="cellIs" dxfId="124" priority="74" operator="lessThan">
      <formula>0</formula>
    </cfRule>
  </conditionalFormatting>
  <conditionalFormatting sqref="L27:L32 M27">
    <cfRule type="cellIs" dxfId="123" priority="71" operator="lessThan">
      <formula>0</formula>
    </cfRule>
    <cfRule type="cellIs" dxfId="122" priority="72" operator="lessThan">
      <formula>0</formula>
    </cfRule>
  </conditionalFormatting>
  <conditionalFormatting sqref="N27:N32">
    <cfRule type="cellIs" dxfId="121" priority="69" operator="lessThan">
      <formula>0</formula>
    </cfRule>
    <cfRule type="cellIs" dxfId="120" priority="70" operator="lessThan">
      <formula>0</formula>
    </cfRule>
  </conditionalFormatting>
  <conditionalFormatting sqref="P27:P32">
    <cfRule type="cellIs" dxfId="119" priority="67" operator="lessThan">
      <formula>0</formula>
    </cfRule>
    <cfRule type="cellIs" dxfId="118" priority="68" operator="lessThan">
      <formula>0</formula>
    </cfRule>
  </conditionalFormatting>
  <conditionalFormatting sqref="R27:R32">
    <cfRule type="cellIs" dxfId="117" priority="65" operator="lessThan">
      <formula>0</formula>
    </cfRule>
    <cfRule type="cellIs" dxfId="116" priority="66" operator="lessThan">
      <formula>0</formula>
    </cfRule>
  </conditionalFormatting>
  <conditionalFormatting sqref="H36:H40">
    <cfRule type="cellIs" dxfId="115" priority="53" operator="lessThan">
      <formula>0</formula>
    </cfRule>
    <cfRule type="cellIs" dxfId="114" priority="54" operator="lessThan">
      <formula>0</formula>
    </cfRule>
  </conditionalFormatting>
  <conditionalFormatting sqref="J36:J40">
    <cfRule type="cellIs" dxfId="113" priority="51" operator="lessThan">
      <formula>0</formula>
    </cfRule>
    <cfRule type="cellIs" dxfId="112" priority="52" operator="lessThan">
      <formula>0</formula>
    </cfRule>
  </conditionalFormatting>
  <conditionalFormatting sqref="L36:L40">
    <cfRule type="cellIs" dxfId="111" priority="49" operator="lessThan">
      <formula>0</formula>
    </cfRule>
    <cfRule type="cellIs" dxfId="110" priority="50" operator="lessThan">
      <formula>0</formula>
    </cfRule>
  </conditionalFormatting>
  <conditionalFormatting sqref="N36:N40">
    <cfRule type="cellIs" dxfId="109" priority="47" operator="lessThan">
      <formula>0</formula>
    </cfRule>
    <cfRule type="cellIs" dxfId="108" priority="48" operator="lessThan">
      <formula>0</formula>
    </cfRule>
  </conditionalFormatting>
  <conditionalFormatting sqref="P36:P40">
    <cfRule type="cellIs" dxfId="107" priority="45" operator="lessThan">
      <formula>0</formula>
    </cfRule>
    <cfRule type="cellIs" dxfId="106" priority="46" operator="lessThan">
      <formula>0</formula>
    </cfRule>
  </conditionalFormatting>
  <conditionalFormatting sqref="R36:R40">
    <cfRule type="cellIs" dxfId="105" priority="43" operator="lessThan">
      <formula>0</formula>
    </cfRule>
    <cfRule type="cellIs" dxfId="104" priority="44" operator="lessThan">
      <formula>0</formula>
    </cfRule>
  </conditionalFormatting>
  <conditionalFormatting sqref="T36:T40">
    <cfRule type="cellIs" dxfId="103" priority="41" operator="lessThan">
      <formula>0</formula>
    </cfRule>
    <cfRule type="cellIs" dxfId="102" priority="42" operator="lessThan">
      <formula>0</formula>
    </cfRule>
  </conditionalFormatting>
  <conditionalFormatting sqref="V36:V40">
    <cfRule type="cellIs" dxfId="101" priority="39" operator="lessThan">
      <formula>0</formula>
    </cfRule>
    <cfRule type="cellIs" dxfId="100" priority="40" operator="lessThan">
      <formula>0</formula>
    </cfRule>
  </conditionalFormatting>
  <conditionalFormatting sqref="X36:X40">
    <cfRule type="cellIs" dxfId="99" priority="37" operator="lessThan">
      <formula>0</formula>
    </cfRule>
    <cfRule type="cellIs" dxfId="98" priority="38" operator="lessThan">
      <formula>0</formula>
    </cfRule>
  </conditionalFormatting>
  <conditionalFormatting sqref="Z36:Z40">
    <cfRule type="cellIs" dxfId="97" priority="35" operator="lessThan">
      <formula>0</formula>
    </cfRule>
    <cfRule type="cellIs" dxfId="96" priority="36" operator="lessThan">
      <formula>0</formula>
    </cfRule>
  </conditionalFormatting>
  <conditionalFormatting sqref="B12:B17">
    <cfRule type="cellIs" dxfId="95" priority="33" operator="lessThan">
      <formula>0</formula>
    </cfRule>
    <cfRule type="cellIs" dxfId="94" priority="34" operator="lessThan">
      <formula>0</formula>
    </cfRule>
  </conditionalFormatting>
  <conditionalFormatting sqref="B19">
    <cfRule type="cellIs" dxfId="93" priority="31" operator="lessThan">
      <formula>0</formula>
    </cfRule>
    <cfRule type="cellIs" dxfId="92" priority="32" operator="lessThan">
      <formula>0</formula>
    </cfRule>
  </conditionalFormatting>
  <conditionalFormatting sqref="D27">
    <cfRule type="cellIs" dxfId="91" priority="29" operator="lessThan">
      <formula>0</formula>
    </cfRule>
    <cfRule type="cellIs" dxfId="90" priority="30" operator="lessThan">
      <formula>0</formula>
    </cfRule>
  </conditionalFormatting>
  <conditionalFormatting sqref="F27">
    <cfRule type="cellIs" dxfId="89" priority="27" operator="lessThan">
      <formula>0</formula>
    </cfRule>
    <cfRule type="cellIs" dxfId="88" priority="28" operator="lessThan">
      <formula>0</formula>
    </cfRule>
  </conditionalFormatting>
  <conditionalFormatting sqref="D29">
    <cfRule type="cellIs" dxfId="87" priority="25" operator="lessThan">
      <formula>0</formula>
    </cfRule>
    <cfRule type="cellIs" dxfId="86" priority="26" operator="lessThan">
      <formula>0</formula>
    </cfRule>
  </conditionalFormatting>
  <conditionalFormatting sqref="F29">
    <cfRule type="cellIs" dxfId="85" priority="23" operator="lessThan">
      <formula>0</formula>
    </cfRule>
    <cfRule type="cellIs" dxfId="84" priority="24" operator="lessThan">
      <formula>0</formula>
    </cfRule>
  </conditionalFormatting>
  <conditionalFormatting sqref="D32">
    <cfRule type="cellIs" dxfId="83" priority="21" operator="lessThan">
      <formula>0</formula>
    </cfRule>
    <cfRule type="cellIs" dxfId="82" priority="22" operator="lessThan">
      <formula>0</formula>
    </cfRule>
  </conditionalFormatting>
  <conditionalFormatting sqref="F32">
    <cfRule type="cellIs" dxfId="81" priority="19" operator="lessThan">
      <formula>0</formula>
    </cfRule>
    <cfRule type="cellIs" dxfId="80" priority="20" operator="lessThan">
      <formula>0</formula>
    </cfRule>
  </conditionalFormatting>
  <conditionalFormatting sqref="B41">
    <cfRule type="cellIs" dxfId="79" priority="17" operator="lessThan">
      <formula>0</formula>
    </cfRule>
    <cfRule type="cellIs" dxfId="78" priority="18" operator="lessThan">
      <formula>0</formula>
    </cfRule>
  </conditionalFormatting>
  <conditionalFormatting sqref="B35">
    <cfRule type="cellIs" dxfId="77" priority="13" operator="lessThan">
      <formula>0</formula>
    </cfRule>
    <cfRule type="cellIs" dxfId="76" priority="14" operator="lessThan">
      <formula>0</formula>
    </cfRule>
  </conditionalFormatting>
  <conditionalFormatting sqref="B36:B40">
    <cfRule type="cellIs" dxfId="75" priority="11" operator="lessThan">
      <formula>0</formula>
    </cfRule>
    <cfRule type="cellIs" dxfId="74" priority="12" operator="lessThan">
      <formula>0</formula>
    </cfRule>
  </conditionalFormatting>
  <conditionalFormatting sqref="R13:S13">
    <cfRule type="cellIs" dxfId="73" priority="9" operator="lessThan">
      <formula>0</formula>
    </cfRule>
    <cfRule type="cellIs" dxfId="72" priority="10" operator="lessThan">
      <formula>0</formula>
    </cfRule>
  </conditionalFormatting>
  <conditionalFormatting sqref="R14:S14">
    <cfRule type="cellIs" dxfId="71" priority="7" operator="lessThan">
      <formula>0</formula>
    </cfRule>
    <cfRule type="cellIs" dxfId="70" priority="8" operator="lessThan">
      <formula>0</formula>
    </cfRule>
  </conditionalFormatting>
  <conditionalFormatting sqref="T13:U13">
    <cfRule type="cellIs" dxfId="69" priority="5" operator="lessThan">
      <formula>0</formula>
    </cfRule>
    <cfRule type="cellIs" dxfId="68" priority="6" operator="lessThan">
      <formula>0</formula>
    </cfRule>
  </conditionalFormatting>
  <conditionalFormatting sqref="T14:U14">
    <cfRule type="cellIs" dxfId="67" priority="3" operator="lessThan">
      <formula>0</formula>
    </cfRule>
    <cfRule type="cellIs" dxfId="66" priority="4" operator="lessThan">
      <formula>0</formula>
    </cfRule>
  </conditionalFormatting>
  <conditionalFormatting sqref="T16:U16">
    <cfRule type="cellIs" dxfId="65" priority="1" operator="lessThan">
      <formula>0</formula>
    </cfRule>
    <cfRule type="cellIs" dxfId="64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B7" workbookViewId="0">
      <selection activeCell="H30" sqref="H30"/>
    </sheetView>
  </sheetViews>
  <sheetFormatPr defaultRowHeight="15" customHeight="1" x14ac:dyDescent="0.25"/>
  <cols>
    <col min="1" max="1" width="43.42578125" style="2" customWidth="1"/>
    <col min="2" max="2" width="27.42578125" style="2" customWidth="1"/>
    <col min="3" max="3" width="10.85546875" style="2" customWidth="1"/>
    <col min="4" max="4" width="14.42578125" style="31" customWidth="1"/>
    <col min="5" max="7" width="9.140625" style="2"/>
    <col min="8" max="8" width="9.7109375" style="31" bestFit="1" customWidth="1"/>
    <col min="9" max="9" width="10.28515625" style="2" bestFit="1" customWidth="1"/>
    <col min="10" max="10" width="13.7109375" style="31" bestFit="1" customWidth="1"/>
    <col min="11" max="11" width="9.7109375" style="31" bestFit="1" customWidth="1"/>
    <col min="12" max="16384" width="9.140625" style="2"/>
  </cols>
  <sheetData>
    <row r="1" spans="1:11" ht="15" customHeight="1" x14ac:dyDescent="0.25">
      <c r="G1" s="2">
        <v>8</v>
      </c>
    </row>
    <row r="2" spans="1:11" ht="15" customHeight="1" x14ac:dyDescent="0.25">
      <c r="G2" s="2">
        <v>4</v>
      </c>
      <c r="J2" s="31" t="s">
        <v>64</v>
      </c>
    </row>
    <row r="3" spans="1:11" ht="15" customHeight="1" x14ac:dyDescent="0.25">
      <c r="A3" s="11" t="s">
        <v>38</v>
      </c>
      <c r="B3" s="28" t="s">
        <v>40</v>
      </c>
      <c r="C3" s="28" t="s">
        <v>43</v>
      </c>
      <c r="G3" s="2">
        <v>2</v>
      </c>
      <c r="J3" s="31">
        <f>SUM(J5:J33)</f>
        <v>13760150.66792408</v>
      </c>
    </row>
    <row r="4" spans="1:11" ht="15" customHeight="1" x14ac:dyDescent="0.25">
      <c r="A4" s="12" t="s">
        <v>20</v>
      </c>
      <c r="B4" s="32">
        <v>3486432.1179999998</v>
      </c>
      <c r="C4" s="32">
        <v>42.39</v>
      </c>
      <c r="D4" s="63">
        <f>B4/C4</f>
        <v>82246.570370370362</v>
      </c>
      <c r="F4" s="2" t="str">
        <f t="shared" ref="F4:F33" si="0">A4</f>
        <v>COCONUT OIL (CRUDE) LOCAL</v>
      </c>
      <c r="K4" s="31">
        <f>SUM(J5:J6)/C4</f>
        <v>1427.7131381358879</v>
      </c>
    </row>
    <row r="5" spans="1:11" ht="15" customHeight="1" x14ac:dyDescent="0.25">
      <c r="A5" s="12">
        <v>14</v>
      </c>
      <c r="B5" s="32">
        <v>1949917.068</v>
      </c>
      <c r="C5" s="32">
        <v>23.54</v>
      </c>
      <c r="D5" s="31">
        <f t="shared" ref="D5:D33" si="1">B5/C5</f>
        <v>82834.2</v>
      </c>
      <c r="F5" s="28">
        <f t="shared" si="0"/>
        <v>14</v>
      </c>
      <c r="G5" s="28">
        <f>F5-$G$2</f>
        <v>10</v>
      </c>
      <c r="H5" s="31">
        <f>VLOOKUP(G5,'Daily Rates Pivot'!$A$3:$I$28,8,FALSE)</f>
        <v>86008.50975591832</v>
      </c>
      <c r="I5" s="32">
        <f>H5-D5</f>
        <v>3174.3097559183225</v>
      </c>
      <c r="J5" s="31">
        <f>I5*C5</f>
        <v>74723.251654317311</v>
      </c>
    </row>
    <row r="6" spans="1:11" ht="15" customHeight="1" x14ac:dyDescent="0.25">
      <c r="A6" s="12">
        <v>17</v>
      </c>
      <c r="B6" s="32">
        <v>1536515.05</v>
      </c>
      <c r="C6" s="32">
        <v>18.850000000000001</v>
      </c>
      <c r="D6" s="31">
        <f t="shared" si="1"/>
        <v>81512.734748010611</v>
      </c>
      <c r="F6" s="28">
        <f t="shared" si="0"/>
        <v>17</v>
      </c>
      <c r="G6" s="28">
        <f>F6-$G$2</f>
        <v>13</v>
      </c>
      <c r="H6" s="31">
        <f>VLOOKUP(G6,'Daily Rates Pivot'!$A$3:$I$28,8,FALSE)</f>
        <v>80759.286910942334</v>
      </c>
      <c r="I6" s="32">
        <f>H6-D6</f>
        <v>-753.44783706827729</v>
      </c>
      <c r="J6" s="31">
        <f>I6*C6</f>
        <v>-14202.491728737028</v>
      </c>
    </row>
    <row r="7" spans="1:11" ht="15" customHeight="1" x14ac:dyDescent="0.25">
      <c r="A7" s="12" t="s">
        <v>26</v>
      </c>
      <c r="B7" s="32">
        <v>50760642.260900006</v>
      </c>
      <c r="C7" s="32">
        <v>858.88999999999987</v>
      </c>
      <c r="D7" s="63">
        <f t="shared" si="1"/>
        <v>59100.28322707217</v>
      </c>
      <c r="F7" s="28" t="str">
        <f t="shared" si="0"/>
        <v>CRUDE PALM KERNEL OIL FFA 20% MINIMUM</v>
      </c>
      <c r="K7" s="31">
        <f>SUM(J8:J10)/C7</f>
        <v>17722.408709010891</v>
      </c>
    </row>
    <row r="8" spans="1:11" ht="15" customHeight="1" x14ac:dyDescent="0.25">
      <c r="A8" s="12">
        <v>16</v>
      </c>
      <c r="B8" s="32">
        <v>21716385.862800002</v>
      </c>
      <c r="C8" s="32">
        <v>365.07999999999993</v>
      </c>
      <c r="D8" s="31">
        <f t="shared" si="1"/>
        <v>59483.910000000018</v>
      </c>
      <c r="F8" s="28">
        <f t="shared" si="0"/>
        <v>16</v>
      </c>
      <c r="G8" s="2">
        <f>F8-$G$1</f>
        <v>8</v>
      </c>
      <c r="H8" s="31">
        <f>VLOOKUP(G8,Fresco!$A$3:$B$47,2,FALSE)</f>
        <v>74946.80080715011</v>
      </c>
      <c r="I8" s="32">
        <f>H8-D8</f>
        <v>15462.890807150092</v>
      </c>
      <c r="J8" s="31">
        <f>I8*C8</f>
        <v>5645192.1758743543</v>
      </c>
    </row>
    <row r="9" spans="1:11" ht="15" customHeight="1" x14ac:dyDescent="0.25">
      <c r="A9" s="12">
        <v>17</v>
      </c>
      <c r="B9" s="32">
        <v>8943405.8685000017</v>
      </c>
      <c r="C9" s="32">
        <v>150.35</v>
      </c>
      <c r="D9" s="31">
        <f t="shared" si="1"/>
        <v>59483.910000000011</v>
      </c>
      <c r="F9" s="28">
        <f t="shared" si="0"/>
        <v>17</v>
      </c>
      <c r="G9" s="28">
        <f>F9-$G$1</f>
        <v>9</v>
      </c>
      <c r="H9" s="31">
        <f>VLOOKUP(G9,Fresco!$A$3:$B$47,2,FALSE)</f>
        <v>76178.833265660651</v>
      </c>
      <c r="I9" s="32">
        <f>H9-D9</f>
        <v>16694.92326566064</v>
      </c>
      <c r="J9" s="31">
        <f>I9*C9</f>
        <v>2510081.7129920772</v>
      </c>
    </row>
    <row r="10" spans="1:11" ht="15" customHeight="1" x14ac:dyDescent="0.25">
      <c r="A10" s="12">
        <v>18</v>
      </c>
      <c r="B10" s="32">
        <v>20100850.529599998</v>
      </c>
      <c r="C10" s="32">
        <v>343.46</v>
      </c>
      <c r="D10" s="31">
        <f t="shared" si="1"/>
        <v>58524.575000291152</v>
      </c>
      <c r="F10" s="28">
        <f t="shared" si="0"/>
        <v>18</v>
      </c>
      <c r="G10" s="28">
        <f>F10-$G$1</f>
        <v>10</v>
      </c>
      <c r="H10" s="31">
        <f>VLOOKUP(G10,Fresco!$A$3:$B$47,2,FALSE)</f>
        <v>79098.515858661645</v>
      </c>
      <c r="I10" s="32">
        <f>H10-D10</f>
        <v>20573.940858370494</v>
      </c>
      <c r="J10" s="31">
        <f>I10*C10</f>
        <v>7066325.727215929</v>
      </c>
    </row>
    <row r="11" spans="1:11" ht="15" customHeight="1" x14ac:dyDescent="0.25">
      <c r="A11" s="12" t="s">
        <v>18</v>
      </c>
      <c r="B11" s="32">
        <v>17135987.561799999</v>
      </c>
      <c r="C11" s="32">
        <v>351.315</v>
      </c>
      <c r="D11" s="63">
        <f t="shared" si="1"/>
        <v>48776.703419438396</v>
      </c>
      <c r="F11" s="28" t="str">
        <f t="shared" si="0"/>
        <v>PFAD(LOCAL)-PCP</v>
      </c>
      <c r="K11" s="31">
        <f>SUM(J12:J16)/C11</f>
        <v>2421.7149999288376</v>
      </c>
    </row>
    <row r="12" spans="1:11" ht="15" customHeight="1" x14ac:dyDescent="0.25">
      <c r="A12" s="12">
        <v>14</v>
      </c>
      <c r="B12" s="32">
        <v>1301740</v>
      </c>
      <c r="C12" s="32">
        <v>26.84</v>
      </c>
      <c r="D12" s="31">
        <f t="shared" si="1"/>
        <v>48500</v>
      </c>
      <c r="F12" s="28">
        <f t="shared" si="0"/>
        <v>14</v>
      </c>
      <c r="G12" s="28">
        <f>F12-$G$2</f>
        <v>10</v>
      </c>
      <c r="H12" s="31">
        <f>VLOOKUP(G12,'Daily Rates Pivot'!$A$3:$I$28,5,FALSE)*100</f>
        <v>47241.05000000001</v>
      </c>
      <c r="I12" s="32">
        <f>H12-D12</f>
        <v>-1258.9499999999898</v>
      </c>
      <c r="J12" s="31">
        <f>I12*C12</f>
        <v>-33790.217999999724</v>
      </c>
    </row>
    <row r="13" spans="1:11" ht="15" customHeight="1" x14ac:dyDescent="0.25">
      <c r="A13" s="12">
        <v>15</v>
      </c>
      <c r="B13" s="32">
        <v>2805784.9240000001</v>
      </c>
      <c r="C13" s="32">
        <v>60.25</v>
      </c>
      <c r="D13" s="31">
        <f t="shared" si="1"/>
        <v>46569.044381742744</v>
      </c>
      <c r="F13" s="28">
        <f t="shared" si="0"/>
        <v>15</v>
      </c>
      <c r="G13" s="28">
        <f>F13-$G$2</f>
        <v>11</v>
      </c>
      <c r="H13" s="31">
        <f>VLOOKUP(G13,'Daily Rates Pivot'!$A$3:$I$28,5,FALSE)*100</f>
        <v>49100</v>
      </c>
      <c r="I13" s="32">
        <f>H13-D13</f>
        <v>2530.955618257256</v>
      </c>
      <c r="J13" s="31">
        <f>I13*C13</f>
        <v>152490.07599999968</v>
      </c>
    </row>
    <row r="14" spans="1:11" ht="15" customHeight="1" x14ac:dyDescent="0.25">
      <c r="A14" s="12">
        <v>16</v>
      </c>
      <c r="B14" s="32">
        <v>1579553.9663999998</v>
      </c>
      <c r="C14" s="32">
        <v>29.63</v>
      </c>
      <c r="D14" s="31">
        <f t="shared" si="1"/>
        <v>53309.279999999992</v>
      </c>
      <c r="F14" s="28">
        <f t="shared" si="0"/>
        <v>16</v>
      </c>
      <c r="G14" s="28">
        <f>F14-$G$2</f>
        <v>12</v>
      </c>
      <c r="H14" s="31">
        <f>VLOOKUP(G14,'Daily Rates Pivot'!$A$3:$I$28,5,FALSE)*100</f>
        <v>49100</v>
      </c>
      <c r="I14" s="32">
        <f>H14-D14</f>
        <v>-4209.2799999999916</v>
      </c>
      <c r="J14" s="31">
        <f>I14*C14</f>
        <v>-124720.96639999974</v>
      </c>
    </row>
    <row r="15" spans="1:11" ht="15" customHeight="1" x14ac:dyDescent="0.25">
      <c r="A15" s="12">
        <v>17</v>
      </c>
      <c r="B15" s="32">
        <v>7943733.1853999998</v>
      </c>
      <c r="C15" s="32">
        <v>164.04</v>
      </c>
      <c r="D15" s="31">
        <f t="shared" si="1"/>
        <v>48425.586353328457</v>
      </c>
      <c r="F15" s="28">
        <f t="shared" si="0"/>
        <v>17</v>
      </c>
      <c r="G15" s="28">
        <f>F15-$G$2</f>
        <v>13</v>
      </c>
      <c r="H15" s="31">
        <f>VLOOKUP(G15,'Daily Rates Pivot'!$A$3:$I$28,5,FALSE)*100</f>
        <v>51825.312499999993</v>
      </c>
      <c r="I15" s="32">
        <f>H15-D15</f>
        <v>3399.7261466715354</v>
      </c>
      <c r="J15" s="31">
        <f>I15*C15</f>
        <v>557691.0770999986</v>
      </c>
    </row>
    <row r="16" spans="1:11" ht="15" customHeight="1" x14ac:dyDescent="0.25">
      <c r="A16" s="12">
        <v>18</v>
      </c>
      <c r="B16" s="32">
        <v>3505175.4859999996</v>
      </c>
      <c r="C16" s="32">
        <v>70.554999999999993</v>
      </c>
      <c r="D16" s="31">
        <f t="shared" si="1"/>
        <v>49680.043738927074</v>
      </c>
      <c r="F16" s="28">
        <f t="shared" si="0"/>
        <v>18</v>
      </c>
      <c r="G16" s="28">
        <f>F16-$G$2</f>
        <v>14</v>
      </c>
      <c r="H16" s="31">
        <f>VLOOKUP(G16,'Daily Rates Pivot'!$A$3:$I$28,5,FALSE)*100</f>
        <v>53919.500000000007</v>
      </c>
      <c r="I16" s="32">
        <f>H16-D16</f>
        <v>4239.4562610729336</v>
      </c>
      <c r="J16" s="31">
        <f>I16*C16</f>
        <v>299114.83650000079</v>
      </c>
    </row>
    <row r="17" spans="1:11" ht="15" customHeight="1" x14ac:dyDescent="0.25">
      <c r="A17" s="12" t="s">
        <v>15</v>
      </c>
      <c r="B17" s="32">
        <v>40217199.158</v>
      </c>
      <c r="C17" s="32">
        <v>838.23</v>
      </c>
      <c r="D17" s="63">
        <f t="shared" si="1"/>
        <v>47978.716054066303</v>
      </c>
      <c r="F17" s="28" t="str">
        <f t="shared" si="0"/>
        <v>RBD PALM STEARIN (LOCAL)</v>
      </c>
      <c r="K17" s="31">
        <f>SUM(J18:J22)/C17</f>
        <v>2204.6562900397307</v>
      </c>
    </row>
    <row r="18" spans="1:11" ht="15" customHeight="1" x14ac:dyDescent="0.25">
      <c r="A18" s="12">
        <v>14</v>
      </c>
      <c r="B18" s="32">
        <v>1355778.0928</v>
      </c>
      <c r="C18" s="32">
        <v>30.08</v>
      </c>
      <c r="D18" s="31">
        <f t="shared" si="1"/>
        <v>45072.41</v>
      </c>
      <c r="F18" s="28">
        <f t="shared" si="0"/>
        <v>14</v>
      </c>
      <c r="G18" s="28">
        <f>F18-$G$2</f>
        <v>10</v>
      </c>
      <c r="H18" s="31">
        <f>VLOOKUP(G18,'Daily Rates Pivot'!$A$3:$I$28,2,FALSE)*100</f>
        <v>46040</v>
      </c>
      <c r="I18" s="32">
        <f>H18-D18</f>
        <v>967.58999999999651</v>
      </c>
      <c r="J18" s="31">
        <f>I18*C18</f>
        <v>29105.107199999893</v>
      </c>
    </row>
    <row r="19" spans="1:11" ht="15" customHeight="1" x14ac:dyDescent="0.25">
      <c r="A19" s="12">
        <v>15</v>
      </c>
      <c r="B19" s="32">
        <v>11854543.223299999</v>
      </c>
      <c r="C19" s="32">
        <v>263.15999999999997</v>
      </c>
      <c r="D19" s="31">
        <f t="shared" si="1"/>
        <v>45046.903873309013</v>
      </c>
      <c r="F19" s="28">
        <f t="shared" si="0"/>
        <v>15</v>
      </c>
      <c r="G19" s="28">
        <f>F19-$G$2</f>
        <v>11</v>
      </c>
      <c r="H19" s="31">
        <f>VLOOKUP(G19,'Daily Rates Pivot'!$A$3:$I$28,2,FALSE)*100</f>
        <v>47000</v>
      </c>
      <c r="I19" s="32">
        <f>H19-D19</f>
        <v>1953.0961266909871</v>
      </c>
      <c r="J19" s="31">
        <f>I19*C19</f>
        <v>513976.7767000001</v>
      </c>
    </row>
    <row r="20" spans="1:11" ht="15" customHeight="1" x14ac:dyDescent="0.25">
      <c r="A20" s="12">
        <v>16</v>
      </c>
      <c r="B20" s="32">
        <v>8001677.6304000001</v>
      </c>
      <c r="C20" s="32">
        <v>158.94000000000003</v>
      </c>
      <c r="D20" s="31">
        <f t="shared" si="1"/>
        <v>50344.014284635705</v>
      </c>
      <c r="F20" s="28">
        <f t="shared" si="0"/>
        <v>16</v>
      </c>
      <c r="G20" s="28">
        <f>F20-$G$2</f>
        <v>12</v>
      </c>
      <c r="H20" s="31">
        <f>VLOOKUP(G20,'Daily Rates Pivot'!$A$3:$I$28,2,FALSE)*100</f>
        <v>49000</v>
      </c>
      <c r="I20" s="32">
        <f>H20-D20</f>
        <v>-1344.0142846357048</v>
      </c>
      <c r="J20" s="31">
        <f>I20*C20</f>
        <v>-213617.63039999895</v>
      </c>
    </row>
    <row r="21" spans="1:11" ht="15" customHeight="1" x14ac:dyDescent="0.25">
      <c r="A21" s="12">
        <v>17</v>
      </c>
      <c r="B21" s="32">
        <v>12070223.105299998</v>
      </c>
      <c r="C21" s="32">
        <v>251.25</v>
      </c>
      <c r="D21" s="31">
        <f t="shared" si="1"/>
        <v>48040.688976318401</v>
      </c>
      <c r="F21" s="28">
        <f t="shared" si="0"/>
        <v>17</v>
      </c>
      <c r="G21" s="28">
        <f>F21-$G$2</f>
        <v>13</v>
      </c>
      <c r="H21" s="31">
        <f>VLOOKUP(G21,'Daily Rates Pivot'!$A$3:$I$28,2,FALSE)*100</f>
        <v>52500</v>
      </c>
      <c r="I21" s="32">
        <f>H21-D21</f>
        <v>4459.3110236815992</v>
      </c>
      <c r="J21" s="31">
        <f>I21*C21</f>
        <v>1120401.8947000017</v>
      </c>
    </row>
    <row r="22" spans="1:11" ht="15" customHeight="1" x14ac:dyDescent="0.25">
      <c r="A22" s="12">
        <v>18</v>
      </c>
      <c r="B22" s="32">
        <v>6934977.1062000003</v>
      </c>
      <c r="C22" s="32">
        <v>134.80000000000001</v>
      </c>
      <c r="D22" s="31">
        <f t="shared" si="1"/>
        <v>51446.41770178041</v>
      </c>
      <c r="F22" s="28">
        <f t="shared" si="0"/>
        <v>18</v>
      </c>
      <c r="G22" s="28">
        <f>F22-$G$2</f>
        <v>14</v>
      </c>
      <c r="H22" s="31">
        <f>VLOOKUP(G22,'Daily Rates Pivot'!$A$3:$I$28,2,FALSE)*100</f>
        <v>54400</v>
      </c>
      <c r="I22" s="32">
        <f>H22-D22</f>
        <v>2953.5822982195896</v>
      </c>
      <c r="J22" s="31">
        <f>I22*C22</f>
        <v>398142.89380000072</v>
      </c>
    </row>
    <row r="23" spans="1:11" ht="15" customHeight="1" x14ac:dyDescent="0.25">
      <c r="A23" s="12" t="s">
        <v>13</v>
      </c>
      <c r="B23" s="32">
        <v>25919949.139860004</v>
      </c>
      <c r="C23" s="32">
        <v>511.98</v>
      </c>
      <c r="D23" s="63">
        <f t="shared" si="1"/>
        <v>50626.878276221731</v>
      </c>
      <c r="F23" s="28" t="str">
        <f t="shared" si="0"/>
        <v>RICE BRAN FATTY ACIDS- PCP - LOCAL</v>
      </c>
      <c r="K23" s="31">
        <f>SUM(J24:J28)/C23</f>
        <v>-1164.4111551102353</v>
      </c>
    </row>
    <row r="24" spans="1:11" ht="15" customHeight="1" x14ac:dyDescent="0.25">
      <c r="A24" s="12">
        <v>14</v>
      </c>
      <c r="B24" s="32">
        <v>2657599.4827800002</v>
      </c>
      <c r="C24" s="32">
        <v>57.03</v>
      </c>
      <c r="D24" s="31">
        <f t="shared" si="1"/>
        <v>46600.026000000005</v>
      </c>
      <c r="F24" s="28">
        <f t="shared" si="0"/>
        <v>14</v>
      </c>
      <c r="G24" s="28">
        <f>F24-$G$3</f>
        <v>12</v>
      </c>
      <c r="H24" s="31">
        <f>VLOOKUP(G24,'Daily Rates Pivot'!$A$3:$I$28,7,FALSE)*100</f>
        <v>46500</v>
      </c>
      <c r="I24" s="32">
        <f>H24-D24</f>
        <v>-100.0260000000053</v>
      </c>
      <c r="J24" s="31">
        <f>I24*C24</f>
        <v>-5704.4827800003022</v>
      </c>
    </row>
    <row r="25" spans="1:11" ht="15" customHeight="1" x14ac:dyDescent="0.25">
      <c r="A25" s="12">
        <v>15</v>
      </c>
      <c r="B25" s="32">
        <v>9978703.1276400015</v>
      </c>
      <c r="C25" s="32">
        <v>197.98999999999998</v>
      </c>
      <c r="D25" s="31">
        <f t="shared" si="1"/>
        <v>50400.036000000015</v>
      </c>
      <c r="F25" s="28">
        <f t="shared" si="0"/>
        <v>15</v>
      </c>
      <c r="G25" s="28">
        <f t="shared" ref="G25:G28" si="2">F25-$G$3</f>
        <v>13</v>
      </c>
      <c r="H25" s="31">
        <f>VLOOKUP(G25,'Daily Rates Pivot'!$A$3:$I$28,7,FALSE)*100</f>
        <v>47875</v>
      </c>
      <c r="I25" s="32">
        <f>H25-D25</f>
        <v>-2525.0360000000146</v>
      </c>
      <c r="J25" s="31">
        <f>I25*C25</f>
        <v>-499931.87764000287</v>
      </c>
    </row>
    <row r="26" spans="1:11" ht="15" customHeight="1" x14ac:dyDescent="0.25">
      <c r="A26" s="12">
        <v>16</v>
      </c>
      <c r="B26" s="32">
        <v>5896364.45328</v>
      </c>
      <c r="C26" s="32">
        <v>113.60999999999999</v>
      </c>
      <c r="D26" s="31">
        <f t="shared" si="1"/>
        <v>51900.04800000001</v>
      </c>
      <c r="F26" s="28">
        <f t="shared" si="0"/>
        <v>16</v>
      </c>
      <c r="G26" s="28">
        <f t="shared" si="2"/>
        <v>14</v>
      </c>
      <c r="H26" s="31">
        <f>VLOOKUP(G26,'Daily Rates Pivot'!$A$3:$I$28,7,FALSE)*100</f>
        <v>50600</v>
      </c>
      <c r="I26" s="32">
        <f>H26-D26</f>
        <v>-1300.0480000000098</v>
      </c>
      <c r="J26" s="31">
        <f>I26*C26</f>
        <v>-147698.45328000109</v>
      </c>
    </row>
    <row r="27" spans="1:11" ht="15" customHeight="1" x14ac:dyDescent="0.25">
      <c r="A27" s="12">
        <v>17</v>
      </c>
      <c r="B27" s="32">
        <v>4407352.0761600006</v>
      </c>
      <c r="C27" s="32">
        <v>84.92</v>
      </c>
      <c r="D27" s="31">
        <f t="shared" si="1"/>
        <v>51900.04800000001</v>
      </c>
      <c r="F27" s="28">
        <f t="shared" si="0"/>
        <v>17</v>
      </c>
      <c r="G27" s="28">
        <f t="shared" si="2"/>
        <v>15</v>
      </c>
      <c r="H27" s="31">
        <f>VLOOKUP(G27,'Daily Rates Pivot'!$A$3:$I$28,7,FALSE)*100</f>
        <v>52000</v>
      </c>
      <c r="I27" s="32">
        <f>H27-D27</f>
        <v>99.951999999990221</v>
      </c>
      <c r="J27" s="31">
        <f>I27*C27</f>
        <v>8487.92383999917</v>
      </c>
    </row>
    <row r="28" spans="1:11" ht="15" customHeight="1" x14ac:dyDescent="0.25">
      <c r="A28" s="12">
        <v>18</v>
      </c>
      <c r="B28" s="32">
        <v>2979930</v>
      </c>
      <c r="C28" s="32">
        <v>58.43</v>
      </c>
      <c r="D28" s="31">
        <f t="shared" si="1"/>
        <v>51000</v>
      </c>
      <c r="F28" s="28">
        <f t="shared" si="0"/>
        <v>18</v>
      </c>
      <c r="G28" s="28">
        <f t="shared" si="2"/>
        <v>16</v>
      </c>
      <c r="H28" s="31">
        <f>VLOOKUP(G28,'Daily Rates Pivot'!$A$3:$I$28,7,FALSE)*100</f>
        <v>51833.333333333336</v>
      </c>
      <c r="I28" s="32">
        <f>H28-D28</f>
        <v>833.33333333333576</v>
      </c>
      <c r="J28" s="31">
        <f>I28*C28</f>
        <v>48691.66666666681</v>
      </c>
    </row>
    <row r="29" spans="1:11" ht="15" customHeight="1" x14ac:dyDescent="0.25">
      <c r="A29" s="12" t="s">
        <v>23</v>
      </c>
      <c r="B29" s="32">
        <v>39450809.257959992</v>
      </c>
      <c r="C29" s="32">
        <v>470.16999999999996</v>
      </c>
      <c r="D29" s="63">
        <f t="shared" si="1"/>
        <v>83907.54250156325</v>
      </c>
      <c r="F29" s="28" t="str">
        <f t="shared" si="0"/>
        <v>SOLVENT  COCONUT OIL</v>
      </c>
      <c r="K29" s="31">
        <f>SUM(J30:J33)/C29</f>
        <v>-7709.1442076068743</v>
      </c>
    </row>
    <row r="30" spans="1:11" ht="15" customHeight="1" x14ac:dyDescent="0.25">
      <c r="A30" s="12">
        <v>15</v>
      </c>
      <c r="B30" s="32">
        <v>7728971.6179999998</v>
      </c>
      <c r="C30" s="32">
        <v>95.899999999999991</v>
      </c>
      <c r="D30" s="31">
        <f t="shared" si="1"/>
        <v>80594.073180396255</v>
      </c>
      <c r="F30" s="28">
        <f t="shared" si="0"/>
        <v>15</v>
      </c>
      <c r="G30" s="28">
        <f>F30-$G$2</f>
        <v>11</v>
      </c>
      <c r="H30" s="31">
        <f>VLOOKUP(G30,'Daily Rates Pivot'!$A$3:$I$28,8,FALSE)-6000</f>
        <v>75452.971192231067</v>
      </c>
      <c r="I30" s="32">
        <f>H30-D30</f>
        <v>-5141.1019881651882</v>
      </c>
      <c r="J30" s="31">
        <f>I30*C30</f>
        <v>-493031.68066504149</v>
      </c>
    </row>
    <row r="31" spans="1:11" ht="15" customHeight="1" x14ac:dyDescent="0.25">
      <c r="A31" s="12">
        <v>16</v>
      </c>
      <c r="B31" s="32">
        <v>1596435.2819999999</v>
      </c>
      <c r="C31" s="32">
        <v>19.829999999999998</v>
      </c>
      <c r="D31" s="31">
        <f t="shared" si="1"/>
        <v>80506.065658093794</v>
      </c>
      <c r="F31" s="28">
        <f t="shared" si="0"/>
        <v>16</v>
      </c>
      <c r="G31" s="28">
        <f>F31-$G$2</f>
        <v>12</v>
      </c>
      <c r="H31" s="31">
        <f>VLOOKUP(G31,'Daily Rates Pivot'!$A$3:$I$28,8,FALSE)-6000</f>
        <v>74417.621518665779</v>
      </c>
      <c r="I31" s="32">
        <f>H31-D31</f>
        <v>-6088.4441394280148</v>
      </c>
      <c r="J31" s="31">
        <f>I31*C31</f>
        <v>-120733.84728485752</v>
      </c>
    </row>
    <row r="32" spans="1:11" ht="15" customHeight="1" x14ac:dyDescent="0.25">
      <c r="A32" s="12">
        <v>17</v>
      </c>
      <c r="B32" s="32">
        <v>15545751.947999999</v>
      </c>
      <c r="C32" s="32">
        <v>185.94</v>
      </c>
      <c r="D32" s="31">
        <f t="shared" si="1"/>
        <v>83606.281316553723</v>
      </c>
      <c r="F32" s="28">
        <f t="shared" si="0"/>
        <v>17</v>
      </c>
      <c r="G32" s="28">
        <f>F32-$G$2</f>
        <v>13</v>
      </c>
      <c r="H32" s="31">
        <f>VLOOKUP(G32,'Daily Rates Pivot'!$A$3:$I$28,8,FALSE)-6000</f>
        <v>74759.286910942334</v>
      </c>
      <c r="I32" s="32">
        <f>H32-D32</f>
        <v>-8846.9944056113891</v>
      </c>
      <c r="J32" s="31">
        <f>I32*C32</f>
        <v>-1645010.1397793817</v>
      </c>
    </row>
    <row r="33" spans="1:11" ht="15" customHeight="1" x14ac:dyDescent="0.25">
      <c r="A33" s="12">
        <v>18</v>
      </c>
      <c r="B33" s="32">
        <v>14579650.409959998</v>
      </c>
      <c r="C33" s="32">
        <v>168.5</v>
      </c>
      <c r="D33" s="31">
        <f t="shared" si="1"/>
        <v>86526.115192640937</v>
      </c>
      <c r="F33" s="28">
        <f t="shared" si="0"/>
        <v>18</v>
      </c>
      <c r="G33" s="28">
        <f>F33-$G$2</f>
        <v>14</v>
      </c>
      <c r="H33" s="31">
        <f>VLOOKUP(G33,'Daily Rates Pivot'!$A$3:$I$28,8,FALSE)-6000</f>
        <v>78420.28335666917</v>
      </c>
      <c r="I33" s="32">
        <f>H33-D33</f>
        <v>-8105.8318359717668</v>
      </c>
      <c r="J33" s="31">
        <f>I33*C33</f>
        <v>-1365832.6643612427</v>
      </c>
      <c r="K33" s="2"/>
    </row>
    <row r="34" spans="1:11" ht="15" customHeight="1" x14ac:dyDescent="0.25">
      <c r="A34" s="12" t="s">
        <v>39</v>
      </c>
      <c r="B34" s="32">
        <v>176971019.49652001</v>
      </c>
      <c r="C34" s="32">
        <v>3072.9750000000004</v>
      </c>
      <c r="K34" s="2"/>
    </row>
    <row r="35" spans="1:11" ht="15" customHeight="1" x14ac:dyDescent="0.25">
      <c r="A35" s="12"/>
      <c r="B35" s="13"/>
      <c r="C35" s="13"/>
      <c r="K35" s="2"/>
    </row>
    <row r="36" spans="1:11" ht="15" customHeight="1" x14ac:dyDescent="0.25">
      <c r="A36" s="12"/>
      <c r="B36" s="13"/>
      <c r="C36" s="13"/>
      <c r="K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11" sqref="D11"/>
    </sheetView>
  </sheetViews>
  <sheetFormatPr defaultRowHeight="12.75" x14ac:dyDescent="0.25"/>
  <cols>
    <col min="1" max="1" width="43.42578125" style="28" customWidth="1"/>
    <col min="2" max="2" width="27.85546875" style="28" customWidth="1"/>
    <col min="3" max="3" width="11.140625" style="28" customWidth="1"/>
    <col min="4" max="4" width="15" style="28" customWidth="1"/>
    <col min="5" max="7" width="9.140625" style="28"/>
    <col min="8" max="8" width="9.7109375" style="31" bestFit="1" customWidth="1"/>
    <col min="9" max="9" width="9.7109375" style="28" bestFit="1" customWidth="1"/>
    <col min="10" max="10" width="13.7109375" style="31" bestFit="1" customWidth="1"/>
    <col min="11" max="11" width="9.7109375" style="31" bestFit="1" customWidth="1"/>
    <col min="12" max="16384" width="9.140625" style="28"/>
  </cols>
  <sheetData>
    <row r="1" spans="1:11" x14ac:dyDescent="0.25">
      <c r="G1" s="28">
        <v>8</v>
      </c>
    </row>
    <row r="2" spans="1:11" ht="15" customHeight="1" x14ac:dyDescent="0.25">
      <c r="G2" s="28">
        <v>4</v>
      </c>
      <c r="J2" s="31" t="s">
        <v>64</v>
      </c>
    </row>
    <row r="3" spans="1:11" ht="15" customHeight="1" x14ac:dyDescent="0.2">
      <c r="A3" s="17" t="s">
        <v>38</v>
      </c>
      <c r="B3" s="14" t="s">
        <v>40</v>
      </c>
      <c r="C3" s="14" t="s">
        <v>43</v>
      </c>
      <c r="D3" s="14" t="s">
        <v>41</v>
      </c>
      <c r="G3" s="28">
        <v>2</v>
      </c>
      <c r="J3" s="31">
        <f>SUM(J5:J22)</f>
        <v>20632554.187010869</v>
      </c>
    </row>
    <row r="4" spans="1:11" ht="15" customHeight="1" x14ac:dyDescent="0.2">
      <c r="A4" s="15" t="s">
        <v>26</v>
      </c>
      <c r="B4" s="34">
        <v>58642218.140000015</v>
      </c>
      <c r="C4" s="34">
        <v>773.16000000000008</v>
      </c>
      <c r="D4" s="34">
        <v>75847.45478296862</v>
      </c>
      <c r="F4" s="28" t="str">
        <f t="shared" ref="F4:F10" si="0">A4</f>
        <v>CRUDE PALM KERNEL OIL FFA 20% MINIMUM</v>
      </c>
      <c r="K4" s="31">
        <f>SUM(J5:J8)/C4</f>
        <v>13911.510947693158</v>
      </c>
    </row>
    <row r="5" spans="1:11" ht="15" customHeight="1" x14ac:dyDescent="0.2">
      <c r="A5" s="59">
        <v>19</v>
      </c>
      <c r="B5" s="34">
        <v>6282607.2220000001</v>
      </c>
      <c r="C5" s="34">
        <v>107.35</v>
      </c>
      <c r="D5" s="34">
        <v>58524.520000000004</v>
      </c>
      <c r="F5" s="28">
        <f t="shared" si="0"/>
        <v>19</v>
      </c>
      <c r="G5" s="28">
        <f>F5-$G$1</f>
        <v>11</v>
      </c>
      <c r="H5" s="31">
        <f>VLOOKUP(G5,Fresco!$A$3:$B$47,2,FALSE)</f>
        <v>81420.521656954166</v>
      </c>
      <c r="I5" s="32">
        <f>H5-D5</f>
        <v>22896.001656954162</v>
      </c>
      <c r="J5" s="31">
        <f>I5*C5</f>
        <v>2457885.7778740292</v>
      </c>
    </row>
    <row r="6" spans="1:11" ht="15" customHeight="1" x14ac:dyDescent="0.2">
      <c r="A6" s="59">
        <v>20</v>
      </c>
      <c r="B6" s="34">
        <v>28807162.014000006</v>
      </c>
      <c r="C6" s="34">
        <v>365.15999999999997</v>
      </c>
      <c r="D6" s="34">
        <v>78889.150000000023</v>
      </c>
      <c r="F6" s="28">
        <f t="shared" si="0"/>
        <v>20</v>
      </c>
      <c r="G6" s="28">
        <f>F6-$G$1</f>
        <v>12</v>
      </c>
      <c r="H6" s="31">
        <f>VLOOKUP(G6,Fresco!$A$3:$B$47,2,FALSE)</f>
        <v>87437.306086619821</v>
      </c>
      <c r="I6" s="32">
        <f t="shared" ref="I6:I22" si="1">H6-D6</f>
        <v>8548.1560866197979</v>
      </c>
      <c r="J6" s="31">
        <f t="shared" ref="J6:J22" si="2">I6*C6</f>
        <v>3121444.676590085</v>
      </c>
    </row>
    <row r="7" spans="1:11" ht="15" customHeight="1" x14ac:dyDescent="0.2">
      <c r="A7" s="59">
        <v>21</v>
      </c>
      <c r="B7" s="34">
        <v>10173544.784</v>
      </c>
      <c r="C7" s="34">
        <v>128.96</v>
      </c>
      <c r="D7" s="34">
        <v>78889.149999999994</v>
      </c>
      <c r="F7" s="28">
        <f t="shared" si="0"/>
        <v>21</v>
      </c>
      <c r="G7" s="28">
        <f>F7-$G$1</f>
        <v>13</v>
      </c>
      <c r="H7" s="31">
        <f>VLOOKUP(G7,Fresco!$A$3:$B$47,2,FALSE)</f>
        <v>93232.75297916618</v>
      </c>
      <c r="I7" s="32">
        <f t="shared" si="1"/>
        <v>14343.602979166186</v>
      </c>
      <c r="J7" s="31">
        <f t="shared" si="2"/>
        <v>1849751.0401932714</v>
      </c>
    </row>
    <row r="8" spans="1:11" ht="15" customHeight="1" x14ac:dyDescent="0.2">
      <c r="A8" s="59">
        <v>23</v>
      </c>
      <c r="B8" s="34">
        <v>13378904.120000001</v>
      </c>
      <c r="C8" s="34">
        <v>171.69</v>
      </c>
      <c r="D8" s="34">
        <v>77924.772089230595</v>
      </c>
      <c r="F8" s="28">
        <f t="shared" si="0"/>
        <v>23</v>
      </c>
      <c r="G8" s="28">
        <f>F8-$G$1</f>
        <v>15</v>
      </c>
      <c r="H8" s="31">
        <f>VLOOKUP(G8,Fresco!$A$3:$B$47,2,FALSE)</f>
        <v>97301.219812808311</v>
      </c>
      <c r="I8" s="32">
        <f t="shared" si="1"/>
        <v>19376.447723577716</v>
      </c>
      <c r="J8" s="31">
        <f t="shared" si="2"/>
        <v>3326742.3096610578</v>
      </c>
    </row>
    <row r="9" spans="1:11" ht="15" customHeight="1" x14ac:dyDescent="0.2">
      <c r="A9" s="15" t="s">
        <v>66</v>
      </c>
      <c r="B9" s="34">
        <v>10390241.800128179</v>
      </c>
      <c r="C9" s="34">
        <v>208.53</v>
      </c>
      <c r="D9" s="34">
        <v>49826.124778824051</v>
      </c>
      <c r="F9" s="28" t="str">
        <f t="shared" si="0"/>
        <v>PALM KERNEL FATTY ACID DISTILLATE</v>
      </c>
      <c r="I9" s="32"/>
      <c r="K9" s="31">
        <f>SUM(J10)/C9</f>
        <v>26305.695039925948</v>
      </c>
    </row>
    <row r="10" spans="1:11" ht="15" customHeight="1" x14ac:dyDescent="0.2">
      <c r="A10" s="59">
        <v>20</v>
      </c>
      <c r="B10" s="34">
        <v>10390241.800128179</v>
      </c>
      <c r="C10" s="34">
        <v>208.53</v>
      </c>
      <c r="D10" s="34">
        <v>49826.124778824051</v>
      </c>
      <c r="F10" s="28">
        <f t="shared" si="0"/>
        <v>20</v>
      </c>
      <c r="G10" s="28">
        <f>F10-$G$1</f>
        <v>12</v>
      </c>
      <c r="H10" s="31">
        <f>VLOOKUP(G10,'Daily Rates Pivot'!$A$3:$J$28,10,FALSE)</f>
        <v>76131.819818749995</v>
      </c>
      <c r="I10" s="32">
        <f t="shared" si="1"/>
        <v>26305.695039925944</v>
      </c>
      <c r="J10" s="31">
        <f t="shared" si="2"/>
        <v>5485526.5866757575</v>
      </c>
    </row>
    <row r="11" spans="1:11" ht="15" customHeight="1" x14ac:dyDescent="0.2">
      <c r="A11" s="15" t="s">
        <v>18</v>
      </c>
      <c r="B11" s="34">
        <v>15367317.42245</v>
      </c>
      <c r="C11" s="34">
        <v>306.29000000000002</v>
      </c>
      <c r="D11" s="34">
        <v>50172.442529792017</v>
      </c>
      <c r="F11" s="28" t="str">
        <f t="shared" ref="F11:F22" si="3">A11</f>
        <v>PFAD(LOCAL)-PCP</v>
      </c>
      <c r="K11" s="31">
        <f>SUM(J12:J13)/C11</f>
        <v>2605.4493863658558</v>
      </c>
    </row>
    <row r="12" spans="1:11" ht="15" customHeight="1" x14ac:dyDescent="0.2">
      <c r="A12" s="59">
        <v>20</v>
      </c>
      <c r="B12" s="34">
        <v>3817959.7095999997</v>
      </c>
      <c r="C12" s="34">
        <v>78.67</v>
      </c>
      <c r="D12" s="34">
        <v>48531.329726706492</v>
      </c>
      <c r="F12" s="28">
        <f t="shared" si="3"/>
        <v>20</v>
      </c>
      <c r="G12" s="28">
        <f>F12-$G$2</f>
        <v>16</v>
      </c>
      <c r="H12" s="31">
        <f>VLOOKUP(G12,'Daily Rates Pivot'!$A$3:$I$28,5,FALSE)*100</f>
        <v>54455.000000000007</v>
      </c>
      <c r="I12" s="32">
        <f t="shared" si="1"/>
        <v>5923.6702732935155</v>
      </c>
      <c r="J12" s="31">
        <f t="shared" si="2"/>
        <v>466015.14040000085</v>
      </c>
    </row>
    <row r="13" spans="1:11" ht="15" customHeight="1" x14ac:dyDescent="0.2">
      <c r="A13" s="59">
        <v>22</v>
      </c>
      <c r="B13" s="34">
        <v>11549357.712850001</v>
      </c>
      <c r="C13" s="34">
        <v>227.62</v>
      </c>
      <c r="D13" s="34">
        <v>50739.64376087339</v>
      </c>
      <c r="F13" s="28">
        <f t="shared" si="3"/>
        <v>22</v>
      </c>
      <c r="G13" s="28">
        <f>F13-$G$2</f>
        <v>18</v>
      </c>
      <c r="H13" s="31">
        <f>VLOOKUP(G13,'Daily Rates Pivot'!$A$3:$I$28,5,FALSE)*100</f>
        <v>52198.249999999993</v>
      </c>
      <c r="I13" s="32">
        <f t="shared" si="1"/>
        <v>1458.6062391266023</v>
      </c>
      <c r="J13" s="31">
        <f t="shared" si="2"/>
        <v>332007.95214999723</v>
      </c>
    </row>
    <row r="14" spans="1:11" ht="15" customHeight="1" x14ac:dyDescent="0.2">
      <c r="A14" s="15" t="s">
        <v>15</v>
      </c>
      <c r="B14" s="34">
        <v>68744098.963200003</v>
      </c>
      <c r="C14" s="34">
        <v>1306.23</v>
      </c>
      <c r="D14" s="34">
        <v>52627.867192760867</v>
      </c>
      <c r="F14" s="28" t="str">
        <f t="shared" si="3"/>
        <v>RBD PALM STEARIN (LOCAL)</v>
      </c>
      <c r="I14" s="32"/>
      <c r="K14" s="31">
        <f>SUM(J15:J19)/C14</f>
        <v>2739.8028704490557</v>
      </c>
    </row>
    <row r="15" spans="1:11" ht="15" customHeight="1" x14ac:dyDescent="0.2">
      <c r="A15" s="59">
        <v>19</v>
      </c>
      <c r="B15" s="34">
        <v>9358712.7804000005</v>
      </c>
      <c r="C15" s="34">
        <v>178.92</v>
      </c>
      <c r="D15" s="34">
        <v>52306.688913480895</v>
      </c>
      <c r="F15" s="28">
        <f t="shared" si="3"/>
        <v>19</v>
      </c>
      <c r="G15" s="28">
        <f>F15-$G$2</f>
        <v>15</v>
      </c>
      <c r="H15" s="31">
        <f>VLOOKUP(G15,'Daily Rates Pivot'!$A$3:$I$28,2,FALSE)*100</f>
        <v>55750</v>
      </c>
      <c r="I15" s="32">
        <f t="shared" si="1"/>
        <v>3443.3110865191047</v>
      </c>
      <c r="J15" s="31">
        <f t="shared" si="2"/>
        <v>616077.21959999821</v>
      </c>
    </row>
    <row r="16" spans="1:11" ht="15" customHeight="1" x14ac:dyDescent="0.2">
      <c r="A16" s="59">
        <v>20</v>
      </c>
      <c r="B16" s="34">
        <v>19706696.298999999</v>
      </c>
      <c r="C16" s="34">
        <v>385.63000000000005</v>
      </c>
      <c r="D16" s="34">
        <v>51102.60171407825</v>
      </c>
      <c r="F16" s="28">
        <f t="shared" si="3"/>
        <v>20</v>
      </c>
      <c r="G16" s="28">
        <f>F16-$G$2</f>
        <v>16</v>
      </c>
      <c r="H16" s="31">
        <f>VLOOKUP(G16,'Daily Rates Pivot'!$A$3:$I$28,2,FALSE)*100</f>
        <v>54666.666666666664</v>
      </c>
      <c r="I16" s="32">
        <f t="shared" si="1"/>
        <v>3564.0649525884146</v>
      </c>
      <c r="J16" s="31">
        <f t="shared" si="2"/>
        <v>1374410.3676666706</v>
      </c>
    </row>
    <row r="17" spans="1:11" ht="15" customHeight="1" x14ac:dyDescent="0.2">
      <c r="A17" s="59">
        <v>21</v>
      </c>
      <c r="B17" s="34">
        <v>19885313.328899998</v>
      </c>
      <c r="C17" s="34">
        <v>363.72999999999996</v>
      </c>
      <c r="D17" s="34">
        <v>54670.533991972065</v>
      </c>
      <c r="F17" s="28">
        <f t="shared" si="3"/>
        <v>21</v>
      </c>
      <c r="G17" s="28">
        <f>F17-$G$2</f>
        <v>17</v>
      </c>
      <c r="H17" s="31">
        <f>VLOOKUP(G17,'Daily Rates Pivot'!$A$3:$I$28,2,FALSE)*100</f>
        <v>55600</v>
      </c>
      <c r="I17" s="32">
        <f t="shared" si="1"/>
        <v>929.46600802793546</v>
      </c>
      <c r="J17" s="31">
        <f t="shared" si="2"/>
        <v>338074.67110000091</v>
      </c>
    </row>
    <row r="18" spans="1:11" ht="15" customHeight="1" x14ac:dyDescent="0.2">
      <c r="A18" s="59">
        <v>22</v>
      </c>
      <c r="B18" s="34">
        <v>12662937.7557</v>
      </c>
      <c r="C18" s="34">
        <v>243.73000000000002</v>
      </c>
      <c r="D18" s="34">
        <v>51954.776825585686</v>
      </c>
      <c r="F18" s="28">
        <f t="shared" si="3"/>
        <v>22</v>
      </c>
      <c r="G18" s="28">
        <f>F18-$G$2</f>
        <v>18</v>
      </c>
      <c r="H18" s="31">
        <f>VLOOKUP(G18,'Daily Rates Pivot'!$A$3:$I$28,2,FALSE)*100</f>
        <v>56140</v>
      </c>
      <c r="I18" s="32">
        <f t="shared" si="1"/>
        <v>4185.2231744143137</v>
      </c>
      <c r="J18" s="31">
        <f t="shared" si="2"/>
        <v>1020064.4443000008</v>
      </c>
    </row>
    <row r="19" spans="1:11" ht="15" customHeight="1" x14ac:dyDescent="0.2">
      <c r="A19" s="59">
        <v>23</v>
      </c>
      <c r="B19" s="34">
        <v>7130438.7992000002</v>
      </c>
      <c r="C19" s="34">
        <v>134.22</v>
      </c>
      <c r="D19" s="34">
        <v>53125.009679630457</v>
      </c>
      <c r="F19" s="28">
        <f t="shared" si="3"/>
        <v>23</v>
      </c>
      <c r="G19" s="28">
        <f>F19-$G$2</f>
        <v>19</v>
      </c>
      <c r="H19" s="31">
        <f>VLOOKUP(G19,'Daily Rates Pivot'!$A$3:$I$28,2,FALSE)*100</f>
        <v>54840</v>
      </c>
      <c r="I19" s="32">
        <f t="shared" si="1"/>
        <v>1714.990320369543</v>
      </c>
      <c r="J19" s="31">
        <f t="shared" si="2"/>
        <v>230186.00080000007</v>
      </c>
    </row>
    <row r="20" spans="1:11" ht="15" customHeight="1" x14ac:dyDescent="0.2">
      <c r="A20" s="15" t="s">
        <v>13</v>
      </c>
      <c r="B20" s="34">
        <v>4187100</v>
      </c>
      <c r="C20" s="34">
        <v>81.8</v>
      </c>
      <c r="D20" s="34">
        <v>51187.041564792176</v>
      </c>
      <c r="F20" s="28" t="str">
        <f t="shared" si="3"/>
        <v>RICE BRAN FATTY ACIDS- PCP - LOCAL</v>
      </c>
      <c r="I20" s="32"/>
      <c r="K20" s="31">
        <f>SUM(J21:J22)/C20</f>
        <v>175.64792176038898</v>
      </c>
    </row>
    <row r="21" spans="1:11" ht="15" customHeight="1" x14ac:dyDescent="0.2">
      <c r="A21" s="59">
        <v>20</v>
      </c>
      <c r="B21" s="34">
        <v>2875380</v>
      </c>
      <c r="C21" s="34">
        <v>56.16</v>
      </c>
      <c r="D21" s="34">
        <v>51199.786324786328</v>
      </c>
      <c r="F21" s="28">
        <f t="shared" si="3"/>
        <v>20</v>
      </c>
      <c r="G21" s="28">
        <f>F21-$G$3</f>
        <v>18</v>
      </c>
      <c r="H21" s="31">
        <f>VLOOKUP(G21,'Daily Rates Pivot'!$A$3:$I$28,7,FALSE)*100</f>
        <v>51300</v>
      </c>
      <c r="I21" s="32">
        <f t="shared" si="1"/>
        <v>100.2136752136721</v>
      </c>
      <c r="J21" s="31">
        <f t="shared" si="2"/>
        <v>5627.9999999998254</v>
      </c>
    </row>
    <row r="22" spans="1:11" ht="15" customHeight="1" x14ac:dyDescent="0.2">
      <c r="A22" s="59">
        <v>22</v>
      </c>
      <c r="B22" s="34">
        <v>1311720</v>
      </c>
      <c r="C22" s="34">
        <v>25.64</v>
      </c>
      <c r="D22" s="34">
        <v>51159.126365054603</v>
      </c>
      <c r="F22" s="28">
        <f t="shared" si="3"/>
        <v>22</v>
      </c>
      <c r="G22" s="28">
        <f>F22-$G$3</f>
        <v>20</v>
      </c>
      <c r="H22" s="31">
        <f>VLOOKUP(G22,'Daily Rates Pivot'!$A$3:$I$28,7,FALSE)*100</f>
        <v>51500</v>
      </c>
      <c r="I22" s="32">
        <f t="shared" si="1"/>
        <v>340.8736349453975</v>
      </c>
      <c r="J22" s="31">
        <f t="shared" si="2"/>
        <v>8739.9999999999927</v>
      </c>
    </row>
    <row r="23" spans="1:11" ht="15" customHeight="1" x14ac:dyDescent="0.2">
      <c r="A23" s="15" t="s">
        <v>39</v>
      </c>
      <c r="B23" s="34">
        <v>157330976.32577819</v>
      </c>
      <c r="C23" s="34">
        <v>2676.0099999999998</v>
      </c>
      <c r="D23" s="34">
        <v>58793.119728916645</v>
      </c>
    </row>
    <row r="24" spans="1:11" ht="15" customHeight="1" x14ac:dyDescent="0.25">
      <c r="A24" s="12"/>
      <c r="B24" s="32"/>
      <c r="C24" s="32"/>
      <c r="D24" s="32"/>
      <c r="I24" s="32"/>
    </row>
    <row r="25" spans="1:11" ht="15" customHeight="1" x14ac:dyDescent="0.25">
      <c r="A25" s="12"/>
      <c r="B25" s="32"/>
      <c r="C25" s="32"/>
      <c r="D25" s="32"/>
      <c r="I25" s="32"/>
    </row>
    <row r="26" spans="1:11" ht="15" customHeight="1" x14ac:dyDescent="0.25">
      <c r="A26" s="12"/>
      <c r="B26" s="32"/>
      <c r="C26" s="32"/>
      <c r="D26" s="32"/>
      <c r="I26" s="32"/>
    </row>
    <row r="27" spans="1:11" ht="15" customHeight="1" x14ac:dyDescent="0.25">
      <c r="A27" s="12"/>
      <c r="B27" s="32"/>
      <c r="C27" s="32"/>
      <c r="D27" s="32"/>
      <c r="I27" s="32"/>
    </row>
    <row r="28" spans="1:11" ht="15" customHeight="1" x14ac:dyDescent="0.25">
      <c r="A28" s="12"/>
      <c r="B28" s="32"/>
      <c r="C28" s="32"/>
      <c r="D28" s="32"/>
      <c r="I28" s="32"/>
    </row>
    <row r="29" spans="1:11" ht="15" customHeight="1" x14ac:dyDescent="0.25">
      <c r="A29" s="12"/>
      <c r="B29" s="32"/>
      <c r="C29" s="32"/>
      <c r="D29" s="32"/>
    </row>
    <row r="30" spans="1:11" ht="15" customHeight="1" x14ac:dyDescent="0.25">
      <c r="A30" s="12"/>
      <c r="B30" s="32"/>
      <c r="C30" s="32"/>
      <c r="D30" s="32"/>
      <c r="I30" s="32"/>
    </row>
    <row r="31" spans="1:11" ht="15" customHeight="1" x14ac:dyDescent="0.25">
      <c r="A31" s="12"/>
      <c r="B31" s="32"/>
      <c r="C31" s="32"/>
      <c r="D31" s="32"/>
      <c r="I31" s="32"/>
    </row>
    <row r="32" spans="1:11" ht="15" customHeight="1" x14ac:dyDescent="0.25">
      <c r="A32" s="12"/>
      <c r="B32" s="32"/>
      <c r="C32" s="32"/>
      <c r="D32" s="32"/>
      <c r="I32" s="32"/>
    </row>
    <row r="33" spans="1:11" ht="15" customHeight="1" x14ac:dyDescent="0.25">
      <c r="A33" s="12"/>
      <c r="B33" s="32"/>
      <c r="C33" s="32"/>
      <c r="D33" s="32"/>
      <c r="I33" s="32"/>
      <c r="K33" s="28"/>
    </row>
    <row r="34" spans="1:11" ht="15" customHeight="1" x14ac:dyDescent="0.25">
      <c r="A34" s="12"/>
      <c r="B34" s="32"/>
      <c r="C34" s="32"/>
      <c r="D34" s="32"/>
      <c r="K34" s="28"/>
    </row>
    <row r="35" spans="1:11" ht="15" customHeight="1" x14ac:dyDescent="0.25">
      <c r="A35" s="12"/>
      <c r="B35" s="13"/>
      <c r="C35" s="13"/>
      <c r="D35" s="32"/>
      <c r="K35" s="28"/>
    </row>
    <row r="36" spans="1:11" ht="15" customHeight="1" x14ac:dyDescent="0.25">
      <c r="A36" s="12"/>
      <c r="B36" s="13"/>
      <c r="C36" s="13"/>
      <c r="D36" s="32"/>
      <c r="K3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9" workbookViewId="0">
      <selection activeCell="F27" sqref="F27"/>
    </sheetView>
  </sheetViews>
  <sheetFormatPr defaultRowHeight="15" customHeight="1" x14ac:dyDescent="0.25"/>
  <cols>
    <col min="1" max="1" width="43.42578125" style="28" customWidth="1"/>
    <col min="2" max="2" width="27.42578125" style="28" customWidth="1"/>
    <col min="3" max="3" width="10.85546875" style="28" customWidth="1"/>
    <col min="4" max="4" width="14.42578125" style="28" customWidth="1"/>
    <col min="5" max="7" width="9.140625" style="28"/>
    <col min="8" max="8" width="9.7109375" style="31" bestFit="1" customWidth="1"/>
    <col min="9" max="9" width="9.7109375" style="28" bestFit="1" customWidth="1"/>
    <col min="10" max="10" width="13.7109375" style="31" bestFit="1" customWidth="1"/>
    <col min="11" max="11" width="9.7109375" style="31" bestFit="1" customWidth="1"/>
    <col min="12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  <c r="J2" s="31" t="s">
        <v>64</v>
      </c>
    </row>
    <row r="3" spans="1:11" ht="15" customHeight="1" x14ac:dyDescent="0.2">
      <c r="A3" s="17" t="s">
        <v>38</v>
      </c>
      <c r="B3" s="14" t="s">
        <v>40</v>
      </c>
      <c r="C3" s="14" t="s">
        <v>43</v>
      </c>
      <c r="D3" s="14" t="s">
        <v>41</v>
      </c>
      <c r="G3" s="28">
        <v>2</v>
      </c>
      <c r="J3" s="31">
        <f>SUM(J5:J30)</f>
        <v>16271546.177301027</v>
      </c>
    </row>
    <row r="4" spans="1:11" ht="15" customHeight="1" x14ac:dyDescent="0.2">
      <c r="A4" s="15" t="s">
        <v>20</v>
      </c>
      <c r="B4" s="10">
        <v>29133920.486880001</v>
      </c>
      <c r="C4" s="10">
        <v>345.97</v>
      </c>
      <c r="D4" s="10">
        <v>84209.383723675463</v>
      </c>
      <c r="F4" s="28" t="str">
        <f>A4</f>
        <v>COCONUT OIL (CRUDE) LOCAL</v>
      </c>
      <c r="K4" s="31">
        <f>SUM(J5:J7)/C4</f>
        <v>369.48430738593368</v>
      </c>
    </row>
    <row r="5" spans="1:11" ht="15" customHeight="1" x14ac:dyDescent="0.2">
      <c r="A5" s="59">
        <v>25</v>
      </c>
      <c r="B5" s="10">
        <v>11845503.575999999</v>
      </c>
      <c r="C5" s="10">
        <v>140.92000000000002</v>
      </c>
      <c r="D5" s="10">
        <v>84058.356344024971</v>
      </c>
      <c r="F5" s="28">
        <f t="shared" ref="F5:F31" si="0">A5</f>
        <v>25</v>
      </c>
      <c r="G5" s="28">
        <f>F5-$G$2</f>
        <v>21</v>
      </c>
      <c r="H5" s="31">
        <f>VLOOKUP(G5,'Daily Rates Pivot'!$A$3:$I$28,8,FALSE)</f>
        <v>85940.176677462994</v>
      </c>
      <c r="I5" s="32">
        <f>H5-D5</f>
        <v>1881.8203334380232</v>
      </c>
      <c r="J5" s="31">
        <f>I5*C5</f>
        <v>265186.12138808623</v>
      </c>
    </row>
    <row r="6" spans="1:11" ht="15" customHeight="1" x14ac:dyDescent="0.2">
      <c r="A6" s="59">
        <v>26</v>
      </c>
      <c r="B6" s="10">
        <v>10152142.389479998</v>
      </c>
      <c r="C6" s="10">
        <v>120.66999999999999</v>
      </c>
      <c r="D6" s="10">
        <v>84131.452635120571</v>
      </c>
      <c r="F6" s="28">
        <f t="shared" si="0"/>
        <v>26</v>
      </c>
      <c r="G6" s="28">
        <f>F6-$G$2</f>
        <v>22</v>
      </c>
      <c r="H6" s="31">
        <f>VLOOKUP(G6,'Daily Rates Pivot'!$A$3:$I$28,8,FALSE)</f>
        <v>82904.531434569595</v>
      </c>
      <c r="I6" s="32">
        <f>H6-D6</f>
        <v>-1226.9212005509762</v>
      </c>
      <c r="J6" s="31">
        <f>I6*C6</f>
        <v>-148052.58127048629</v>
      </c>
    </row>
    <row r="7" spans="1:11" ht="15" customHeight="1" x14ac:dyDescent="0.2">
      <c r="A7" s="59">
        <v>27</v>
      </c>
      <c r="B7" s="10">
        <v>7136274.5214000009</v>
      </c>
      <c r="C7" s="10">
        <v>84.38</v>
      </c>
      <c r="D7" s="10">
        <v>84573.056665086522</v>
      </c>
      <c r="F7" s="28">
        <f t="shared" si="0"/>
        <v>27</v>
      </c>
      <c r="G7" s="28">
        <f>F7-$G$2</f>
        <v>23</v>
      </c>
      <c r="H7" s="31">
        <f>VLOOKUP(G7,'Daily Rates Pivot'!$A$3:$I$28,8,FALSE)</f>
        <v>84699.827768531788</v>
      </c>
      <c r="I7" s="32">
        <f>H7-D7</f>
        <v>126.77110344526591</v>
      </c>
      <c r="J7" s="31">
        <f>I7*C7</f>
        <v>10696.945708711537</v>
      </c>
    </row>
    <row r="8" spans="1:11" ht="15" customHeight="1" x14ac:dyDescent="0.2">
      <c r="A8" s="15" t="s">
        <v>26</v>
      </c>
      <c r="B8" s="10">
        <v>49653808.272</v>
      </c>
      <c r="C8" s="10">
        <v>622.81999999999994</v>
      </c>
      <c r="D8" s="10">
        <v>79724.171144150809</v>
      </c>
      <c r="F8" s="28" t="str">
        <f t="shared" si="0"/>
        <v>CRUDE PALM KERNEL OIL FFA 20% MINIMUM</v>
      </c>
      <c r="I8" s="32"/>
      <c r="K8" s="31">
        <f>SUM(J9:J11)/C8</f>
        <v>14623.484426113992</v>
      </c>
    </row>
    <row r="9" spans="1:11" ht="15" customHeight="1" x14ac:dyDescent="0.2">
      <c r="A9" s="59">
        <v>23</v>
      </c>
      <c r="B9" s="10">
        <v>10045298.2454</v>
      </c>
      <c r="C9" s="10">
        <v>129.13999999999999</v>
      </c>
      <c r="D9" s="10">
        <v>77786.110000000015</v>
      </c>
      <c r="F9" s="28">
        <f t="shared" si="0"/>
        <v>23</v>
      </c>
      <c r="G9" s="28">
        <f>F9-$G$1</f>
        <v>15</v>
      </c>
      <c r="H9" s="31">
        <f>VLOOKUP(G9,Fresco!$A$3:$B$47,2,FALSE)</f>
        <v>97301.219812808311</v>
      </c>
      <c r="I9" s="32">
        <f t="shared" ref="I9:I11" si="1">H9-D9</f>
        <v>19515.109812808296</v>
      </c>
      <c r="J9" s="31">
        <f t="shared" ref="J9:J11" si="2">I9*C9</f>
        <v>2520181.2812260631</v>
      </c>
    </row>
    <row r="10" spans="1:11" ht="15" customHeight="1" x14ac:dyDescent="0.2">
      <c r="A10" s="59">
        <v>24</v>
      </c>
      <c r="B10" s="10">
        <v>6881251.8706</v>
      </c>
      <c r="C10" s="10">
        <v>85.780000000000015</v>
      </c>
      <c r="D10" s="10">
        <v>80219.76999999999</v>
      </c>
      <c r="F10" s="28">
        <f t="shared" si="0"/>
        <v>24</v>
      </c>
      <c r="G10" s="28">
        <f>F10-$G$1</f>
        <v>16</v>
      </c>
      <c r="H10" s="31">
        <f>VLOOKUP(G10,Fresco!$A$3:$B$47,2,FALSE)</f>
        <v>94470.325346948113</v>
      </c>
      <c r="I10" s="32">
        <f t="shared" si="1"/>
        <v>14250.555346948124</v>
      </c>
      <c r="J10" s="31">
        <f t="shared" si="2"/>
        <v>1222412.6376612103</v>
      </c>
    </row>
    <row r="11" spans="1:11" ht="15" customHeight="1" x14ac:dyDescent="0.2">
      <c r="A11" s="59">
        <v>25</v>
      </c>
      <c r="B11" s="10">
        <v>32727258.155999999</v>
      </c>
      <c r="C11" s="10">
        <v>407.9</v>
      </c>
      <c r="D11" s="10">
        <v>80233.533111056633</v>
      </c>
      <c r="F11" s="28">
        <f t="shared" si="0"/>
        <v>25</v>
      </c>
      <c r="G11" s="28">
        <f>F11-$G$1</f>
        <v>17</v>
      </c>
      <c r="H11" s="31">
        <f>VLOOKUP(G11,Fresco!$A$3:$B$47,2,FALSE)</f>
        <v>93386.768343675023</v>
      </c>
      <c r="I11" s="32">
        <f t="shared" si="1"/>
        <v>13153.23523261839</v>
      </c>
      <c r="J11" s="31">
        <f t="shared" si="2"/>
        <v>5365204.651385041</v>
      </c>
    </row>
    <row r="12" spans="1:11" ht="15" customHeight="1" x14ac:dyDescent="0.2">
      <c r="A12" s="15" t="s">
        <v>66</v>
      </c>
      <c r="B12" s="10">
        <v>11952388.61699337</v>
      </c>
      <c r="C12" s="10">
        <v>202.46499999999997</v>
      </c>
      <c r="D12" s="10">
        <v>59034.344785485744</v>
      </c>
      <c r="F12" s="28" t="str">
        <f t="shared" si="0"/>
        <v>PALM KERNEL FATTY ACID DISTILLATE</v>
      </c>
      <c r="I12" s="32"/>
      <c r="K12" s="31">
        <f>SUM(J13:J14)/C12</f>
        <v>25134.396757969993</v>
      </c>
    </row>
    <row r="13" spans="1:11" ht="15" customHeight="1" x14ac:dyDescent="0.2">
      <c r="A13" s="59">
        <v>24</v>
      </c>
      <c r="B13" s="10">
        <v>9571344.3188481294</v>
      </c>
      <c r="C13" s="10">
        <v>162.58499999999998</v>
      </c>
      <c r="D13" s="10">
        <v>58869.786996636409</v>
      </c>
      <c r="F13" s="28">
        <f t="shared" si="0"/>
        <v>24</v>
      </c>
      <c r="G13" s="28">
        <f>F13-$G$1</f>
        <v>16</v>
      </c>
      <c r="H13" s="31">
        <f>VLOOKUP(G13,'Daily Rates Pivot'!$A$3:$J$28,10,FALSE)</f>
        <v>84411.947925</v>
      </c>
      <c r="I13" s="32">
        <f t="shared" ref="I13:I17" si="3">H13-D13</f>
        <v>25542.160928363592</v>
      </c>
      <c r="J13" s="31">
        <f t="shared" ref="J13:J17" si="4">I13*C13</f>
        <v>4152772.234537994</v>
      </c>
    </row>
    <row r="14" spans="1:11" ht="15" customHeight="1" x14ac:dyDescent="0.2">
      <c r="A14" s="59">
        <v>25</v>
      </c>
      <c r="B14" s="10">
        <v>2381044.2981452402</v>
      </c>
      <c r="C14" s="10">
        <v>39.880000000000003</v>
      </c>
      <c r="D14" s="10">
        <v>59705.223123000003</v>
      </c>
      <c r="F14" s="28">
        <f t="shared" si="0"/>
        <v>25</v>
      </c>
      <c r="G14" s="28">
        <f>F14-$G$1</f>
        <v>17</v>
      </c>
      <c r="H14" s="31">
        <f>VLOOKUP(G14,'Daily Rates Pivot'!$A$3:$J$28,10,FALSE)</f>
        <v>83177.224252999993</v>
      </c>
      <c r="I14" s="32">
        <f t="shared" si="3"/>
        <v>23472.00112999999</v>
      </c>
      <c r="J14" s="31">
        <f t="shared" si="4"/>
        <v>936063.4050643997</v>
      </c>
    </row>
    <row r="15" spans="1:11" ht="15" customHeight="1" x14ac:dyDescent="0.2">
      <c r="A15" s="15" t="s">
        <v>18</v>
      </c>
      <c r="B15" s="10">
        <v>39626522.073550001</v>
      </c>
      <c r="C15" s="10">
        <v>793.99</v>
      </c>
      <c r="D15" s="10">
        <v>49908.087096248062</v>
      </c>
      <c r="F15" s="28" t="str">
        <f t="shared" si="0"/>
        <v>PFAD(LOCAL)-PCP</v>
      </c>
      <c r="I15" s="32"/>
      <c r="K15" s="31">
        <f>SUM(J16:J20)/C15</f>
        <v>563.96731879494894</v>
      </c>
    </row>
    <row r="16" spans="1:11" ht="15" customHeight="1" x14ac:dyDescent="0.2">
      <c r="A16" s="59">
        <v>23</v>
      </c>
      <c r="B16" s="10">
        <v>6981587.3415999999</v>
      </c>
      <c r="C16" s="10">
        <v>139.39000000000001</v>
      </c>
      <c r="D16" s="10">
        <v>50086.715988234442</v>
      </c>
      <c r="F16" s="28">
        <f t="shared" si="0"/>
        <v>23</v>
      </c>
      <c r="G16" s="28">
        <f>F16-$G$2</f>
        <v>19</v>
      </c>
      <c r="H16" s="31">
        <f>VLOOKUP(G16,'Daily Rates Pivot'!$A$3:$I$28,5,FALSE)*100</f>
        <v>51624.500000000015</v>
      </c>
      <c r="I16" s="32">
        <f t="shared" si="3"/>
        <v>1537.7840117655724</v>
      </c>
      <c r="J16" s="31">
        <f t="shared" si="4"/>
        <v>214351.71340000315</v>
      </c>
    </row>
    <row r="17" spans="1:11" ht="15" customHeight="1" x14ac:dyDescent="0.2">
      <c r="A17" s="59">
        <v>24</v>
      </c>
      <c r="B17" s="10">
        <v>8501490.0304499995</v>
      </c>
      <c r="C17" s="10">
        <v>170.14999999999998</v>
      </c>
      <c r="D17" s="10">
        <v>49964.678404055252</v>
      </c>
      <c r="F17" s="28">
        <f t="shared" si="0"/>
        <v>24</v>
      </c>
      <c r="G17" s="28">
        <f>F17-$G$2</f>
        <v>20</v>
      </c>
      <c r="H17" s="31">
        <f>VLOOKUP(G17,'Daily Rates Pivot'!$A$3:$I$28,5,FALSE)*100</f>
        <v>51417.95</v>
      </c>
      <c r="I17" s="32">
        <f t="shared" si="3"/>
        <v>1453.2715959447451</v>
      </c>
      <c r="J17" s="31">
        <f t="shared" si="4"/>
        <v>247274.16204999833</v>
      </c>
    </row>
    <row r="18" spans="1:11" ht="15" customHeight="1" x14ac:dyDescent="0.2">
      <c r="A18" s="59">
        <v>25</v>
      </c>
      <c r="B18" s="10">
        <v>5737778</v>
      </c>
      <c r="C18" s="10">
        <v>113.92999999999999</v>
      </c>
      <c r="D18" s="10">
        <v>50362.310190467833</v>
      </c>
      <c r="F18" s="28">
        <f t="shared" si="0"/>
        <v>25</v>
      </c>
      <c r="G18" s="28">
        <f>F18-$G$2</f>
        <v>21</v>
      </c>
      <c r="H18" s="31">
        <f>VLOOKUP(G18,'Daily Rates Pivot'!$A$3:$I$28,5,FALSE)*100</f>
        <v>49673.75</v>
      </c>
      <c r="I18" s="32">
        <f t="shared" ref="I18:I26" si="5">H18-D18</f>
        <v>-688.56019046783331</v>
      </c>
      <c r="J18" s="31">
        <f t="shared" ref="J18:J23" si="6">I18*C18</f>
        <v>-78447.662500000239</v>
      </c>
    </row>
    <row r="19" spans="1:11" ht="15" customHeight="1" x14ac:dyDescent="0.2">
      <c r="A19" s="59">
        <v>26</v>
      </c>
      <c r="B19" s="10">
        <v>5893323.96</v>
      </c>
      <c r="C19" s="10">
        <v>116.80000000000001</v>
      </c>
      <c r="D19" s="10">
        <v>50456.540753424655</v>
      </c>
      <c r="F19" s="28">
        <f t="shared" si="0"/>
        <v>26</v>
      </c>
      <c r="G19" s="28">
        <f>F19-$G$2</f>
        <v>22</v>
      </c>
      <c r="H19" s="31">
        <f>VLOOKUP(G19,'Daily Rates Pivot'!$A$3:$I$28,5,FALSE)*100</f>
        <v>48985.250000000007</v>
      </c>
      <c r="I19" s="32">
        <f t="shared" si="5"/>
        <v>-1471.2907534246478</v>
      </c>
      <c r="J19" s="31">
        <f t="shared" si="6"/>
        <v>-171846.75999999887</v>
      </c>
    </row>
    <row r="20" spans="1:11" ht="15" customHeight="1" x14ac:dyDescent="0.2">
      <c r="A20" s="59">
        <v>27</v>
      </c>
      <c r="B20" s="10">
        <v>12512342.741500001</v>
      </c>
      <c r="C20" s="10">
        <v>253.72000000000003</v>
      </c>
      <c r="D20" s="10">
        <v>49315.555500157658</v>
      </c>
      <c r="F20" s="28">
        <f t="shared" si="0"/>
        <v>27</v>
      </c>
      <c r="G20" s="28">
        <f>F20-$G$2</f>
        <v>23</v>
      </c>
      <c r="H20" s="31">
        <f>VLOOKUP(G20,'Daily Rates Pivot'!$A$3:$I$28,5,FALSE)*100</f>
        <v>50247.5</v>
      </c>
      <c r="I20" s="32">
        <f t="shared" si="5"/>
        <v>931.94449984234234</v>
      </c>
      <c r="J20" s="31">
        <f t="shared" si="6"/>
        <v>236452.95849999913</v>
      </c>
    </row>
    <row r="21" spans="1:11" ht="15" customHeight="1" x14ac:dyDescent="0.2">
      <c r="A21" s="15" t="s">
        <v>15</v>
      </c>
      <c r="B21" s="10">
        <v>91281080.227449998</v>
      </c>
      <c r="C21" s="10">
        <v>1713.5400000000002</v>
      </c>
      <c r="D21" s="10">
        <v>53270.469453558129</v>
      </c>
      <c r="F21" s="28" t="str">
        <f t="shared" si="0"/>
        <v>RBD PALM STEARIN (LOCAL)</v>
      </c>
      <c r="I21" s="32"/>
      <c r="K21" s="31">
        <f>SUM(J22:J26)/C21</f>
        <v>945.48255223105662</v>
      </c>
    </row>
    <row r="22" spans="1:11" ht="15" customHeight="1" x14ac:dyDescent="0.2">
      <c r="A22" s="59">
        <v>23</v>
      </c>
      <c r="B22" s="10">
        <v>19004312.764399998</v>
      </c>
      <c r="C22" s="10">
        <v>350.66</v>
      </c>
      <c r="D22" s="10">
        <v>54195.83860263502</v>
      </c>
      <c r="F22" s="28">
        <f t="shared" si="0"/>
        <v>23</v>
      </c>
      <c r="G22" s="28">
        <f>F22-$G$2</f>
        <v>19</v>
      </c>
      <c r="H22" s="31">
        <f>VLOOKUP(G22,'Daily Rates Pivot'!$A$3:$I$28,2,FALSE)*100</f>
        <v>54840</v>
      </c>
      <c r="I22" s="32">
        <f t="shared" si="5"/>
        <v>644.16139736498008</v>
      </c>
      <c r="J22" s="31">
        <f t="shared" si="6"/>
        <v>225881.63560000394</v>
      </c>
    </row>
    <row r="23" spans="1:11" ht="15" customHeight="1" x14ac:dyDescent="0.2">
      <c r="A23" s="59">
        <v>24</v>
      </c>
      <c r="B23" s="10">
        <v>26027740.055900004</v>
      </c>
      <c r="C23" s="10">
        <v>487.77</v>
      </c>
      <c r="D23" s="10">
        <v>53360.682403386854</v>
      </c>
      <c r="F23" s="28">
        <f t="shared" si="0"/>
        <v>24</v>
      </c>
      <c r="G23" s="28">
        <f>F23-$G$2</f>
        <v>20</v>
      </c>
      <c r="H23" s="31">
        <f>VLOOKUP(G23,'Daily Rates Pivot'!$A$3:$I$28,2,FALSE)*100</f>
        <v>55100</v>
      </c>
      <c r="I23" s="32">
        <f t="shared" si="5"/>
        <v>1739.3175966131457</v>
      </c>
      <c r="J23" s="31">
        <f t="shared" si="6"/>
        <v>848386.94409999403</v>
      </c>
    </row>
    <row r="24" spans="1:11" ht="15" customHeight="1" x14ac:dyDescent="0.2">
      <c r="A24" s="59">
        <v>25</v>
      </c>
      <c r="B24" s="10">
        <v>19498960.349599998</v>
      </c>
      <c r="C24" s="10">
        <v>361.51</v>
      </c>
      <c r="D24" s="10">
        <v>53937.540730823486</v>
      </c>
      <c r="F24" s="28">
        <f t="shared" si="0"/>
        <v>25</v>
      </c>
      <c r="G24" s="28">
        <f>F24-$G$2</f>
        <v>21</v>
      </c>
      <c r="H24" s="31">
        <f>VLOOKUP(G24,'Daily Rates Pivot'!$A$3:$I$28,2,FALSE)*100</f>
        <v>53900</v>
      </c>
      <c r="I24" s="32">
        <f t="shared" si="5"/>
        <v>-37.540730823486228</v>
      </c>
      <c r="J24" s="31">
        <f t="shared" ref="J24:J30" si="7">I24*C24</f>
        <v>-13571.349599998506</v>
      </c>
    </row>
    <row r="25" spans="1:11" ht="15" customHeight="1" x14ac:dyDescent="0.2">
      <c r="A25" s="59">
        <v>26</v>
      </c>
      <c r="B25" s="10">
        <v>19726177.31515</v>
      </c>
      <c r="C25" s="10">
        <v>373.32000000000011</v>
      </c>
      <c r="D25" s="10">
        <v>52839.862089226386</v>
      </c>
      <c r="F25" s="28">
        <f t="shared" si="0"/>
        <v>26</v>
      </c>
      <c r="G25" s="28">
        <f>F25-$G$2</f>
        <v>22</v>
      </c>
      <c r="H25" s="31">
        <f>VLOOKUP(G25,'Daily Rates Pivot'!$A$3:$I$28,2,FALSE)*100</f>
        <v>53200</v>
      </c>
      <c r="I25" s="32">
        <f t="shared" si="5"/>
        <v>360.13791077361384</v>
      </c>
      <c r="J25" s="31">
        <f t="shared" si="7"/>
        <v>134446.68485000555</v>
      </c>
    </row>
    <row r="26" spans="1:11" ht="15" customHeight="1" x14ac:dyDescent="0.2">
      <c r="A26" s="59">
        <v>27</v>
      </c>
      <c r="B26" s="10">
        <v>7023889.7424000008</v>
      </c>
      <c r="C26" s="10">
        <v>140.28</v>
      </c>
      <c r="D26" s="10">
        <v>50070.500017108643</v>
      </c>
      <c r="F26" s="28">
        <f t="shared" si="0"/>
        <v>27</v>
      </c>
      <c r="G26" s="28">
        <f>F26-$G$2</f>
        <v>23</v>
      </c>
      <c r="H26" s="31">
        <f>VLOOKUP(G26,'Daily Rates Pivot'!$A$3:$I$28,2,FALSE)*100</f>
        <v>53100</v>
      </c>
      <c r="I26" s="32">
        <f t="shared" si="5"/>
        <v>3029.4999828913569</v>
      </c>
      <c r="J26" s="31">
        <f t="shared" si="7"/>
        <v>424978.25759999955</v>
      </c>
    </row>
    <row r="27" spans="1:11" ht="15" customHeight="1" x14ac:dyDescent="0.2">
      <c r="A27" s="15" t="s">
        <v>13</v>
      </c>
      <c r="B27" s="10">
        <v>5742701.1023999993</v>
      </c>
      <c r="C27" s="10">
        <v>109.58000000000001</v>
      </c>
      <c r="D27" s="10">
        <v>52406.47109326518</v>
      </c>
      <c r="F27" s="28" t="str">
        <f t="shared" si="0"/>
        <v>RICE BRAN FATTY ACIDS- PCP - LOCAL</v>
      </c>
      <c r="I27" s="32"/>
      <c r="K27" s="31">
        <f>SUM(J28:J30)/C27</f>
        <v>-1102.6200255521046</v>
      </c>
    </row>
    <row r="28" spans="1:11" ht="15" customHeight="1" x14ac:dyDescent="0.2">
      <c r="A28" s="59">
        <v>23</v>
      </c>
      <c r="B28" s="10">
        <v>1407600</v>
      </c>
      <c r="C28" s="10">
        <v>27.5</v>
      </c>
      <c r="D28" s="10">
        <v>51185.454545454544</v>
      </c>
      <c r="F28" s="28">
        <f t="shared" si="0"/>
        <v>23</v>
      </c>
      <c r="G28" s="28">
        <f>F28-$G$3</f>
        <v>21</v>
      </c>
      <c r="H28" s="31">
        <f>VLOOKUP(G28,'Daily Rates Pivot'!$A$3:$I$28,7,FALSE)*100</f>
        <v>50600</v>
      </c>
      <c r="I28" s="32">
        <f t="shared" ref="I28:I30" si="8">H28-D28</f>
        <v>-585.45454545454413</v>
      </c>
      <c r="J28" s="31">
        <f t="shared" si="7"/>
        <v>-16099.999999999964</v>
      </c>
    </row>
    <row r="29" spans="1:11" ht="15" customHeight="1" x14ac:dyDescent="0.2">
      <c r="A29" s="59">
        <v>24</v>
      </c>
      <c r="B29" s="10">
        <v>1386180</v>
      </c>
      <c r="C29" s="10">
        <v>27.1</v>
      </c>
      <c r="D29" s="10">
        <v>51150.553505535056</v>
      </c>
      <c r="F29" s="28">
        <f t="shared" si="0"/>
        <v>24</v>
      </c>
      <c r="G29" s="28">
        <f t="shared" ref="G29:G30" si="9">F29-$G$3</f>
        <v>22</v>
      </c>
      <c r="H29" s="31">
        <f>VLOOKUP(G29,'Daily Rates Pivot'!$A$3:$I$28,7,FALSE)*100</f>
        <v>50200</v>
      </c>
      <c r="I29" s="32">
        <f t="shared" si="8"/>
        <v>-950.55350553505559</v>
      </c>
      <c r="J29" s="31">
        <f t="shared" si="7"/>
        <v>-25760.000000000007</v>
      </c>
    </row>
    <row r="30" spans="1:11" ht="15" customHeight="1" x14ac:dyDescent="0.2">
      <c r="A30" s="59">
        <v>26</v>
      </c>
      <c r="B30" s="10">
        <v>2948921.1023999997</v>
      </c>
      <c r="C30" s="10">
        <v>54.980000000000004</v>
      </c>
      <c r="D30" s="10">
        <v>53636.251407784643</v>
      </c>
      <c r="F30" s="28">
        <f t="shared" si="0"/>
        <v>26</v>
      </c>
      <c r="G30" s="28">
        <f t="shared" si="9"/>
        <v>24</v>
      </c>
      <c r="H30" s="31">
        <f>VLOOKUP(G30,'Daily Rates Pivot'!$A$3:$I$28,7,FALSE)*100</f>
        <v>52200</v>
      </c>
      <c r="I30" s="32">
        <f t="shared" si="8"/>
        <v>-1436.2514077846427</v>
      </c>
      <c r="J30" s="31">
        <f t="shared" si="7"/>
        <v>-78965.102399999654</v>
      </c>
    </row>
    <row r="31" spans="1:11" ht="15" customHeight="1" x14ac:dyDescent="0.2">
      <c r="A31" s="15" t="s">
        <v>39</v>
      </c>
      <c r="B31" s="10">
        <v>227390420.77927336</v>
      </c>
      <c r="C31" s="10">
        <v>3788.3650000000007</v>
      </c>
      <c r="D31" s="10">
        <v>60023.366486405954</v>
      </c>
      <c r="F31" s="28" t="str">
        <f t="shared" si="0"/>
        <v>Grand Total</v>
      </c>
      <c r="I31" s="32"/>
    </row>
    <row r="32" spans="1:11" ht="15" customHeight="1" x14ac:dyDescent="0.25">
      <c r="A32" s="12"/>
      <c r="B32" s="32"/>
      <c r="C32" s="32"/>
      <c r="D32" s="32"/>
      <c r="I32" s="32"/>
    </row>
    <row r="33" spans="1:11" ht="15" customHeight="1" x14ac:dyDescent="0.25">
      <c r="A33" s="12"/>
      <c r="B33" s="32"/>
      <c r="C33" s="32"/>
      <c r="D33" s="32"/>
      <c r="I33" s="32"/>
      <c r="K33" s="28"/>
    </row>
    <row r="34" spans="1:11" ht="15" customHeight="1" x14ac:dyDescent="0.25">
      <c r="A34" s="12"/>
      <c r="B34" s="32"/>
      <c r="C34" s="32"/>
      <c r="D34" s="32"/>
      <c r="K34" s="28"/>
    </row>
    <row r="35" spans="1:11" ht="15" customHeight="1" x14ac:dyDescent="0.25">
      <c r="A35" s="12"/>
      <c r="B35" s="13"/>
      <c r="C35" s="13"/>
      <c r="D35" s="32"/>
      <c r="K35" s="28"/>
    </row>
    <row r="36" spans="1:11" ht="15" customHeight="1" x14ac:dyDescent="0.25">
      <c r="A36" s="12"/>
      <c r="B36" s="13"/>
      <c r="C36" s="13"/>
      <c r="D36" s="32"/>
      <c r="K3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3" workbookViewId="0">
      <selection activeCell="H37" sqref="H37"/>
    </sheetView>
  </sheetViews>
  <sheetFormatPr defaultRowHeight="15" customHeight="1" x14ac:dyDescent="0.25"/>
  <cols>
    <col min="1" max="1" width="37.42578125" style="28" bestFit="1" customWidth="1"/>
    <col min="2" max="2" width="27.42578125" style="28" bestFit="1" customWidth="1"/>
    <col min="3" max="3" width="10.85546875" style="28" bestFit="1" customWidth="1"/>
    <col min="4" max="4" width="14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1"/>
    </row>
    <row r="2" spans="1:11" ht="15" customHeight="1" x14ac:dyDescent="0.25">
      <c r="G2" s="28">
        <v>4</v>
      </c>
      <c r="H2" s="31"/>
      <c r="J2" s="31" t="s">
        <v>64</v>
      </c>
      <c r="K2" s="31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41</v>
      </c>
      <c r="G3" s="28">
        <v>2</v>
      </c>
      <c r="H3" s="31"/>
      <c r="J3" s="31">
        <f>SUM(J5:J30)</f>
        <v>1901353.8286274853</v>
      </c>
      <c r="K3" s="31"/>
    </row>
    <row r="4" spans="1:11" ht="15" customHeight="1" x14ac:dyDescent="0.25">
      <c r="A4" s="12" t="s">
        <v>20</v>
      </c>
      <c r="B4" s="35">
        <v>11433169.52868</v>
      </c>
      <c r="C4" s="32">
        <v>136.88</v>
      </c>
      <c r="D4" s="35">
        <v>83526.954476037397</v>
      </c>
      <c r="F4" s="28" t="str">
        <f>A4</f>
        <v>COCONUT OIL (CRUDE) LOCAL</v>
      </c>
      <c r="H4" s="31"/>
      <c r="J4" s="31"/>
      <c r="K4" s="31">
        <f>SUM(J5:J7)/C4</f>
        <v>2045.3925970739842</v>
      </c>
    </row>
    <row r="5" spans="1:11" ht="15" customHeight="1" x14ac:dyDescent="0.25">
      <c r="A5" s="12">
        <v>27</v>
      </c>
      <c r="B5" s="35">
        <v>4782930.8681999994</v>
      </c>
      <c r="C5" s="32">
        <v>56.27</v>
      </c>
      <c r="D5" s="35">
        <v>84999.659999999989</v>
      </c>
      <c r="F5" s="28">
        <f t="shared" ref="F5:F31" si="0">A5</f>
        <v>27</v>
      </c>
      <c r="G5" s="28">
        <f>F5-$G$2</f>
        <v>23</v>
      </c>
      <c r="H5" s="31">
        <f>VLOOKUP(G5,'Daily Rates Pivot'!$A$3:$I$28,8,FALSE)</f>
        <v>84699.827768531788</v>
      </c>
      <c r="I5" s="32">
        <f>H5-D5</f>
        <v>-299.83223146820092</v>
      </c>
      <c r="J5" s="31">
        <f>I5*C5</f>
        <v>-16871.559664715667</v>
      </c>
      <c r="K5" s="31"/>
    </row>
    <row r="6" spans="1:11" ht="15" customHeight="1" x14ac:dyDescent="0.25">
      <c r="A6" s="12">
        <v>29</v>
      </c>
      <c r="B6" s="35">
        <v>3384321.3215999999</v>
      </c>
      <c r="C6" s="32">
        <v>40.29</v>
      </c>
      <c r="D6" s="35">
        <v>83999.039999999994</v>
      </c>
      <c r="F6" s="28">
        <f t="shared" si="0"/>
        <v>29</v>
      </c>
      <c r="G6" s="28">
        <f>F6-$G$2</f>
        <v>25</v>
      </c>
      <c r="H6" s="31">
        <f>VLOOKUP(G6,'Daily Rates Pivot'!$A$3:$I$28,8,FALSE)</f>
        <v>87114.263207286029</v>
      </c>
      <c r="I6" s="32">
        <f>H6-D6</f>
        <v>3115.2232072860352</v>
      </c>
      <c r="J6" s="31">
        <f>I6*C6</f>
        <v>125512.34302155435</v>
      </c>
      <c r="K6" s="31"/>
    </row>
    <row r="7" spans="1:11" ht="15" customHeight="1" x14ac:dyDescent="0.25">
      <c r="A7" s="12">
        <v>30</v>
      </c>
      <c r="B7" s="35">
        <v>3265917.3388799997</v>
      </c>
      <c r="C7" s="32">
        <v>40.32</v>
      </c>
      <c r="D7" s="35">
        <v>80999.933999999994</v>
      </c>
      <c r="F7" s="28">
        <f t="shared" si="0"/>
        <v>30</v>
      </c>
      <c r="G7" s="28">
        <f>F7-$G$2</f>
        <v>26</v>
      </c>
      <c r="H7" s="31">
        <f>VLOOKUP(G7,'Daily Rates Pivot'!$A$3:$I$40,8,FALSE)</f>
        <v>85249.253328637104</v>
      </c>
      <c r="I7" s="32">
        <f>H7-D7</f>
        <v>4249.3193286371097</v>
      </c>
      <c r="J7" s="31">
        <f>I7*C7</f>
        <v>171332.55533064826</v>
      </c>
      <c r="K7" s="31"/>
    </row>
    <row r="8" spans="1:11" ht="15" customHeight="1" x14ac:dyDescent="0.25">
      <c r="A8" s="12" t="s">
        <v>66</v>
      </c>
      <c r="B8" s="35">
        <v>5970522.3123000003</v>
      </c>
      <c r="C8" s="32">
        <v>100.00000000000001</v>
      </c>
      <c r="D8" s="35">
        <v>59705.223122999996</v>
      </c>
      <c r="F8" s="28" t="str">
        <f t="shared" si="0"/>
        <v>PALM KERNEL FATTY ACID DISTILLATE</v>
      </c>
      <c r="H8" s="31"/>
      <c r="I8" s="32"/>
      <c r="J8" s="31"/>
      <c r="K8" s="31">
        <f>SUM(J9)/C8</f>
        <v>19482.865889000001</v>
      </c>
    </row>
    <row r="9" spans="1:11" ht="15" customHeight="1" x14ac:dyDescent="0.25">
      <c r="A9" s="12">
        <v>28</v>
      </c>
      <c r="B9" s="35">
        <v>5970522.3123000003</v>
      </c>
      <c r="C9" s="32">
        <v>100.00000000000001</v>
      </c>
      <c r="D9" s="35">
        <v>59705.223122999996</v>
      </c>
      <c r="F9" s="28">
        <f t="shared" si="0"/>
        <v>28</v>
      </c>
      <c r="G9" s="28">
        <f>F9-$G$1</f>
        <v>20</v>
      </c>
      <c r="H9" s="31">
        <f>VLOOKUP(G9,'Daily Rates Pivot'!$A$3:$J$28,10,FALSE)</f>
        <v>79188.089011999997</v>
      </c>
      <c r="I9" s="32">
        <f t="shared" ref="I9:I11" si="1">H9-D9</f>
        <v>19482.865889000001</v>
      </c>
      <c r="J9" s="31">
        <f t="shared" ref="J9:J11" si="2">I9*C9</f>
        <v>1948286.5889000003</v>
      </c>
      <c r="K9" s="31"/>
    </row>
    <row r="10" spans="1:11" ht="15" customHeight="1" x14ac:dyDescent="0.25">
      <c r="A10" s="12" t="s">
        <v>18</v>
      </c>
      <c r="B10" s="35">
        <v>34252281.882399999</v>
      </c>
      <c r="C10" s="32">
        <v>691.6400000000001</v>
      </c>
      <c r="D10" s="35">
        <v>49523.280727546124</v>
      </c>
      <c r="F10" s="28" t="str">
        <f t="shared" si="0"/>
        <v>PFAD(LOCAL)-PCP</v>
      </c>
      <c r="H10" s="31"/>
      <c r="I10" s="32"/>
      <c r="J10" s="31"/>
      <c r="K10" s="31">
        <f>SUM(J11:J16)/C10</f>
        <v>1397.0236323810132</v>
      </c>
    </row>
    <row r="11" spans="1:11" ht="15" customHeight="1" x14ac:dyDescent="0.25">
      <c r="A11" s="12">
        <v>27</v>
      </c>
      <c r="B11" s="35">
        <v>1341501</v>
      </c>
      <c r="C11" s="32">
        <v>26.67</v>
      </c>
      <c r="D11" s="35">
        <v>50300</v>
      </c>
      <c r="F11" s="28">
        <f t="shared" si="0"/>
        <v>27</v>
      </c>
      <c r="G11" s="28">
        <f>F11-$G$2</f>
        <v>23</v>
      </c>
      <c r="H11" s="31">
        <f>VLOOKUP(G11,'Daily Rates Pivot'!$A$3:$I$50,5,FALSE)*100</f>
        <v>50247.5</v>
      </c>
      <c r="I11" s="32">
        <f t="shared" si="1"/>
        <v>-52.5</v>
      </c>
      <c r="J11" s="31">
        <f t="shared" si="2"/>
        <v>-1400.1750000000002</v>
      </c>
      <c r="K11" s="31"/>
    </row>
    <row r="12" spans="1:11" ht="15" customHeight="1" x14ac:dyDescent="0.25">
      <c r="A12" s="12">
        <v>28</v>
      </c>
      <c r="B12" s="35">
        <v>9444797.6153999995</v>
      </c>
      <c r="C12" s="32">
        <v>189.96</v>
      </c>
      <c r="D12" s="35">
        <v>49719.928487049903</v>
      </c>
      <c r="F12" s="28">
        <f t="shared" si="0"/>
        <v>28</v>
      </c>
      <c r="G12" s="28">
        <f t="shared" ref="G12:G16" si="3">F12-$G$2</f>
        <v>24</v>
      </c>
      <c r="H12" s="31">
        <f>VLOOKUP(G12,'Daily Rates Pivot'!$A$3:$I$50,5,FALSE)*100</f>
        <v>51624.500000000015</v>
      </c>
      <c r="I12" s="32">
        <f t="shared" ref="I12:I16" si="4">H12-D12</f>
        <v>1904.5715129501114</v>
      </c>
      <c r="J12" s="31">
        <f t="shared" ref="J12:J16" si="5">I12*C12</f>
        <v>361792.40460000315</v>
      </c>
      <c r="K12" s="31"/>
    </row>
    <row r="13" spans="1:11" ht="15" customHeight="1" x14ac:dyDescent="0.25">
      <c r="A13" s="12">
        <v>29</v>
      </c>
      <c r="B13" s="35">
        <v>5697778</v>
      </c>
      <c r="C13" s="32">
        <v>114.36</v>
      </c>
      <c r="D13" s="35">
        <v>49823.172437915353</v>
      </c>
      <c r="F13" s="28">
        <f t="shared" si="0"/>
        <v>29</v>
      </c>
      <c r="G13" s="28">
        <f t="shared" si="3"/>
        <v>25</v>
      </c>
      <c r="H13" s="31">
        <f>VLOOKUP(G13,'Daily Rates Pivot'!$A$3:$I$50,5,FALSE)*100</f>
        <v>50591.75</v>
      </c>
      <c r="I13" s="32">
        <f t="shared" si="4"/>
        <v>768.57756208464707</v>
      </c>
      <c r="J13" s="31">
        <f t="shared" si="5"/>
        <v>87894.530000000232</v>
      </c>
      <c r="K13" s="31"/>
    </row>
    <row r="14" spans="1:11" ht="15" customHeight="1" x14ac:dyDescent="0.25">
      <c r="A14" s="12">
        <v>30</v>
      </c>
      <c r="B14" s="35">
        <v>9506059.3431000002</v>
      </c>
      <c r="C14" s="32">
        <v>191.09</v>
      </c>
      <c r="D14" s="35">
        <v>49746.503443926944</v>
      </c>
      <c r="F14" s="28">
        <f t="shared" si="0"/>
        <v>30</v>
      </c>
      <c r="G14" s="28">
        <f t="shared" si="3"/>
        <v>26</v>
      </c>
      <c r="H14" s="31">
        <f>VLOOKUP(G14,'Daily Rates Pivot'!$A$3:$I$50,5,FALSE)*100</f>
        <v>50247.5</v>
      </c>
      <c r="I14" s="32">
        <f t="shared" si="4"/>
        <v>500.99655607305613</v>
      </c>
      <c r="J14" s="31">
        <f t="shared" si="5"/>
        <v>95735.431900000302</v>
      </c>
      <c r="K14" s="31"/>
    </row>
    <row r="15" spans="1:11" ht="15" customHeight="1" x14ac:dyDescent="0.25">
      <c r="A15" s="12">
        <v>31</v>
      </c>
      <c r="B15" s="35">
        <v>7229579.2898000004</v>
      </c>
      <c r="C15" s="32">
        <v>148.79000000000002</v>
      </c>
      <c r="D15" s="35">
        <v>48589.147723637339</v>
      </c>
      <c r="F15" s="28">
        <f t="shared" si="0"/>
        <v>31</v>
      </c>
      <c r="G15" s="28">
        <f t="shared" si="3"/>
        <v>27</v>
      </c>
      <c r="H15" s="31">
        <f>VLOOKUP(G15,'Daily Rates Pivot'!$A$3:$I$50,5,FALSE)*100</f>
        <v>51165.5</v>
      </c>
      <c r="I15" s="32">
        <f t="shared" si="4"/>
        <v>2576.3522763626606</v>
      </c>
      <c r="J15" s="31">
        <f t="shared" si="5"/>
        <v>383335.45520000032</v>
      </c>
      <c r="K15" s="31"/>
    </row>
    <row r="16" spans="1:11" ht="15" customHeight="1" x14ac:dyDescent="0.25">
      <c r="A16" s="12">
        <v>32</v>
      </c>
      <c r="B16" s="35">
        <v>1032566.6341</v>
      </c>
      <c r="C16" s="32">
        <v>20.77</v>
      </c>
      <c r="D16" s="35">
        <v>49714.33</v>
      </c>
      <c r="F16" s="28">
        <f t="shared" si="0"/>
        <v>32</v>
      </c>
      <c r="G16" s="28">
        <f t="shared" si="3"/>
        <v>28</v>
      </c>
      <c r="H16" s="31">
        <f>VLOOKUP(G16,'Daily Rates Pivot'!$A$3:$I$50,5,FALSE)*100</f>
        <v>51586.250000000007</v>
      </c>
      <c r="I16" s="32">
        <f t="shared" si="4"/>
        <v>1871.9200000000055</v>
      </c>
      <c r="J16" s="31">
        <f t="shared" si="5"/>
        <v>38879.778400000112</v>
      </c>
      <c r="K16" s="31"/>
    </row>
    <row r="17" spans="1:11" ht="15" customHeight="1" x14ac:dyDescent="0.25">
      <c r="A17" s="12" t="s">
        <v>15</v>
      </c>
      <c r="B17" s="35">
        <v>62906483.806500003</v>
      </c>
      <c r="C17" s="32">
        <v>1178.1099999999999</v>
      </c>
      <c r="D17" s="35">
        <v>53396.103764928586</v>
      </c>
      <c r="F17" s="28" t="str">
        <f t="shared" si="0"/>
        <v>RBD PALM STEARIN (LOCAL)</v>
      </c>
      <c r="H17" s="31"/>
      <c r="I17" s="32"/>
      <c r="J17" s="31"/>
      <c r="K17" s="31">
        <f>SUM(J18:J23)/C17</f>
        <v>-1184.9655859809395</v>
      </c>
    </row>
    <row r="18" spans="1:11" ht="15" customHeight="1" x14ac:dyDescent="0.25">
      <c r="A18" s="12">
        <v>27</v>
      </c>
      <c r="B18" s="35">
        <v>4522099</v>
      </c>
      <c r="C18" s="32">
        <v>84.99</v>
      </c>
      <c r="D18" s="35">
        <v>53207.424402870929</v>
      </c>
      <c r="F18" s="28">
        <f t="shared" si="0"/>
        <v>27</v>
      </c>
      <c r="G18" s="28">
        <f>F18-$G$2</f>
        <v>23</v>
      </c>
      <c r="H18" s="31">
        <f>VLOOKUP(G18,'Daily Rates Pivot'!$A$3:$I$34,2,FALSE)*100</f>
        <v>53100</v>
      </c>
      <c r="I18" s="32">
        <f t="shared" ref="I18:I26" si="6">H18-D18</f>
        <v>-107.42440287092904</v>
      </c>
      <c r="J18" s="31">
        <f t="shared" ref="J18:J31" si="7">I18*C18</f>
        <v>-9130.0000000002583</v>
      </c>
      <c r="K18" s="31"/>
    </row>
    <row r="19" spans="1:11" ht="15" customHeight="1" x14ac:dyDescent="0.25">
      <c r="A19" s="12">
        <v>28</v>
      </c>
      <c r="B19" s="35">
        <v>20468343.836900003</v>
      </c>
      <c r="C19" s="32">
        <v>381.53999999999996</v>
      </c>
      <c r="D19" s="35">
        <v>53646.652610211262</v>
      </c>
      <c r="F19" s="28">
        <f t="shared" si="0"/>
        <v>28</v>
      </c>
      <c r="G19" s="28">
        <f t="shared" ref="G19:G23" si="8">F19-$G$2</f>
        <v>24</v>
      </c>
      <c r="H19" s="31">
        <f>VLOOKUP(G19,'Daily Rates Pivot'!$A$3:$I$34,2,FALSE)*100</f>
        <v>53500</v>
      </c>
      <c r="I19" s="32">
        <f t="shared" si="6"/>
        <v>-146.65261021126207</v>
      </c>
      <c r="J19" s="31">
        <f t="shared" si="7"/>
        <v>-55953.836900004928</v>
      </c>
      <c r="K19" s="31"/>
    </row>
    <row r="20" spans="1:11" ht="15" customHeight="1" x14ac:dyDescent="0.25">
      <c r="A20" s="12">
        <v>29</v>
      </c>
      <c r="B20" s="35">
        <v>5850114.2324000001</v>
      </c>
      <c r="C20" s="32">
        <v>108.85</v>
      </c>
      <c r="D20" s="35">
        <v>53744.733416628391</v>
      </c>
      <c r="F20" s="28">
        <f t="shared" si="0"/>
        <v>29</v>
      </c>
      <c r="G20" s="28">
        <f t="shared" si="8"/>
        <v>25</v>
      </c>
      <c r="H20" s="31">
        <f>VLOOKUP(G20,'Daily Rates Pivot'!$A$3:$I$34,2,FALSE)*100</f>
        <v>51979.999999999993</v>
      </c>
      <c r="I20" s="32">
        <f t="shared" si="6"/>
        <v>-1764.7334166283981</v>
      </c>
      <c r="J20" s="31">
        <f t="shared" si="7"/>
        <v>-192091.23240000111</v>
      </c>
      <c r="K20" s="31"/>
    </row>
    <row r="21" spans="1:11" ht="15" customHeight="1" x14ac:dyDescent="0.25">
      <c r="A21" s="12">
        <v>30</v>
      </c>
      <c r="B21" s="35">
        <v>17744304.393999998</v>
      </c>
      <c r="C21" s="32">
        <v>332.96000000000004</v>
      </c>
      <c r="D21" s="35">
        <v>53292.60089500239</v>
      </c>
      <c r="F21" s="28">
        <f t="shared" si="0"/>
        <v>30</v>
      </c>
      <c r="G21" s="28">
        <f t="shared" si="8"/>
        <v>26</v>
      </c>
      <c r="H21" s="31">
        <f>VLOOKUP(G21,'Daily Rates Pivot'!$A$3:$I$34,2,FALSE)*100</f>
        <v>51500</v>
      </c>
      <c r="I21" s="32">
        <f t="shared" si="6"/>
        <v>-1792.6008950023897</v>
      </c>
      <c r="J21" s="31">
        <f t="shared" si="7"/>
        <v>-596864.39399999578</v>
      </c>
      <c r="K21" s="31"/>
    </row>
    <row r="22" spans="1:11" ht="15" customHeight="1" x14ac:dyDescent="0.25">
      <c r="A22" s="12">
        <v>31</v>
      </c>
      <c r="B22" s="35">
        <v>11379252.508700002</v>
      </c>
      <c r="C22" s="32">
        <v>213.72</v>
      </c>
      <c r="D22" s="35">
        <v>53243.741852423744</v>
      </c>
      <c r="F22" s="28">
        <f t="shared" si="0"/>
        <v>31</v>
      </c>
      <c r="G22" s="28">
        <f t="shared" si="8"/>
        <v>27</v>
      </c>
      <c r="H22" s="31">
        <f>VLOOKUP(G22,'Daily Rates Pivot'!$A$3:$I$34,2,FALSE)*100</f>
        <v>51100</v>
      </c>
      <c r="I22" s="32">
        <f t="shared" si="6"/>
        <v>-2143.7418524237437</v>
      </c>
      <c r="J22" s="31">
        <f t="shared" si="7"/>
        <v>-458160.50870000251</v>
      </c>
      <c r="K22" s="31"/>
    </row>
    <row r="23" spans="1:11" ht="15" customHeight="1" x14ac:dyDescent="0.25">
      <c r="A23" s="12">
        <v>32</v>
      </c>
      <c r="B23" s="35">
        <v>2942369.8344999999</v>
      </c>
      <c r="C23" s="32">
        <v>56.05</v>
      </c>
      <c r="D23" s="35">
        <v>52495.44753791258</v>
      </c>
      <c r="F23" s="28">
        <f t="shared" si="0"/>
        <v>32</v>
      </c>
      <c r="G23" s="28">
        <f t="shared" si="8"/>
        <v>28</v>
      </c>
      <c r="H23" s="31">
        <f>VLOOKUP(G23,'Daily Rates Pivot'!$A$3:$I$34,2,FALSE)*100</f>
        <v>51000</v>
      </c>
      <c r="I23" s="32">
        <f t="shared" si="6"/>
        <v>-1495.4475379125797</v>
      </c>
      <c r="J23" s="31">
        <f t="shared" si="7"/>
        <v>-83819.834500000085</v>
      </c>
      <c r="K23" s="31"/>
    </row>
    <row r="24" spans="1:11" ht="15" customHeight="1" x14ac:dyDescent="0.25">
      <c r="A24" s="12" t="s">
        <v>99</v>
      </c>
      <c r="B24" s="35">
        <v>5341928.5600000005</v>
      </c>
      <c r="C24" s="32">
        <v>91.34</v>
      </c>
      <c r="D24" s="35">
        <v>58484</v>
      </c>
      <c r="F24" s="28" t="str">
        <f t="shared" si="0"/>
        <v>REFINED PALM OIL - LOCAL - PCP</v>
      </c>
      <c r="H24" s="31"/>
      <c r="I24" s="32"/>
      <c r="J24" s="31"/>
      <c r="K24" s="31">
        <f>SUM(J25:J26)/C24</f>
        <v>1526.0766367418385</v>
      </c>
    </row>
    <row r="25" spans="1:11" ht="15" customHeight="1" x14ac:dyDescent="0.25">
      <c r="A25" s="12">
        <v>29</v>
      </c>
      <c r="B25" s="35">
        <v>3682152.6400000006</v>
      </c>
      <c r="C25" s="32">
        <v>62.96</v>
      </c>
      <c r="D25" s="35">
        <v>58484.000000000007</v>
      </c>
      <c r="F25" s="28">
        <f t="shared" si="0"/>
        <v>29</v>
      </c>
      <c r="G25" s="28">
        <f>F25-$G$2</f>
        <v>25</v>
      </c>
      <c r="H25" s="31">
        <f>VLOOKUP(G25,'Daily Rates Pivot'!$A$3:$I$34,6,FALSE)*100</f>
        <v>60240</v>
      </c>
      <c r="I25" s="32">
        <f t="shared" si="6"/>
        <v>1755.9999999999927</v>
      </c>
      <c r="J25" s="31">
        <f t="shared" si="7"/>
        <v>110557.75999999954</v>
      </c>
      <c r="K25" s="31"/>
    </row>
    <row r="26" spans="1:11" ht="15" customHeight="1" x14ac:dyDescent="0.25">
      <c r="A26" s="12">
        <v>30</v>
      </c>
      <c r="B26" s="35">
        <v>1659775.92</v>
      </c>
      <c r="C26" s="32">
        <v>28.38</v>
      </c>
      <c r="D26" s="35">
        <v>58484</v>
      </c>
      <c r="F26" s="28">
        <f t="shared" si="0"/>
        <v>30</v>
      </c>
      <c r="G26" s="28">
        <f>F26-$G$2</f>
        <v>26</v>
      </c>
      <c r="H26" s="31">
        <f>VLOOKUP(G26,'Daily Rates Pivot'!$A$3:$I$34,6,FALSE)*100</f>
        <v>59500</v>
      </c>
      <c r="I26" s="32">
        <f t="shared" si="6"/>
        <v>1016</v>
      </c>
      <c r="J26" s="31">
        <f t="shared" si="7"/>
        <v>28834.079999999998</v>
      </c>
      <c r="K26" s="31"/>
    </row>
    <row r="27" spans="1:11" ht="15" customHeight="1" x14ac:dyDescent="0.25">
      <c r="A27" s="12" t="s">
        <v>13</v>
      </c>
      <c r="B27" s="35">
        <v>12112086.222720001</v>
      </c>
      <c r="C27" s="32">
        <v>222.23999999999998</v>
      </c>
      <c r="D27" s="35">
        <v>54500.027999999998</v>
      </c>
      <c r="F27" s="28" t="str">
        <f t="shared" si="0"/>
        <v>RICE BRAN FATTY ACIDS- PCP - LOCAL</v>
      </c>
      <c r="H27" s="31"/>
      <c r="I27" s="32"/>
      <c r="J27" s="31"/>
      <c r="K27" s="31">
        <f>SUM(J28:J31)/C27</f>
        <v>-57.276920086398846</v>
      </c>
    </row>
    <row r="28" spans="1:11" ht="15" customHeight="1" x14ac:dyDescent="0.25">
      <c r="A28" s="12">
        <v>28</v>
      </c>
      <c r="B28" s="35">
        <v>1465505.7529200001</v>
      </c>
      <c r="C28" s="32">
        <v>26.89</v>
      </c>
      <c r="D28" s="35">
        <v>54500.028000000006</v>
      </c>
      <c r="F28" s="28">
        <f t="shared" si="0"/>
        <v>28</v>
      </c>
      <c r="G28" s="28">
        <f>F28-$G$3</f>
        <v>26</v>
      </c>
      <c r="H28" s="31">
        <f>VLOOKUP(G28,'Daily Rates Pivot'!$A$3:$I$34,7,FALSE)*100</f>
        <v>53000</v>
      </c>
      <c r="I28" s="32">
        <f t="shared" ref="I28:I31" si="9">H28-D28</f>
        <v>-1500.0280000000057</v>
      </c>
      <c r="J28" s="31">
        <f t="shared" si="7"/>
        <v>-40335.752920000152</v>
      </c>
      <c r="K28" s="31"/>
    </row>
    <row r="29" spans="1:11" ht="15" customHeight="1" x14ac:dyDescent="0.25">
      <c r="A29" s="12">
        <v>29</v>
      </c>
      <c r="B29" s="35">
        <v>2911936.4960400001</v>
      </c>
      <c r="C29" s="32">
        <v>53.43</v>
      </c>
      <c r="D29" s="35">
        <v>54500.028000000006</v>
      </c>
      <c r="F29" s="28">
        <f t="shared" si="0"/>
        <v>29</v>
      </c>
      <c r="G29" s="28">
        <f t="shared" ref="G29:G31" si="10">F29-$G$3</f>
        <v>27</v>
      </c>
      <c r="H29" s="31">
        <f>VLOOKUP(G29,'Daily Rates Pivot'!$A$3:$I$34,7,FALSE)*100</f>
        <v>53800</v>
      </c>
      <c r="I29" s="32">
        <f t="shared" si="9"/>
        <v>-700.0280000000057</v>
      </c>
      <c r="J29" s="31">
        <f t="shared" si="7"/>
        <v>-37402.496040000304</v>
      </c>
      <c r="K29" s="31"/>
    </row>
    <row r="30" spans="1:11" ht="15" customHeight="1" x14ac:dyDescent="0.25">
      <c r="A30" s="12">
        <v>30</v>
      </c>
      <c r="B30" s="35">
        <v>4493527.3086000001</v>
      </c>
      <c r="C30" s="32">
        <v>82.449999999999989</v>
      </c>
      <c r="D30" s="35">
        <v>54500.028000000006</v>
      </c>
      <c r="F30" s="28">
        <f t="shared" si="0"/>
        <v>30</v>
      </c>
      <c r="G30" s="28">
        <f t="shared" si="10"/>
        <v>28</v>
      </c>
      <c r="H30" s="31">
        <f>VLOOKUP(G30,'Daily Rates Pivot'!$A$3:$I$34,7,FALSE)*100</f>
        <v>55000</v>
      </c>
      <c r="I30" s="32">
        <f t="shared" si="9"/>
        <v>499.9719999999943</v>
      </c>
      <c r="J30" s="31">
        <f t="shared" si="7"/>
        <v>41222.691399999523</v>
      </c>
      <c r="K30" s="31"/>
    </row>
    <row r="31" spans="1:11" ht="15" customHeight="1" x14ac:dyDescent="0.25">
      <c r="A31" s="12">
        <v>31</v>
      </c>
      <c r="B31" s="35">
        <v>3241116.6651600003</v>
      </c>
      <c r="C31" s="32">
        <v>59.47</v>
      </c>
      <c r="D31" s="35">
        <v>54500.028000000006</v>
      </c>
      <c r="F31" s="28">
        <f t="shared" si="0"/>
        <v>31</v>
      </c>
      <c r="G31" s="28">
        <f t="shared" si="10"/>
        <v>29</v>
      </c>
      <c r="H31" s="31">
        <f>VLOOKUP(G31,'Daily Rates Pivot'!$A$3:$I$34,7,FALSE)*100</f>
        <v>54900</v>
      </c>
      <c r="I31" s="32">
        <f t="shared" si="9"/>
        <v>399.9719999999943</v>
      </c>
      <c r="J31" s="31">
        <f t="shared" si="7"/>
        <v>23786.334839999661</v>
      </c>
      <c r="K31" s="31"/>
    </row>
    <row r="32" spans="1:11" ht="15" customHeight="1" x14ac:dyDescent="0.25">
      <c r="A32" s="12" t="s">
        <v>101</v>
      </c>
      <c r="B32" s="35">
        <v>10751760.894672001</v>
      </c>
      <c r="C32" s="32">
        <v>196.2</v>
      </c>
      <c r="D32" s="35">
        <v>54800.004560000008</v>
      </c>
      <c r="F32" s="28" t="str">
        <f t="shared" ref="F32:F34" si="11">A32</f>
        <v>RICE BRAN OIL</v>
      </c>
      <c r="H32" s="31"/>
      <c r="I32" s="32"/>
      <c r="J32" s="31"/>
      <c r="K32" s="31">
        <f>SUM(J33:J34)/C32</f>
        <v>159.99543999999588</v>
      </c>
    </row>
    <row r="33" spans="1:11" ht="15" customHeight="1" x14ac:dyDescent="0.25">
      <c r="A33" s="12">
        <v>30</v>
      </c>
      <c r="B33" s="35">
        <v>6451056</v>
      </c>
      <c r="C33" s="32">
        <v>117.72</v>
      </c>
      <c r="D33" s="35">
        <v>54800</v>
      </c>
      <c r="F33" s="28">
        <f t="shared" si="11"/>
        <v>30</v>
      </c>
      <c r="G33" s="28">
        <f>F33-$G$3</f>
        <v>28</v>
      </c>
      <c r="H33" s="31">
        <f>VLOOKUP(G33,'Daily Rates Pivot'!$A$3:$I$34,7,FALSE)*100</f>
        <v>55000</v>
      </c>
      <c r="I33" s="32">
        <f t="shared" ref="I33:I34" si="12">H33-D33</f>
        <v>200</v>
      </c>
      <c r="J33" s="31">
        <f t="shared" ref="J33:J34" si="13">I33*C33</f>
        <v>23544</v>
      </c>
      <c r="K33" s="31"/>
    </row>
    <row r="34" spans="1:11" ht="15" customHeight="1" x14ac:dyDescent="0.25">
      <c r="A34" s="12">
        <v>31</v>
      </c>
      <c r="B34" s="35">
        <v>4300704.8946720008</v>
      </c>
      <c r="C34" s="32">
        <v>78.48</v>
      </c>
      <c r="D34" s="35">
        <v>54800.01140000001</v>
      </c>
      <c r="F34" s="28">
        <f t="shared" si="11"/>
        <v>31</v>
      </c>
      <c r="G34" s="28">
        <f t="shared" ref="G34" si="14">F34-$G$3</f>
        <v>29</v>
      </c>
      <c r="H34" s="31">
        <f>VLOOKUP(G34,'Daily Rates Pivot'!$A$3:$I$34,7,FALSE)*100</f>
        <v>54900</v>
      </c>
      <c r="I34" s="32">
        <f t="shared" si="12"/>
        <v>99.988599999989674</v>
      </c>
      <c r="J34" s="31">
        <f t="shared" si="13"/>
        <v>7847.1053279991902</v>
      </c>
      <c r="K34" s="31"/>
    </row>
    <row r="35" spans="1:11" ht="15" customHeight="1" x14ac:dyDescent="0.25">
      <c r="A35" s="12" t="s">
        <v>39</v>
      </c>
      <c r="B35" s="35">
        <v>142768233.20727202</v>
      </c>
      <c r="C35" s="32">
        <v>2616.4099999999994</v>
      </c>
      <c r="D35" s="35">
        <v>54566.460611017399</v>
      </c>
      <c r="H35" s="31"/>
      <c r="J35" s="31"/>
    </row>
    <row r="36" spans="1:11" ht="15" customHeight="1" x14ac:dyDescent="0.25">
      <c r="H36" s="31"/>
      <c r="J36" s="31"/>
    </row>
    <row r="37" spans="1:11" ht="15" customHeight="1" x14ac:dyDescent="0.25">
      <c r="H37" s="31"/>
      <c r="J37" s="31"/>
      <c r="K37" s="31"/>
    </row>
    <row r="38" spans="1:11" ht="15" customHeight="1" x14ac:dyDescent="0.25">
      <c r="H38" s="31"/>
      <c r="J38" s="31"/>
      <c r="K38" s="31"/>
    </row>
    <row r="39" spans="1:11" ht="15" customHeight="1" x14ac:dyDescent="0.25">
      <c r="H39" s="31"/>
      <c r="J39" s="31"/>
      <c r="K39" s="31"/>
    </row>
    <row r="40" spans="1:11" ht="15" customHeight="1" x14ac:dyDescent="0.25">
      <c r="H40" s="31"/>
      <c r="J40" s="31"/>
      <c r="K4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F19" sqref="F19"/>
    </sheetView>
  </sheetViews>
  <sheetFormatPr defaultRowHeight="15" customHeight="1" x14ac:dyDescent="0.25"/>
  <cols>
    <col min="1" max="1" width="37.42578125" style="28" bestFit="1" customWidth="1"/>
    <col min="2" max="2" width="27.42578125" style="28" customWidth="1"/>
    <col min="3" max="3" width="10.85546875" style="28" customWidth="1"/>
    <col min="4" max="4" width="14.42578125" style="28" bestFit="1" customWidth="1"/>
    <col min="5" max="8" width="9.140625" style="28"/>
    <col min="9" max="10" width="9.7109375" style="28" bestFit="1" customWidth="1"/>
    <col min="11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41</v>
      </c>
      <c r="G3" s="28">
        <v>2</v>
      </c>
    </row>
    <row r="4" spans="1:11" ht="15" customHeight="1" x14ac:dyDescent="0.25">
      <c r="A4" s="12" t="s">
        <v>66</v>
      </c>
      <c r="B4" s="32">
        <v>12298236.651474399</v>
      </c>
      <c r="C4" s="32">
        <v>200.07999999999998</v>
      </c>
      <c r="D4" s="32">
        <v>61466.596618724521</v>
      </c>
      <c r="F4" s="28" t="str">
        <f t="shared" ref="F4:F24" si="0">A4</f>
        <v>PALM KERNEL FATTY ACID DISTILLATE</v>
      </c>
      <c r="H4" s="31"/>
      <c r="I4" s="32"/>
      <c r="J4" s="31"/>
      <c r="K4" s="31">
        <f>SUM(J5:J6)/C4</f>
        <v>23835.770657049867</v>
      </c>
    </row>
    <row r="5" spans="1:11" ht="15" customHeight="1" x14ac:dyDescent="0.25">
      <c r="A5" s="12">
        <v>32</v>
      </c>
      <c r="B5" s="32">
        <v>6139296.0408999994</v>
      </c>
      <c r="C5" s="32">
        <v>99.84999999999998</v>
      </c>
      <c r="D5" s="32">
        <v>61485.188191286936</v>
      </c>
      <c r="F5" s="28">
        <f t="shared" si="0"/>
        <v>32</v>
      </c>
      <c r="G5" s="28">
        <f>F5-$G$1</f>
        <v>24</v>
      </c>
      <c r="H5" s="31">
        <f>VLOOKUP(G5,'Daily Rates Pivot'!$A$3:$J$39,10,FALSE)</f>
        <v>84269.97254599999</v>
      </c>
      <c r="I5" s="32">
        <f t="shared" ref="I5:I6" si="1">H5-D5</f>
        <v>22784.784354713054</v>
      </c>
      <c r="J5" s="31">
        <f t="shared" ref="J5:J6" si="2">I5*C5</f>
        <v>2275060.7178180981</v>
      </c>
      <c r="K5" s="31"/>
    </row>
    <row r="6" spans="1:11" ht="15" customHeight="1" x14ac:dyDescent="0.25">
      <c r="A6" s="12">
        <v>33</v>
      </c>
      <c r="B6" s="32">
        <v>6158940.6105744001</v>
      </c>
      <c r="C6" s="32">
        <v>100.22999999999999</v>
      </c>
      <c r="D6" s="32">
        <v>61448.075532020361</v>
      </c>
      <c r="F6" s="28">
        <f t="shared" si="0"/>
        <v>33</v>
      </c>
      <c r="G6" s="28">
        <f>F6-$G$1</f>
        <v>25</v>
      </c>
      <c r="H6" s="31">
        <f>VLOOKUP(G6,'Daily Rates Pivot'!$A$3:$J$39,10,FALSE)</f>
        <v>86330.847907999996</v>
      </c>
      <c r="I6" s="32">
        <f t="shared" si="1"/>
        <v>24882.772375979635</v>
      </c>
      <c r="J6" s="31">
        <f t="shared" si="2"/>
        <v>2494000.2752444386</v>
      </c>
      <c r="K6" s="31"/>
    </row>
    <row r="7" spans="1:11" ht="15" customHeight="1" x14ac:dyDescent="0.25">
      <c r="A7" s="12" t="s">
        <v>18</v>
      </c>
      <c r="B7" s="32">
        <v>17945171.5462</v>
      </c>
      <c r="C7" s="32">
        <v>355.76</v>
      </c>
      <c r="D7" s="32">
        <v>50441.790943894754</v>
      </c>
      <c r="F7" s="28" t="str">
        <f t="shared" si="0"/>
        <v>PFAD(LOCAL)-PCP</v>
      </c>
      <c r="H7" s="31"/>
      <c r="I7" s="32"/>
      <c r="J7" s="31"/>
      <c r="K7" s="31">
        <f>SUM(J8:J11)/C7</f>
        <v>1201.3437817629924</v>
      </c>
    </row>
    <row r="8" spans="1:11" ht="15" customHeight="1" x14ac:dyDescent="0.25">
      <c r="A8" s="12">
        <v>32</v>
      </c>
      <c r="B8" s="32">
        <v>8398266.5712000001</v>
      </c>
      <c r="C8" s="32">
        <v>167.57000000000002</v>
      </c>
      <c r="D8" s="32">
        <v>50117.960083547172</v>
      </c>
      <c r="F8" s="28">
        <f t="shared" si="0"/>
        <v>32</v>
      </c>
      <c r="G8" s="28">
        <f>F8-$G$2</f>
        <v>28</v>
      </c>
      <c r="H8" s="31">
        <f>VLOOKUP(G8,'Daily Rates Pivot'!$A$3:$I$39,5,FALSE)*100</f>
        <v>51586.250000000007</v>
      </c>
      <c r="I8" s="32">
        <f t="shared" ref="I8:I11" si="3">H8-D8</f>
        <v>1468.2899164528353</v>
      </c>
      <c r="J8" s="31">
        <f t="shared" ref="J8:J11" si="4">I8*C8</f>
        <v>246041.34130000166</v>
      </c>
      <c r="K8" s="31"/>
    </row>
    <row r="9" spans="1:11" ht="15" customHeight="1" x14ac:dyDescent="0.25">
      <c r="A9" s="12">
        <v>33</v>
      </c>
      <c r="B9" s="32">
        <v>3298299.125</v>
      </c>
      <c r="C9" s="32">
        <v>64.78</v>
      </c>
      <c r="D9" s="32">
        <v>50915.392482247604</v>
      </c>
      <c r="F9" s="28">
        <f t="shared" si="0"/>
        <v>33</v>
      </c>
      <c r="G9" s="28">
        <f t="shared" ref="G9:G11" si="5">F9-$G$2</f>
        <v>29</v>
      </c>
      <c r="H9" s="31">
        <f>VLOOKUP(G9,'Daily Rates Pivot'!$A$3:$I$39,5,FALSE)*100</f>
        <v>51509.750000000007</v>
      </c>
      <c r="I9" s="32">
        <f t="shared" si="3"/>
        <v>594.35751775240351</v>
      </c>
      <c r="J9" s="31">
        <f t="shared" si="4"/>
        <v>38502.480000000702</v>
      </c>
      <c r="K9" s="31"/>
    </row>
    <row r="10" spans="1:11" ht="15" customHeight="1" x14ac:dyDescent="0.25">
      <c r="A10" s="12">
        <v>34</v>
      </c>
      <c r="B10" s="32">
        <v>4875394.8500000006</v>
      </c>
      <c r="C10" s="32">
        <v>95.91</v>
      </c>
      <c r="D10" s="32">
        <v>50833.018976123458</v>
      </c>
      <c r="F10" s="28">
        <f t="shared" si="0"/>
        <v>34</v>
      </c>
      <c r="G10" s="28">
        <f t="shared" si="5"/>
        <v>30</v>
      </c>
      <c r="H10" s="31">
        <f>VLOOKUP(G10,'Daily Rates Pivot'!$A$3:$I$39,5,FALSE)*100</f>
        <v>51739.250000000007</v>
      </c>
      <c r="I10" s="32">
        <f t="shared" si="3"/>
        <v>906.23102387654944</v>
      </c>
      <c r="J10" s="31">
        <f t="shared" si="4"/>
        <v>86916.617499999847</v>
      </c>
      <c r="K10" s="31"/>
    </row>
    <row r="11" spans="1:11" ht="15" customHeight="1" x14ac:dyDescent="0.25">
      <c r="A11" s="12">
        <v>35</v>
      </c>
      <c r="B11" s="32">
        <v>1373211</v>
      </c>
      <c r="C11" s="32">
        <v>27.5</v>
      </c>
      <c r="D11" s="32">
        <v>49934.945454545457</v>
      </c>
      <c r="F11" s="28">
        <f t="shared" si="0"/>
        <v>35</v>
      </c>
      <c r="G11" s="28">
        <f t="shared" si="5"/>
        <v>31</v>
      </c>
      <c r="H11" s="31">
        <f>VLOOKUP(G11,'Daily Rates Pivot'!$A$3:$I$39,5,FALSE)*100</f>
        <v>51968.75</v>
      </c>
      <c r="I11" s="32">
        <f t="shared" si="3"/>
        <v>2033.8045454545427</v>
      </c>
      <c r="J11" s="31">
        <f t="shared" si="4"/>
        <v>55929.624999999927</v>
      </c>
      <c r="K11" s="31"/>
    </row>
    <row r="12" spans="1:11" ht="15" customHeight="1" x14ac:dyDescent="0.25">
      <c r="A12" s="12" t="s">
        <v>15</v>
      </c>
      <c r="B12" s="32">
        <v>18085495.441849999</v>
      </c>
      <c r="C12" s="32">
        <v>349.11</v>
      </c>
      <c r="D12" s="32">
        <v>51804.57575506287</v>
      </c>
      <c r="F12" s="28" t="str">
        <f t="shared" si="0"/>
        <v>RBD PALM STEARIN (LOCAL)</v>
      </c>
      <c r="H12" s="31"/>
      <c r="I12" s="32"/>
      <c r="J12" s="31"/>
      <c r="K12" s="31">
        <f>SUM(J13:J17)/C12</f>
        <v>-660.65263627510183</v>
      </c>
    </row>
    <row r="13" spans="1:11" ht="15" customHeight="1" x14ac:dyDescent="0.25">
      <c r="A13" s="12">
        <v>32</v>
      </c>
      <c r="B13" s="32">
        <v>8056406.6373500004</v>
      </c>
      <c r="C13" s="32">
        <v>153.22</v>
      </c>
      <c r="D13" s="32">
        <v>52580.646373515214</v>
      </c>
      <c r="F13" s="28">
        <f t="shared" si="0"/>
        <v>32</v>
      </c>
      <c r="G13" s="28">
        <f>F13-$G$2</f>
        <v>28</v>
      </c>
      <c r="H13" s="31">
        <f>VLOOKUP(G13,'Daily Rates Pivot'!$A$3:$I$39,2,FALSE)*100</f>
        <v>51000</v>
      </c>
      <c r="I13" s="32">
        <f t="shared" ref="I13:I17" si="6">H13-D13</f>
        <v>-1580.6463735152138</v>
      </c>
      <c r="J13" s="31">
        <f t="shared" ref="J13:J17" si="7">I13*C13</f>
        <v>-242186.63735000105</v>
      </c>
      <c r="K13" s="31"/>
    </row>
    <row r="14" spans="1:11" ht="15" customHeight="1" x14ac:dyDescent="0.25">
      <c r="A14" s="12">
        <v>33</v>
      </c>
      <c r="B14" s="32">
        <v>2021923.8765</v>
      </c>
      <c r="C14" s="32">
        <v>39.840000000000003</v>
      </c>
      <c r="D14" s="32">
        <v>50751.101317771077</v>
      </c>
      <c r="F14" s="28">
        <f t="shared" si="0"/>
        <v>33</v>
      </c>
      <c r="G14" s="28">
        <f t="shared" ref="G14:G17" si="8">F14-$G$2</f>
        <v>29</v>
      </c>
      <c r="H14" s="31">
        <f>VLOOKUP(G14,'Daily Rates Pivot'!$A$3:$I$39,2,FALSE)*100</f>
        <v>50100</v>
      </c>
      <c r="I14" s="32">
        <f t="shared" si="6"/>
        <v>-651.10131777107745</v>
      </c>
      <c r="J14" s="31">
        <f t="shared" si="7"/>
        <v>-25939.876499999729</v>
      </c>
      <c r="K14" s="31"/>
    </row>
    <row r="15" spans="1:11" ht="15" customHeight="1" x14ac:dyDescent="0.25">
      <c r="A15" s="12">
        <v>34</v>
      </c>
      <c r="B15" s="32">
        <v>2247947.9280000003</v>
      </c>
      <c r="C15" s="32">
        <v>46.4</v>
      </c>
      <c r="D15" s="32">
        <v>48447.153620689664</v>
      </c>
      <c r="F15" s="28">
        <f t="shared" si="0"/>
        <v>34</v>
      </c>
      <c r="G15" s="28">
        <f t="shared" si="8"/>
        <v>30</v>
      </c>
      <c r="H15" s="31">
        <f>VLOOKUP(G15,'Daily Rates Pivot'!$A$3:$I$39,2,FALSE)*100</f>
        <v>50600</v>
      </c>
      <c r="I15" s="32">
        <f t="shared" si="6"/>
        <v>2152.8463793103365</v>
      </c>
      <c r="J15" s="31">
        <f t="shared" si="7"/>
        <v>99892.071999999607</v>
      </c>
      <c r="K15" s="31"/>
    </row>
    <row r="16" spans="1:11" ht="15" customHeight="1" x14ac:dyDescent="0.25">
      <c r="A16" s="12">
        <v>35</v>
      </c>
      <c r="B16" s="32">
        <v>1340001</v>
      </c>
      <c r="C16" s="32">
        <v>26.59</v>
      </c>
      <c r="D16" s="32">
        <v>50394.92290334712</v>
      </c>
      <c r="F16" s="28">
        <f t="shared" si="0"/>
        <v>35</v>
      </c>
      <c r="G16" s="28">
        <f t="shared" si="8"/>
        <v>31</v>
      </c>
      <c r="H16" s="31">
        <f>VLOOKUP(G16,'Daily Rates Pivot'!$A$3:$I$39,2,FALSE)*100</f>
        <v>51500</v>
      </c>
      <c r="I16" s="32">
        <f t="shared" si="6"/>
        <v>1105.0770966528798</v>
      </c>
      <c r="J16" s="31">
        <f t="shared" si="7"/>
        <v>29384.000000000076</v>
      </c>
      <c r="K16" s="31"/>
    </row>
    <row r="17" spans="1:11" ht="15" customHeight="1" x14ac:dyDescent="0.25">
      <c r="A17" s="12">
        <v>36</v>
      </c>
      <c r="B17" s="32">
        <v>4419216</v>
      </c>
      <c r="C17" s="32">
        <v>83.06</v>
      </c>
      <c r="D17" s="32">
        <v>53205.10474355887</v>
      </c>
      <c r="F17" s="28">
        <f t="shared" si="0"/>
        <v>36</v>
      </c>
      <c r="G17" s="28">
        <f t="shared" si="8"/>
        <v>32</v>
      </c>
      <c r="H17" s="31">
        <f>VLOOKUP(G17,'Daily Rates Pivot'!$A$3:$I$39,2,FALSE)*100</f>
        <v>52100</v>
      </c>
      <c r="I17" s="32">
        <f t="shared" si="6"/>
        <v>-1105.1047435588698</v>
      </c>
      <c r="J17" s="31">
        <f t="shared" si="7"/>
        <v>-91789.999999999724</v>
      </c>
      <c r="K17" s="31"/>
    </row>
    <row r="18" spans="1:11" ht="15" customHeight="1" x14ac:dyDescent="0.25">
      <c r="A18" s="12" t="s">
        <v>13</v>
      </c>
      <c r="B18" s="32">
        <v>9403869.5275800005</v>
      </c>
      <c r="C18" s="32">
        <v>170.48999999999998</v>
      </c>
      <c r="D18" s="32">
        <v>55157.895052964981</v>
      </c>
      <c r="F18" s="28" t="str">
        <f t="shared" si="0"/>
        <v>RICE BRAN FATTY ACIDS- PCP - LOCAL</v>
      </c>
      <c r="H18" s="31"/>
      <c r="I18" s="32"/>
      <c r="J18" s="31"/>
      <c r="K18" s="31">
        <f>SUM(J19:J22)/C18</f>
        <v>35.576704909380723</v>
      </c>
    </row>
    <row r="19" spans="1:11" ht="15" customHeight="1" x14ac:dyDescent="0.25">
      <c r="A19" s="12">
        <v>32</v>
      </c>
      <c r="B19" s="32">
        <v>1510740.7761600001</v>
      </c>
      <c r="C19" s="32">
        <v>27.65</v>
      </c>
      <c r="D19" s="32">
        <v>54638.002754430388</v>
      </c>
      <c r="F19" s="28">
        <f t="shared" si="0"/>
        <v>32</v>
      </c>
      <c r="G19" s="28">
        <f>F19-$G$3</f>
        <v>30</v>
      </c>
      <c r="H19" s="31">
        <f>VLOOKUP(G19,'Daily Rates Pivot'!$A$3:$I$39,7,FALSE)*100</f>
        <v>55000</v>
      </c>
      <c r="I19" s="32">
        <f t="shared" ref="I19:I22" si="9">H19-D19</f>
        <v>361.99724556961155</v>
      </c>
      <c r="J19" s="31">
        <f t="shared" ref="J19:J22" si="10">I19*C19</f>
        <v>10009.223839999759</v>
      </c>
      <c r="K19" s="31"/>
    </row>
    <row r="20" spans="1:11" ht="15" customHeight="1" x14ac:dyDescent="0.25">
      <c r="A20" s="12">
        <v>33</v>
      </c>
      <c r="B20" s="32">
        <v>2890136.48484</v>
      </c>
      <c r="C20" s="32">
        <v>52.75</v>
      </c>
      <c r="D20" s="32">
        <v>54789.317248151659</v>
      </c>
      <c r="F20" s="28">
        <f t="shared" si="0"/>
        <v>33</v>
      </c>
      <c r="G20" s="28">
        <f t="shared" ref="G20:G22" si="11">F20-$G$3</f>
        <v>31</v>
      </c>
      <c r="H20" s="31">
        <f>VLOOKUP(G20,'Daily Rates Pivot'!$A$3:$I$39,7,FALSE)*100</f>
        <v>55000</v>
      </c>
      <c r="I20" s="32">
        <f t="shared" si="9"/>
        <v>210.68275184834056</v>
      </c>
      <c r="J20" s="31">
        <f t="shared" si="10"/>
        <v>11113.515159999964</v>
      </c>
      <c r="K20" s="31"/>
    </row>
    <row r="21" spans="1:11" ht="15" customHeight="1" x14ac:dyDescent="0.25">
      <c r="A21" s="12">
        <v>35</v>
      </c>
      <c r="B21" s="32">
        <v>3348968.8478399995</v>
      </c>
      <c r="C21" s="32">
        <v>60.3</v>
      </c>
      <c r="D21" s="32">
        <v>55538.455188059692</v>
      </c>
      <c r="F21" s="28">
        <f t="shared" si="0"/>
        <v>35</v>
      </c>
      <c r="G21" s="28">
        <f t="shared" si="11"/>
        <v>33</v>
      </c>
      <c r="H21" s="31">
        <f>VLOOKUP(G21,'Daily Rates Pivot'!$A$3:$I$39,7,FALSE)*100</f>
        <v>55300</v>
      </c>
      <c r="I21" s="32">
        <f t="shared" si="9"/>
        <v>-238.45518805969186</v>
      </c>
      <c r="J21" s="31">
        <f t="shared" si="10"/>
        <v>-14378.847839999418</v>
      </c>
      <c r="K21" s="31"/>
    </row>
    <row r="22" spans="1:11" ht="15" customHeight="1" x14ac:dyDescent="0.25">
      <c r="A22" s="12">
        <v>36</v>
      </c>
      <c r="B22" s="32">
        <v>1654023.4187399999</v>
      </c>
      <c r="C22" s="32">
        <v>29.79</v>
      </c>
      <c r="D22" s="32">
        <v>55522.773371601208</v>
      </c>
      <c r="F22" s="28">
        <f t="shared" si="0"/>
        <v>36</v>
      </c>
      <c r="G22" s="28">
        <f t="shared" si="11"/>
        <v>34</v>
      </c>
      <c r="H22" s="31">
        <f>VLOOKUP(G22,'Daily Rates Pivot'!$A$3:$I$39,7,FALSE)*100</f>
        <v>55500</v>
      </c>
      <c r="I22" s="32">
        <f t="shared" si="9"/>
        <v>-22.773371601208055</v>
      </c>
      <c r="J22" s="31">
        <f t="shared" si="10"/>
        <v>-678.41873999998791</v>
      </c>
      <c r="K22" s="31"/>
    </row>
    <row r="23" spans="1:11" ht="15" customHeight="1" x14ac:dyDescent="0.25">
      <c r="A23" s="12" t="s">
        <v>101</v>
      </c>
      <c r="B23" s="32">
        <v>1100110.2288549999</v>
      </c>
      <c r="C23" s="32">
        <v>20.059999999999999</v>
      </c>
      <c r="D23" s="32">
        <v>54840.988477318046</v>
      </c>
      <c r="F23" s="28" t="str">
        <f t="shared" si="0"/>
        <v>RICE BRAN OIL</v>
      </c>
      <c r="H23" s="31"/>
      <c r="I23" s="32"/>
      <c r="J23" s="31"/>
      <c r="K23" s="31">
        <f>SUM(J24:J25)/C23</f>
        <v>159.01152268195438</v>
      </c>
    </row>
    <row r="24" spans="1:11" ht="15" customHeight="1" x14ac:dyDescent="0.25">
      <c r="A24" s="12">
        <v>32</v>
      </c>
      <c r="B24" s="32">
        <v>1100110.2288549999</v>
      </c>
      <c r="C24" s="32">
        <v>20.059999999999999</v>
      </c>
      <c r="D24" s="32">
        <v>54840.988477318046</v>
      </c>
      <c r="F24" s="28">
        <f t="shared" si="0"/>
        <v>32</v>
      </c>
      <c r="G24" s="28">
        <f>F24-$G$3</f>
        <v>30</v>
      </c>
      <c r="H24" s="31">
        <f>VLOOKUP(G24,'Daily Rates Pivot'!$A$3:$I$39,7,FALSE)*100</f>
        <v>55000</v>
      </c>
      <c r="I24" s="32">
        <f t="shared" ref="I24" si="12">H24-D24</f>
        <v>159.01152268195438</v>
      </c>
      <c r="J24" s="31">
        <f t="shared" ref="J24" si="13">I24*C24</f>
        <v>3189.7711450000047</v>
      </c>
      <c r="K24" s="31"/>
    </row>
    <row r="25" spans="1:11" ht="15" customHeight="1" x14ac:dyDescent="0.25">
      <c r="A25" s="12" t="s">
        <v>39</v>
      </c>
      <c r="B25" s="32">
        <v>58832883.3959594</v>
      </c>
      <c r="C25" s="32">
        <v>1095.5</v>
      </c>
      <c r="D25" s="32">
        <v>53704.138198046006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6" sqref="F16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5.140625" style="28" customWidth="1"/>
    <col min="4" max="4" width="14.42578125" style="28" bestFit="1" customWidth="1"/>
    <col min="5" max="9" width="9.140625" style="28"/>
    <col min="10" max="10" width="15.28515625" style="28" bestFit="1" customWidth="1"/>
    <col min="11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</row>
    <row r="3" spans="1:11" ht="15" customHeight="1" x14ac:dyDescent="0.25">
      <c r="A3" s="11" t="s">
        <v>38</v>
      </c>
      <c r="B3" s="28" t="s">
        <v>40</v>
      </c>
      <c r="C3" s="28" t="s">
        <v>106</v>
      </c>
      <c r="D3" s="28" t="s">
        <v>41</v>
      </c>
      <c r="G3" s="28">
        <v>2</v>
      </c>
    </row>
    <row r="4" spans="1:11" ht="15" customHeight="1" x14ac:dyDescent="0.25">
      <c r="A4" s="12" t="s">
        <v>18</v>
      </c>
      <c r="B4" s="32">
        <v>16863160.007400002</v>
      </c>
      <c r="C4" s="32">
        <v>302.16999999999996</v>
      </c>
      <c r="D4" s="32">
        <v>55797.630889418309</v>
      </c>
      <c r="F4" s="28" t="str">
        <f t="shared" ref="F4:F17" si="0">A4</f>
        <v>PFAD(LOCAL)-PCP</v>
      </c>
      <c r="H4" s="31"/>
      <c r="I4" s="32"/>
      <c r="J4" s="31"/>
      <c r="K4" s="31">
        <f>SUM(J5:J8)/C4</f>
        <v>-42.443577920826577</v>
      </c>
    </row>
    <row r="5" spans="1:11" ht="15" customHeight="1" x14ac:dyDescent="0.25">
      <c r="A5" s="12">
        <v>36</v>
      </c>
      <c r="B5" s="32">
        <v>1858850</v>
      </c>
      <c r="C5" s="32">
        <v>32.9</v>
      </c>
      <c r="D5" s="32">
        <v>56500</v>
      </c>
      <c r="F5" s="28">
        <f t="shared" si="0"/>
        <v>36</v>
      </c>
      <c r="G5" s="28">
        <f>F5-$G$2</f>
        <v>32</v>
      </c>
      <c r="H5" s="31">
        <f>VLOOKUP(G5,'Daily Rates Pivot'!$A$3:$I$100,5,FALSE)*100</f>
        <v>53690</v>
      </c>
      <c r="I5" s="32">
        <f t="shared" ref="I5:I8" si="1">H5-D5</f>
        <v>-2810</v>
      </c>
      <c r="J5" s="31">
        <f t="shared" ref="J5:J8" si="2">I5*C5</f>
        <v>-92449</v>
      </c>
      <c r="K5" s="31"/>
    </row>
    <row r="6" spans="1:11" ht="15" customHeight="1" x14ac:dyDescent="0.25">
      <c r="A6" s="12">
        <v>38</v>
      </c>
      <c r="B6" s="32">
        <v>2236488</v>
      </c>
      <c r="C6" s="32">
        <v>41.64</v>
      </c>
      <c r="D6" s="32">
        <v>53684.301488238125</v>
      </c>
      <c r="F6" s="28">
        <f t="shared" si="0"/>
        <v>38</v>
      </c>
      <c r="G6" s="28">
        <f t="shared" ref="G6:G8" si="3">F6-$G$2</f>
        <v>34</v>
      </c>
      <c r="H6" s="31">
        <f>VLOOKUP(G6,'Daily Rates Pivot'!$A$3:$I$100,5,FALSE)*100</f>
        <v>57132.500000000007</v>
      </c>
      <c r="I6" s="32">
        <f t="shared" si="1"/>
        <v>3448.1985117618824</v>
      </c>
      <c r="J6" s="31">
        <f t="shared" si="2"/>
        <v>143582.98602976478</v>
      </c>
      <c r="K6" s="31"/>
    </row>
    <row r="7" spans="1:11" ht="15" customHeight="1" x14ac:dyDescent="0.25">
      <c r="A7" s="12">
        <v>39</v>
      </c>
      <c r="B7" s="32">
        <v>4588156.1330000004</v>
      </c>
      <c r="C7" s="32">
        <v>82.9</v>
      </c>
      <c r="D7" s="32">
        <v>55345.671085645357</v>
      </c>
      <c r="F7" s="28">
        <f t="shared" si="0"/>
        <v>39</v>
      </c>
      <c r="G7" s="28">
        <f t="shared" si="3"/>
        <v>35</v>
      </c>
      <c r="H7" s="31">
        <f>VLOOKUP(G7,'Daily Rates Pivot'!$A$3:$I$100,5,FALSE)*100</f>
        <v>56283.35</v>
      </c>
      <c r="I7" s="32">
        <f t="shared" si="1"/>
        <v>937.67891435464117</v>
      </c>
      <c r="J7" s="31">
        <f t="shared" si="2"/>
        <v>77733.581999999762</v>
      </c>
      <c r="K7" s="31"/>
    </row>
    <row r="8" spans="1:11" ht="15" customHeight="1" x14ac:dyDescent="0.25">
      <c r="A8" s="12">
        <v>40</v>
      </c>
      <c r="B8" s="32">
        <v>8179665.8744000001</v>
      </c>
      <c r="C8" s="32">
        <v>144.72999999999999</v>
      </c>
      <c r="D8" s="32">
        <v>56505.014329925383</v>
      </c>
      <c r="F8" s="28">
        <f t="shared" si="0"/>
        <v>40</v>
      </c>
      <c r="G8" s="28">
        <f t="shared" si="3"/>
        <v>36</v>
      </c>
      <c r="H8" s="31">
        <f>VLOOKUP(G8,'Daily Rates Pivot'!$A$3:$I$100,5,FALSE)*100</f>
        <v>55526</v>
      </c>
      <c r="I8" s="32">
        <f t="shared" si="1"/>
        <v>-979.01432992538321</v>
      </c>
      <c r="J8" s="31">
        <f t="shared" si="2"/>
        <v>-141692.74397010071</v>
      </c>
      <c r="K8" s="31"/>
    </row>
    <row r="9" spans="1:11" ht="15" customHeight="1" x14ac:dyDescent="0.25">
      <c r="A9" s="12" t="s">
        <v>15</v>
      </c>
      <c r="B9" s="32">
        <v>41631685.207400002</v>
      </c>
      <c r="C9" s="32">
        <v>755.67000000000007</v>
      </c>
      <c r="D9" s="32">
        <v>55082.938882508613</v>
      </c>
      <c r="F9" s="28" t="str">
        <f t="shared" si="0"/>
        <v>RBD PALM STEARIN (LOCAL)</v>
      </c>
      <c r="H9" s="31"/>
      <c r="I9" s="32"/>
      <c r="J9" s="31"/>
      <c r="K9" s="31">
        <f>SUM(J10:J14)/C9</f>
        <v>873.96645575999651</v>
      </c>
    </row>
    <row r="10" spans="1:11" ht="15" customHeight="1" x14ac:dyDescent="0.25">
      <c r="A10" s="12">
        <v>36</v>
      </c>
      <c r="B10" s="32">
        <v>2403020.9675000003</v>
      </c>
      <c r="C10" s="32">
        <v>47.370000000000005</v>
      </c>
      <c r="D10" s="32">
        <v>50728.751688832592</v>
      </c>
      <c r="F10" s="28">
        <f t="shared" si="0"/>
        <v>36</v>
      </c>
      <c r="G10" s="28">
        <f>F10-$G$2</f>
        <v>32</v>
      </c>
      <c r="H10" s="31">
        <f>VLOOKUP(G10,'Daily Rates Pivot'!$A$3:$I$100,2,FALSE)*100</f>
        <v>52100</v>
      </c>
      <c r="I10" s="32">
        <f t="shared" ref="I10:I14" si="4">H10-D10</f>
        <v>1371.2483111674082</v>
      </c>
      <c r="J10" s="31">
        <f t="shared" ref="J10:J14" si="5">I10*C10</f>
        <v>64956.032500000132</v>
      </c>
      <c r="K10" s="31"/>
    </row>
    <row r="11" spans="1:11" ht="15" customHeight="1" x14ac:dyDescent="0.25">
      <c r="A11" s="12">
        <v>37</v>
      </c>
      <c r="B11" s="32">
        <v>11611108.2217</v>
      </c>
      <c r="C11" s="32">
        <v>219.35999999999996</v>
      </c>
      <c r="D11" s="32">
        <v>52931.747910740341</v>
      </c>
      <c r="F11" s="28">
        <f t="shared" si="0"/>
        <v>37</v>
      </c>
      <c r="G11" s="28">
        <f t="shared" ref="G11:G14" si="6">F11-$G$2</f>
        <v>33</v>
      </c>
      <c r="H11" s="31">
        <f>VLOOKUP(G11,'Daily Rates Pivot'!$A$3:$I$100,2,FALSE)*100</f>
        <v>54400</v>
      </c>
      <c r="I11" s="32">
        <f t="shared" si="4"/>
        <v>1468.2520892596585</v>
      </c>
      <c r="J11" s="31">
        <f t="shared" si="5"/>
        <v>322075.77829999861</v>
      </c>
      <c r="K11" s="31"/>
    </row>
    <row r="12" spans="1:11" ht="15" customHeight="1" x14ac:dyDescent="0.25">
      <c r="A12" s="12">
        <v>38</v>
      </c>
      <c r="B12" s="32">
        <v>5264458.4670000002</v>
      </c>
      <c r="C12" s="32">
        <v>95.03</v>
      </c>
      <c r="D12" s="32">
        <v>55397.858223718824</v>
      </c>
      <c r="F12" s="28">
        <f t="shared" si="0"/>
        <v>38</v>
      </c>
      <c r="G12" s="28">
        <f t="shared" si="6"/>
        <v>34</v>
      </c>
      <c r="H12" s="31">
        <f>VLOOKUP(G12,'Daily Rates Pivot'!$A$3:$I$100,2,FALSE)*100</f>
        <v>57000</v>
      </c>
      <c r="I12" s="32">
        <f t="shared" si="4"/>
        <v>1602.1417762811761</v>
      </c>
      <c r="J12" s="31">
        <f t="shared" si="5"/>
        <v>152251.53300000017</v>
      </c>
      <c r="K12" s="31"/>
    </row>
    <row r="13" spans="1:11" ht="15" customHeight="1" x14ac:dyDescent="0.25">
      <c r="A13" s="12">
        <v>39</v>
      </c>
      <c r="B13" s="32">
        <v>9700478.8571000006</v>
      </c>
      <c r="C13" s="32">
        <v>173.44</v>
      </c>
      <c r="D13" s="32">
        <v>55887.992493518468</v>
      </c>
      <c r="F13" s="28">
        <f t="shared" si="0"/>
        <v>39</v>
      </c>
      <c r="G13" s="28">
        <f t="shared" si="6"/>
        <v>35</v>
      </c>
      <c r="H13" s="31">
        <f>VLOOKUP(G13,'Daily Rates Pivot'!$A$3:$I$100,2,FALSE)*100</f>
        <v>56700</v>
      </c>
      <c r="I13" s="32">
        <f t="shared" si="4"/>
        <v>812.00750648153189</v>
      </c>
      <c r="J13" s="31">
        <f t="shared" si="5"/>
        <v>140834.5819241569</v>
      </c>
      <c r="K13" s="31"/>
    </row>
    <row r="14" spans="1:11" ht="15" customHeight="1" x14ac:dyDescent="0.25">
      <c r="A14" s="12">
        <v>40</v>
      </c>
      <c r="B14" s="32">
        <v>12652618.6941</v>
      </c>
      <c r="C14" s="32">
        <v>220.47</v>
      </c>
      <c r="D14" s="32">
        <v>57389.298744046806</v>
      </c>
      <c r="F14" s="28">
        <f t="shared" si="0"/>
        <v>40</v>
      </c>
      <c r="G14" s="28">
        <f t="shared" si="6"/>
        <v>36</v>
      </c>
      <c r="H14" s="31">
        <f>VLOOKUP(G14,'Daily Rates Pivot'!$A$3:$I$100,2,FALSE)*100</f>
        <v>57300</v>
      </c>
      <c r="I14" s="32">
        <f t="shared" si="4"/>
        <v>-89.29874404680595</v>
      </c>
      <c r="J14" s="31">
        <f t="shared" si="5"/>
        <v>-19687.694099999309</v>
      </c>
      <c r="K14" s="31"/>
    </row>
    <row r="15" spans="1:11" ht="15" customHeight="1" x14ac:dyDescent="0.25">
      <c r="A15" s="12" t="s">
        <v>13</v>
      </c>
      <c r="B15" s="32">
        <v>12407654.144159999</v>
      </c>
      <c r="C15" s="32">
        <v>226.41</v>
      </c>
      <c r="D15" s="32">
        <v>54801.705508413936</v>
      </c>
      <c r="F15" s="28" t="str">
        <f t="shared" si="0"/>
        <v>RICE BRAN FATTY ACIDS- PCP - LOCAL</v>
      </c>
      <c r="H15" s="31"/>
      <c r="I15" s="32"/>
      <c r="J15" s="31"/>
      <c r="K15" s="31">
        <f>SUM(J16:J19)/C15</f>
        <v>622.87379462037893</v>
      </c>
    </row>
    <row r="16" spans="1:11" ht="15" customHeight="1" x14ac:dyDescent="0.25">
      <c r="A16" s="12">
        <v>37</v>
      </c>
      <c r="B16" s="32">
        <v>4721515.1953199999</v>
      </c>
      <c r="C16" s="32">
        <v>85.38</v>
      </c>
      <c r="D16" s="32">
        <v>55300.014000000003</v>
      </c>
      <c r="F16" s="28">
        <f t="shared" si="0"/>
        <v>37</v>
      </c>
      <c r="G16" s="28">
        <f>F16-$G$3</f>
        <v>35</v>
      </c>
      <c r="H16" s="31">
        <f>VLOOKUP(G16,'Daily Rates Pivot'!$A$3:$I$100,7,FALSE)*100</f>
        <v>55300</v>
      </c>
      <c r="I16" s="32">
        <f t="shared" ref="I16:I17" si="7">H16-D16</f>
        <v>-1.4000000002852175E-2</v>
      </c>
      <c r="J16" s="31">
        <f t="shared" ref="J16:J17" si="8">I16*C16</f>
        <v>-1.1953200002435187</v>
      </c>
      <c r="K16" s="31"/>
    </row>
    <row r="17" spans="1:11" ht="15" customHeight="1" x14ac:dyDescent="0.25">
      <c r="A17" s="12">
        <v>40</v>
      </c>
      <c r="B17" s="32">
        <v>7686138.9488399997</v>
      </c>
      <c r="C17" s="32">
        <v>141.03</v>
      </c>
      <c r="D17" s="32">
        <v>54500.027999999998</v>
      </c>
      <c r="F17" s="28">
        <f t="shared" si="0"/>
        <v>40</v>
      </c>
      <c r="G17" s="28">
        <f t="shared" ref="G17" si="9">F17-$G$3</f>
        <v>38</v>
      </c>
      <c r="H17" s="31">
        <f>VLOOKUP(G17,'Daily Rates Pivot'!$A$3:$I$100,7,FALSE)*100</f>
        <v>55500</v>
      </c>
      <c r="I17" s="32">
        <f t="shared" si="7"/>
        <v>999.97200000000157</v>
      </c>
      <c r="J17" s="31">
        <f t="shared" si="8"/>
        <v>141026.05116000024</v>
      </c>
      <c r="K17" s="31"/>
    </row>
    <row r="18" spans="1:11" ht="15" customHeight="1" x14ac:dyDescent="0.25">
      <c r="A18" s="12" t="s">
        <v>39</v>
      </c>
      <c r="B18" s="32">
        <v>70902499.358960003</v>
      </c>
      <c r="C18" s="32">
        <v>1284.2499999999998</v>
      </c>
      <c r="D18" s="32">
        <v>55201.528583854313</v>
      </c>
      <c r="H18" s="31"/>
      <c r="I18" s="32"/>
      <c r="J18" s="31"/>
      <c r="K18" s="31"/>
    </row>
    <row r="19" spans="1:11" ht="15" customHeight="1" x14ac:dyDescent="0.25">
      <c r="H19" s="31"/>
      <c r="I19" s="32"/>
      <c r="J19" s="31"/>
      <c r="K19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B3" workbookViewId="0">
      <selection activeCell="I27" sqref="I27"/>
    </sheetView>
  </sheetViews>
  <sheetFormatPr defaultRowHeight="15" customHeight="1" x14ac:dyDescent="0.25"/>
  <cols>
    <col min="1" max="1" width="35.85546875" style="28" bestFit="1" customWidth="1"/>
    <col min="2" max="2" width="27.42578125" style="28" bestFit="1" customWidth="1"/>
    <col min="3" max="3" width="15.140625" style="28" customWidth="1"/>
    <col min="4" max="4" width="14.42578125" style="28" customWidth="1"/>
    <col min="5" max="9" width="9.140625" style="28"/>
    <col min="10" max="10" width="10.140625" style="28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1"/>
    </row>
    <row r="2" spans="1:11" ht="15" customHeight="1" x14ac:dyDescent="0.25">
      <c r="G2" s="28">
        <v>4</v>
      </c>
      <c r="H2" s="31"/>
      <c r="J2" s="31" t="s">
        <v>64</v>
      </c>
      <c r="K2" s="31"/>
    </row>
    <row r="3" spans="1:11" ht="15" customHeight="1" x14ac:dyDescent="0.25">
      <c r="A3" s="11" t="s">
        <v>38</v>
      </c>
      <c r="B3" s="28" t="s">
        <v>40</v>
      </c>
      <c r="C3" s="28" t="s">
        <v>106</v>
      </c>
      <c r="D3" s="28" t="s">
        <v>41</v>
      </c>
      <c r="G3" s="28">
        <v>2</v>
      </c>
      <c r="H3" s="31"/>
      <c r="J3" s="31">
        <f>SUM(J5:J30)</f>
        <v>2916691.40798624</v>
      </c>
      <c r="K3" s="31"/>
    </row>
    <row r="4" spans="1:11" ht="15" customHeight="1" x14ac:dyDescent="0.25">
      <c r="A4" s="12" t="s">
        <v>20</v>
      </c>
      <c r="B4" s="32">
        <v>46689063.868662007</v>
      </c>
      <c r="C4" s="32">
        <v>484.38</v>
      </c>
      <c r="D4" s="32">
        <v>96389.330419633334</v>
      </c>
      <c r="F4" s="28" t="str">
        <f>A4</f>
        <v>COCONUT OIL (CRUDE) LOCAL</v>
      </c>
      <c r="H4" s="31"/>
      <c r="J4" s="31"/>
      <c r="K4" s="31">
        <f>SUM(J5:J7)/C4</f>
        <v>5063.7975291277735</v>
      </c>
    </row>
    <row r="5" spans="1:11" ht="15" customHeight="1" x14ac:dyDescent="0.25">
      <c r="A5" s="62">
        <v>42</v>
      </c>
      <c r="B5" s="32">
        <v>8024238.2150160009</v>
      </c>
      <c r="C5" s="32">
        <v>81.88</v>
      </c>
      <c r="D5" s="32">
        <v>97999.978200000012</v>
      </c>
      <c r="F5" s="28">
        <f t="shared" ref="F5:F28" si="0">A5</f>
        <v>42</v>
      </c>
      <c r="G5" s="28">
        <f>F5-$G$2</f>
        <v>38</v>
      </c>
      <c r="H5" s="31">
        <f>VLOOKUP(G5,'Daily Rates Pivot'!$A$3:$I$60,8,FALSE)</f>
        <v>100951.19391964926</v>
      </c>
      <c r="I5" s="32">
        <f>H5-D5</f>
        <v>2951.2157196492481</v>
      </c>
      <c r="J5" s="31">
        <f>I5*C5</f>
        <v>241645.54312488041</v>
      </c>
      <c r="K5" s="31"/>
    </row>
    <row r="6" spans="1:11" ht="15" customHeight="1" x14ac:dyDescent="0.25">
      <c r="A6" s="62">
        <v>43</v>
      </c>
      <c r="B6" s="32">
        <v>11360786.316000002</v>
      </c>
      <c r="C6" s="32">
        <v>120.10999999999999</v>
      </c>
      <c r="D6" s="32">
        <v>94586.514994588317</v>
      </c>
      <c r="F6" s="28">
        <f t="shared" si="0"/>
        <v>43</v>
      </c>
      <c r="G6" s="28">
        <f>F6-$G$2</f>
        <v>39</v>
      </c>
      <c r="H6" s="31">
        <f>VLOOKUP(G6,'Daily Rates Pivot'!$A$3:$I$60,8,FALSE)</f>
        <v>103054.50678149713</v>
      </c>
      <c r="I6" s="32">
        <f>H6-D6</f>
        <v>8467.9917869088094</v>
      </c>
      <c r="J6" s="31">
        <f>I6*C6</f>
        <v>1017090.4935256169</v>
      </c>
      <c r="K6" s="31"/>
    </row>
    <row r="7" spans="1:11" ht="15" customHeight="1" x14ac:dyDescent="0.25">
      <c r="A7" s="62">
        <v>44</v>
      </c>
      <c r="B7" s="32">
        <v>27304039.337646004</v>
      </c>
      <c r="C7" s="32">
        <v>282.39</v>
      </c>
      <c r="D7" s="32">
        <v>96689.115541081497</v>
      </c>
      <c r="F7" s="28">
        <f t="shared" si="0"/>
        <v>44</v>
      </c>
      <c r="G7" s="28">
        <f>F7-$G$2</f>
        <v>40</v>
      </c>
      <c r="H7" s="31">
        <f>VLOOKUP(G7,'Daily Rates Pivot'!$A$3:$I$60,8,FALSE)</f>
        <v>100917.54505525839</v>
      </c>
      <c r="I7" s="32">
        <f>H7-D7</f>
        <v>4228.4295141768962</v>
      </c>
      <c r="J7" s="31">
        <f>I7*C7</f>
        <v>1194066.2105084136</v>
      </c>
      <c r="K7" s="31"/>
    </row>
    <row r="8" spans="1:11" ht="15" customHeight="1" x14ac:dyDescent="0.25">
      <c r="A8" s="12" t="s">
        <v>110</v>
      </c>
      <c r="B8" s="32">
        <v>16532234.81574852</v>
      </c>
      <c r="C8" s="32">
        <v>243.18</v>
      </c>
      <c r="D8" s="32">
        <v>67983.529960311382</v>
      </c>
      <c r="F8" s="28" t="str">
        <f t="shared" si="0"/>
        <v>DISTILLED FATTY ACID C1618</v>
      </c>
      <c r="H8" s="31"/>
      <c r="I8" s="32"/>
      <c r="J8" s="31"/>
      <c r="K8" s="31">
        <f>SUM(J9:J11)/C8</f>
        <v>0</v>
      </c>
    </row>
    <row r="9" spans="1:11" ht="15" customHeight="1" x14ac:dyDescent="0.25">
      <c r="A9" s="62">
        <v>41</v>
      </c>
      <c r="B9" s="32">
        <v>6272487.6500000004</v>
      </c>
      <c r="C9" s="32">
        <v>84.37</v>
      </c>
      <c r="D9" s="32">
        <v>74345</v>
      </c>
      <c r="F9" s="28">
        <f t="shared" si="0"/>
        <v>41</v>
      </c>
      <c r="G9" s="28">
        <f>F9-$G$1</f>
        <v>33</v>
      </c>
      <c r="H9" s="31"/>
      <c r="I9" s="32"/>
      <c r="J9" s="31"/>
      <c r="K9" s="31"/>
    </row>
    <row r="10" spans="1:11" ht="15" customHeight="1" x14ac:dyDescent="0.25">
      <c r="A10" s="62">
        <v>42</v>
      </c>
      <c r="B10" s="32">
        <v>4373716.3499999996</v>
      </c>
      <c r="C10" s="32">
        <v>58.83</v>
      </c>
      <c r="D10" s="32">
        <v>74345</v>
      </c>
      <c r="F10" s="28">
        <f t="shared" si="0"/>
        <v>42</v>
      </c>
      <c r="G10" s="28">
        <f>F10-$G$1</f>
        <v>34</v>
      </c>
      <c r="H10" s="31"/>
      <c r="I10" s="32"/>
      <c r="J10" s="31"/>
      <c r="K10" s="31"/>
    </row>
    <row r="11" spans="1:11" ht="15" customHeight="1" x14ac:dyDescent="0.25">
      <c r="A11" s="62">
        <v>44</v>
      </c>
      <c r="B11" s="32">
        <v>5886030.8157485202</v>
      </c>
      <c r="C11" s="32">
        <v>99.98</v>
      </c>
      <c r="D11" s="32">
        <v>58872.082574</v>
      </c>
      <c r="F11" s="28">
        <f t="shared" si="0"/>
        <v>44</v>
      </c>
      <c r="G11" s="28">
        <f>F11-$G$1</f>
        <v>36</v>
      </c>
      <c r="H11" s="31"/>
      <c r="I11" s="32"/>
      <c r="J11" s="31"/>
      <c r="K11" s="31"/>
    </row>
    <row r="12" spans="1:11" ht="15" customHeight="1" x14ac:dyDescent="0.25">
      <c r="A12" s="12" t="s">
        <v>18</v>
      </c>
      <c r="B12" s="32">
        <v>25716542.503400002</v>
      </c>
      <c r="C12" s="32">
        <v>456.65999999999997</v>
      </c>
      <c r="D12" s="32">
        <v>56314.418831077826</v>
      </c>
      <c r="F12" s="28" t="str">
        <f t="shared" si="0"/>
        <v>PFAD(LOCAL)-PCP</v>
      </c>
      <c r="H12" s="31"/>
      <c r="I12" s="32"/>
      <c r="J12" s="31"/>
      <c r="K12" s="31">
        <f>SUM(J13:J16)/C12</f>
        <v>-497.88517912669857</v>
      </c>
    </row>
    <row r="13" spans="1:11" ht="15" customHeight="1" x14ac:dyDescent="0.25">
      <c r="A13" s="62">
        <v>41</v>
      </c>
      <c r="B13" s="32">
        <v>6982275.5981999999</v>
      </c>
      <c r="C13" s="32">
        <v>123.32</v>
      </c>
      <c r="D13" s="32">
        <v>56619.166381771007</v>
      </c>
      <c r="F13" s="28">
        <f t="shared" si="0"/>
        <v>41</v>
      </c>
      <c r="G13" s="28">
        <f>F13-$G$2</f>
        <v>37</v>
      </c>
      <c r="H13" s="31">
        <f>VLOOKUP(G13,'Daily Rates Pivot'!$A$3:$I$60,5,FALSE)*100</f>
        <v>56558.750000000007</v>
      </c>
      <c r="I13" s="32">
        <f t="shared" ref="I13:I16" si="1">H13-D13</f>
        <v>-60.416381770999578</v>
      </c>
      <c r="J13" s="31">
        <f t="shared" ref="J13:J16" si="2">I13*C13</f>
        <v>-7450.5481999996673</v>
      </c>
      <c r="K13" s="31"/>
    </row>
    <row r="14" spans="1:11" ht="15" customHeight="1" x14ac:dyDescent="0.25">
      <c r="A14" s="62">
        <v>42</v>
      </c>
      <c r="B14" s="32">
        <v>2484066</v>
      </c>
      <c r="C14" s="32">
        <v>43.959999999999994</v>
      </c>
      <c r="D14" s="32">
        <v>56507.415832575076</v>
      </c>
      <c r="F14" s="28">
        <f t="shared" si="0"/>
        <v>42</v>
      </c>
      <c r="G14" s="28">
        <f t="shared" ref="G14:G16" si="3">F14-$G$2</f>
        <v>38</v>
      </c>
      <c r="H14" s="31">
        <f>VLOOKUP(G14,'Daily Rates Pivot'!$A$3:$I$60,5,FALSE)*100</f>
        <v>55554.687500000015</v>
      </c>
      <c r="I14" s="32">
        <f t="shared" si="1"/>
        <v>-952.72833257506136</v>
      </c>
      <c r="J14" s="31">
        <f t="shared" si="2"/>
        <v>-41881.937499999694</v>
      </c>
      <c r="K14" s="31"/>
    </row>
    <row r="15" spans="1:11" ht="15" customHeight="1" x14ac:dyDescent="0.25">
      <c r="A15" s="62">
        <v>43</v>
      </c>
      <c r="B15" s="32">
        <v>5241771.5</v>
      </c>
      <c r="C15" s="32">
        <v>92.640000000000015</v>
      </c>
      <c r="D15" s="32">
        <v>56582.162132987898</v>
      </c>
      <c r="F15" s="28">
        <f t="shared" si="0"/>
        <v>43</v>
      </c>
      <c r="G15" s="28">
        <f t="shared" si="3"/>
        <v>39</v>
      </c>
      <c r="H15" s="31">
        <f>VLOOKUP(G15,'Daily Rates Pivot'!$A$3:$I$60,5,FALSE)*100</f>
        <v>56788.250000000007</v>
      </c>
      <c r="I15" s="32">
        <f t="shared" si="1"/>
        <v>206.0878670121092</v>
      </c>
      <c r="J15" s="31">
        <f t="shared" si="2"/>
        <v>19091.9800000018</v>
      </c>
      <c r="K15" s="31"/>
    </row>
    <row r="16" spans="1:11" ht="15" customHeight="1" x14ac:dyDescent="0.25">
      <c r="A16" s="62">
        <v>44</v>
      </c>
      <c r="B16" s="32">
        <v>11008429.405200001</v>
      </c>
      <c r="C16" s="32">
        <v>196.74</v>
      </c>
      <c r="D16" s="32">
        <v>55954.200494053068</v>
      </c>
      <c r="F16" s="28">
        <f t="shared" si="0"/>
        <v>44</v>
      </c>
      <c r="G16" s="28">
        <f t="shared" si="3"/>
        <v>40</v>
      </c>
      <c r="H16" s="31">
        <f>VLOOKUP(G16,'Daily Rates Pivot'!$A$3:$I$60,5,FALSE)*100</f>
        <v>54952.25</v>
      </c>
      <c r="I16" s="32">
        <f t="shared" si="1"/>
        <v>-1001.9504940530678</v>
      </c>
      <c r="J16" s="31">
        <f t="shared" si="2"/>
        <v>-197123.74020000058</v>
      </c>
      <c r="K16" s="31"/>
    </row>
    <row r="17" spans="1:11" ht="15" customHeight="1" x14ac:dyDescent="0.25">
      <c r="A17" s="12" t="s">
        <v>15</v>
      </c>
      <c r="B17" s="32">
        <v>27164890.936099999</v>
      </c>
      <c r="C17" s="32">
        <v>475.09000000000003</v>
      </c>
      <c r="D17" s="32">
        <v>57178.410271948465</v>
      </c>
      <c r="F17" s="28" t="str">
        <f t="shared" si="0"/>
        <v>RBD PALM STEARIN (LOCAL)</v>
      </c>
      <c r="H17" s="31"/>
      <c r="I17" s="32"/>
      <c r="J17" s="31"/>
      <c r="K17" s="31">
        <f>SUM(J18:J22)/C17</f>
        <v>738.84961565177264</v>
      </c>
    </row>
    <row r="18" spans="1:11" ht="15" customHeight="1" x14ac:dyDescent="0.25">
      <c r="A18" s="62">
        <v>40</v>
      </c>
      <c r="B18" s="32">
        <v>1546175</v>
      </c>
      <c r="C18" s="32">
        <v>26.89</v>
      </c>
      <c r="D18" s="32">
        <v>57500</v>
      </c>
      <c r="F18" s="28">
        <f t="shared" si="0"/>
        <v>40</v>
      </c>
      <c r="G18" s="28">
        <f>F18-$G$2</f>
        <v>36</v>
      </c>
      <c r="H18" s="31">
        <f>VLOOKUP(G18,'Daily Rates Pivot'!$A$3:$I$60,2,FALSE)*100</f>
        <v>57300</v>
      </c>
      <c r="I18" s="32">
        <f t="shared" ref="I18:I26" si="4">H18-D18</f>
        <v>-200</v>
      </c>
      <c r="J18" s="31">
        <f t="shared" ref="J18:J28" si="5">I18*C18</f>
        <v>-5378</v>
      </c>
      <c r="K18" s="31"/>
    </row>
    <row r="19" spans="1:11" ht="15" customHeight="1" x14ac:dyDescent="0.25">
      <c r="A19" s="62">
        <v>41</v>
      </c>
      <c r="B19" s="32">
        <v>13488708.2643</v>
      </c>
      <c r="C19" s="32">
        <v>232.82000000000002</v>
      </c>
      <c r="D19" s="32">
        <v>57936.209364745293</v>
      </c>
      <c r="F19" s="28">
        <f t="shared" si="0"/>
        <v>41</v>
      </c>
      <c r="G19" s="28">
        <f t="shared" ref="G19:G22" si="6">F19-$G$2</f>
        <v>37</v>
      </c>
      <c r="H19" s="31">
        <f>VLOOKUP(G19,'Daily Rates Pivot'!$A$3:$I$60,2,FALSE)*100</f>
        <v>58000</v>
      </c>
      <c r="I19" s="32">
        <f t="shared" si="4"/>
        <v>63.790635254707013</v>
      </c>
      <c r="J19" s="31">
        <f t="shared" si="5"/>
        <v>14851.735700000889</v>
      </c>
      <c r="K19" s="31"/>
    </row>
    <row r="20" spans="1:11" ht="15" customHeight="1" x14ac:dyDescent="0.25">
      <c r="A20" s="62">
        <v>42</v>
      </c>
      <c r="B20" s="32">
        <v>4410029.6338</v>
      </c>
      <c r="C20" s="32">
        <v>76.449999999999989</v>
      </c>
      <c r="D20" s="32">
        <v>57685.148905166781</v>
      </c>
      <c r="F20" s="28">
        <f t="shared" si="0"/>
        <v>42</v>
      </c>
      <c r="G20" s="28">
        <f t="shared" si="6"/>
        <v>38</v>
      </c>
      <c r="H20" s="31">
        <f>VLOOKUP(G20,'Daily Rates Pivot'!$A$3:$I$60,2,FALSE)*100</f>
        <v>57500</v>
      </c>
      <c r="I20" s="32">
        <f t="shared" si="4"/>
        <v>-185.14890516678133</v>
      </c>
      <c r="J20" s="31">
        <f t="shared" si="5"/>
        <v>-14154.633800000431</v>
      </c>
      <c r="K20" s="31"/>
    </row>
    <row r="21" spans="1:11" ht="15" customHeight="1" x14ac:dyDescent="0.25">
      <c r="A21" s="62">
        <v>43</v>
      </c>
      <c r="B21" s="32">
        <v>1764084.0380000002</v>
      </c>
      <c r="C21" s="32">
        <v>30.35</v>
      </c>
      <c r="D21" s="32">
        <v>58124.68</v>
      </c>
      <c r="F21" s="28">
        <f t="shared" si="0"/>
        <v>43</v>
      </c>
      <c r="G21" s="28">
        <f t="shared" si="6"/>
        <v>39</v>
      </c>
      <c r="H21" s="31">
        <f>VLOOKUP(G21,'Daily Rates Pivot'!$A$3:$I$60,2,FALSE)*100</f>
        <v>59300</v>
      </c>
      <c r="I21" s="32">
        <f t="shared" si="4"/>
        <v>1175.3199999999997</v>
      </c>
      <c r="J21" s="31">
        <f t="shared" si="5"/>
        <v>35670.961999999992</v>
      </c>
      <c r="K21" s="31"/>
    </row>
    <row r="22" spans="1:11" ht="15" customHeight="1" x14ac:dyDescent="0.25">
      <c r="A22" s="62">
        <v>44</v>
      </c>
      <c r="B22" s="32">
        <v>5955894</v>
      </c>
      <c r="C22" s="32">
        <v>108.58</v>
      </c>
      <c r="D22" s="32">
        <v>54852.58795358261</v>
      </c>
      <c r="F22" s="28">
        <f t="shared" si="0"/>
        <v>44</v>
      </c>
      <c r="G22" s="28">
        <f t="shared" si="6"/>
        <v>40</v>
      </c>
      <c r="H22" s="31">
        <f>VLOOKUP(G22,'Daily Rates Pivot'!$A$3:$I$60,2,FALSE)*100</f>
        <v>57800</v>
      </c>
      <c r="I22" s="32">
        <f t="shared" si="4"/>
        <v>2947.4120464173902</v>
      </c>
      <c r="J22" s="31">
        <f t="shared" si="5"/>
        <v>320030.00000000023</v>
      </c>
      <c r="K22" s="31"/>
    </row>
    <row r="23" spans="1:11" ht="15" customHeight="1" x14ac:dyDescent="0.25">
      <c r="A23" s="12" t="s">
        <v>13</v>
      </c>
      <c r="B23" s="32">
        <v>8987733.852132</v>
      </c>
      <c r="C23" s="32">
        <v>169.19</v>
      </c>
      <c r="D23" s="32">
        <v>53122.134003971863</v>
      </c>
      <c r="F23" s="28" t="str">
        <f t="shared" si="0"/>
        <v>RICE BRAN FATTY ACIDS- PCP - LOCAL</v>
      </c>
      <c r="H23" s="31"/>
      <c r="I23" s="32"/>
      <c r="J23" s="31"/>
      <c r="K23" s="31">
        <f>SUM(J24:J26)/C23</f>
        <v>1659.1178430640134</v>
      </c>
    </row>
    <row r="24" spans="1:11" ht="15" customHeight="1" x14ac:dyDescent="0.25">
      <c r="A24" s="62">
        <v>41</v>
      </c>
      <c r="B24" s="32">
        <v>4516093.4963699998</v>
      </c>
      <c r="C24" s="32">
        <v>84.320000000000007</v>
      </c>
      <c r="D24" s="32">
        <v>53558.983590725802</v>
      </c>
      <c r="F24" s="28">
        <f t="shared" si="0"/>
        <v>41</v>
      </c>
      <c r="G24" s="28">
        <f>F24-$G$3</f>
        <v>39</v>
      </c>
      <c r="H24" s="31">
        <f>VLOOKUP(G24,'Daily Rates Pivot'!$A$3:$I$60,7,FALSE)*100</f>
        <v>55500</v>
      </c>
      <c r="I24" s="32">
        <f t="shared" si="4"/>
        <v>1941.0164092741979</v>
      </c>
      <c r="J24" s="31">
        <f t="shared" si="5"/>
        <v>163666.50363000037</v>
      </c>
      <c r="K24" s="31"/>
    </row>
    <row r="25" spans="1:11" ht="15" customHeight="1" x14ac:dyDescent="0.25">
      <c r="A25" s="62">
        <v>42</v>
      </c>
      <c r="B25" s="32">
        <v>3030241.1327999998</v>
      </c>
      <c r="C25" s="32">
        <v>56.64</v>
      </c>
      <c r="D25" s="32">
        <v>53500.02</v>
      </c>
      <c r="F25" s="28">
        <f t="shared" si="0"/>
        <v>42</v>
      </c>
      <c r="G25" s="28">
        <f t="shared" ref="G25:G26" si="7">F25-$G$3</f>
        <v>40</v>
      </c>
      <c r="H25" s="31">
        <f>VLOOKUP(G25,'Daily Rates Pivot'!$A$3:$I$60,7,FALSE)*100</f>
        <v>54300</v>
      </c>
      <c r="I25" s="32">
        <f t="shared" si="4"/>
        <v>799.9800000000032</v>
      </c>
      <c r="J25" s="31">
        <f t="shared" si="5"/>
        <v>45310.867200000182</v>
      </c>
      <c r="K25" s="31"/>
    </row>
    <row r="26" spans="1:11" ht="15" customHeight="1" x14ac:dyDescent="0.25">
      <c r="A26" s="62">
        <v>43</v>
      </c>
      <c r="B26" s="32">
        <v>1441399.2229620002</v>
      </c>
      <c r="C26" s="32">
        <v>28.23</v>
      </c>
      <c r="D26" s="32">
        <v>51059.129400000005</v>
      </c>
      <c r="F26" s="28">
        <f t="shared" si="0"/>
        <v>43</v>
      </c>
      <c r="G26" s="28">
        <f t="shared" si="7"/>
        <v>41</v>
      </c>
      <c r="H26" s="31">
        <f>VLOOKUP(G26,'Daily Rates Pivot'!$A$3:$I$60,7,FALSE)*100</f>
        <v>53600</v>
      </c>
      <c r="I26" s="32">
        <f t="shared" si="4"/>
        <v>2540.8705999999947</v>
      </c>
      <c r="J26" s="31">
        <f t="shared" si="5"/>
        <v>71728.777037999855</v>
      </c>
      <c r="K26" s="31"/>
    </row>
    <row r="27" spans="1:11" ht="15" customHeight="1" x14ac:dyDescent="0.25">
      <c r="A27" s="12" t="s">
        <v>23</v>
      </c>
      <c r="B27" s="32">
        <v>1855638.3864</v>
      </c>
      <c r="C27" s="32">
        <v>20.170000000000002</v>
      </c>
      <c r="D27" s="32">
        <v>91999.919999999984</v>
      </c>
      <c r="F27" s="28" t="str">
        <f t="shared" si="0"/>
        <v>SOLVENT  COCONUT OIL</v>
      </c>
      <c r="H27" s="31"/>
      <c r="I27" s="32"/>
      <c r="J27" s="31"/>
      <c r="K27" s="31">
        <f>SUM(J28:J31)/C27</f>
        <v>2951.2739196492766</v>
      </c>
    </row>
    <row r="28" spans="1:11" ht="15" customHeight="1" x14ac:dyDescent="0.25">
      <c r="A28" s="62">
        <v>44</v>
      </c>
      <c r="B28" s="32">
        <v>1855638.3864</v>
      </c>
      <c r="C28" s="32">
        <v>20.170000000000002</v>
      </c>
      <c r="D28" s="32">
        <v>91999.919999999984</v>
      </c>
      <c r="F28" s="28">
        <f t="shared" si="0"/>
        <v>44</v>
      </c>
      <c r="G28" s="28">
        <f>F28-$G$2</f>
        <v>40</v>
      </c>
      <c r="H28" s="31">
        <f>VLOOKUP(G5,'Daily Rates Pivot'!$A$3:$I$60,8,FALSE)-6000</f>
        <v>94951.19391964926</v>
      </c>
      <c r="I28" s="32">
        <f t="shared" ref="I28" si="8">H28-D28</f>
        <v>2951.2739196492766</v>
      </c>
      <c r="J28" s="31">
        <f t="shared" si="5"/>
        <v>59527.194959325912</v>
      </c>
      <c r="K28" s="31"/>
    </row>
    <row r="29" spans="1:11" ht="15" customHeight="1" x14ac:dyDescent="0.25">
      <c r="A29" s="12" t="s">
        <v>39</v>
      </c>
      <c r="B29" s="32">
        <v>126946104.36244254</v>
      </c>
      <c r="C29" s="32">
        <v>1848.6700000000003</v>
      </c>
      <c r="D29" s="32">
        <v>68668.883230886262</v>
      </c>
      <c r="H29" s="31"/>
      <c r="I29" s="32"/>
      <c r="J29" s="31"/>
      <c r="K29" s="31"/>
    </row>
    <row r="30" spans="1:11" ht="15" customHeight="1" x14ac:dyDescent="0.25">
      <c r="H30" s="31"/>
      <c r="I30" s="32"/>
      <c r="J30" s="31"/>
      <c r="K30" s="31"/>
    </row>
    <row r="31" spans="1:11" ht="15" customHeight="1" x14ac:dyDescent="0.25">
      <c r="H31" s="31"/>
      <c r="I31" s="32"/>
      <c r="J31" s="31"/>
      <c r="K31" s="31"/>
    </row>
    <row r="32" spans="1:11" ht="15" customHeight="1" x14ac:dyDescent="0.25">
      <c r="H32" s="31"/>
      <c r="I32" s="32"/>
      <c r="J32" s="31"/>
      <c r="K32" s="31"/>
    </row>
    <row r="33" spans="8:11" ht="15" customHeight="1" x14ac:dyDescent="0.25">
      <c r="H33" s="31"/>
      <c r="I33" s="32"/>
      <c r="J33" s="31"/>
      <c r="K33" s="31"/>
    </row>
    <row r="34" spans="8:11" ht="15" customHeight="1" x14ac:dyDescent="0.25">
      <c r="H34" s="31"/>
      <c r="I34" s="32"/>
      <c r="J34" s="31"/>
      <c r="K34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7" workbookViewId="0">
      <selection activeCell="K41" sqref="K41"/>
    </sheetView>
  </sheetViews>
  <sheetFormatPr defaultRowHeight="15" customHeight="1" x14ac:dyDescent="0.25"/>
  <cols>
    <col min="1" max="1" width="37.42578125" style="28" bestFit="1" customWidth="1"/>
    <col min="2" max="2" width="27.42578125" style="33" customWidth="1"/>
    <col min="3" max="3" width="15.140625" style="33" customWidth="1"/>
    <col min="4" max="4" width="15.42578125" style="31" bestFit="1" customWidth="1"/>
    <col min="5" max="7" width="9.140625" style="28"/>
    <col min="8" max="8" width="9.7109375" style="28" bestFit="1" customWidth="1"/>
    <col min="9" max="9" width="10.28515625" style="28" bestFit="1" customWidth="1"/>
    <col min="10" max="10" width="10.140625" style="28" customWidth="1"/>
    <col min="11" max="11" width="9.140625" style="33"/>
    <col min="12" max="16384" width="9.140625" style="28"/>
  </cols>
  <sheetData>
    <row r="1" spans="1:13" ht="15" customHeight="1" x14ac:dyDescent="0.25">
      <c r="G1" s="28">
        <v>8</v>
      </c>
      <c r="H1" s="31"/>
      <c r="J1" s="31"/>
    </row>
    <row r="2" spans="1:13" ht="15" customHeight="1" x14ac:dyDescent="0.25">
      <c r="G2" s="28">
        <v>4</v>
      </c>
      <c r="H2" s="31"/>
      <c r="J2" s="31" t="s">
        <v>64</v>
      </c>
    </row>
    <row r="3" spans="1:13" ht="15" customHeight="1" x14ac:dyDescent="0.25">
      <c r="A3" s="11" t="s">
        <v>38</v>
      </c>
      <c r="B3" s="33" t="s">
        <v>40</v>
      </c>
      <c r="C3" s="33" t="s">
        <v>106</v>
      </c>
      <c r="D3" s="31" t="s">
        <v>157</v>
      </c>
      <c r="G3" s="28">
        <v>2</v>
      </c>
      <c r="H3" s="31"/>
      <c r="J3" s="31">
        <f>SUM(J5:J40)</f>
        <v>1462045.3308145453</v>
      </c>
      <c r="K3" s="84">
        <f>J3/B40</f>
        <v>7.5292454123863095E-3</v>
      </c>
      <c r="M3" s="28">
        <f>11/9</f>
        <v>1.2222222222222223</v>
      </c>
    </row>
    <row r="4" spans="1:13" ht="15" customHeight="1" x14ac:dyDescent="0.25">
      <c r="A4" s="12" t="s">
        <v>20</v>
      </c>
      <c r="B4" s="33">
        <v>47183348.486820005</v>
      </c>
      <c r="C4" s="33">
        <v>486.52</v>
      </c>
      <c r="D4" s="31">
        <v>96959.39109142471</v>
      </c>
      <c r="F4" s="28" t="str">
        <f>A4</f>
        <v>COCONUT OIL (CRUDE) LOCAL</v>
      </c>
      <c r="H4" s="31"/>
      <c r="J4" s="31"/>
      <c r="K4" s="33">
        <f>SUM(J5:J8)/C4</f>
        <v>2188.1379914291001</v>
      </c>
    </row>
    <row r="5" spans="1:13" ht="15" customHeight="1" x14ac:dyDescent="0.25">
      <c r="A5" s="12">
        <v>45</v>
      </c>
      <c r="B5" s="33">
        <v>17037488.359200001</v>
      </c>
      <c r="C5" s="33">
        <v>178.45000000000002</v>
      </c>
      <c r="D5" s="31">
        <v>95474.85771476604</v>
      </c>
      <c r="F5" s="28">
        <f t="shared" ref="F5:F28" si="0">A5</f>
        <v>45</v>
      </c>
      <c r="G5" s="28">
        <f>F5-$G$2</f>
        <v>41</v>
      </c>
      <c r="H5" s="31">
        <f>VLOOKUP(G5,'Daily Rates Pivot'!$A$3:$I$60,8,FALSE)</f>
        <v>99126.390119990479</v>
      </c>
      <c r="I5" s="32">
        <f>H5-D5</f>
        <v>3651.5324052244396</v>
      </c>
      <c r="J5" s="31">
        <f>I5*C5</f>
        <v>651615.95771230129</v>
      </c>
    </row>
    <row r="6" spans="1:13" ht="15" customHeight="1" x14ac:dyDescent="0.25">
      <c r="A6" s="12">
        <v>46</v>
      </c>
      <c r="B6" s="33">
        <v>7174510.3454400003</v>
      </c>
      <c r="C6" s="33">
        <v>74.23</v>
      </c>
      <c r="D6" s="31">
        <v>96626.401958787887</v>
      </c>
      <c r="F6" s="28">
        <f t="shared" si="0"/>
        <v>46</v>
      </c>
      <c r="G6" s="28">
        <f>F6-$G$2</f>
        <v>42</v>
      </c>
      <c r="H6" s="31">
        <f>VLOOKUP(G6,'Daily Rates Pivot'!$A$3:$I$60,8,FALSE)</f>
        <v>98883.082946702634</v>
      </c>
      <c r="I6" s="32">
        <f>H6-D6</f>
        <v>2256.6809879147477</v>
      </c>
      <c r="J6" s="31">
        <f>I6*C6</f>
        <v>167513.42973291173</v>
      </c>
    </row>
    <row r="7" spans="1:13" ht="15" customHeight="1" x14ac:dyDescent="0.25">
      <c r="A7" s="12">
        <v>47</v>
      </c>
      <c r="B7" s="33">
        <v>20968415.184780002</v>
      </c>
      <c r="C7" s="33">
        <v>213.70999999999998</v>
      </c>
      <c r="D7" s="31">
        <v>98074.907318896192</v>
      </c>
      <c r="F7" s="28">
        <f t="shared" si="0"/>
        <v>47</v>
      </c>
      <c r="G7" s="28">
        <f>F7-$G$2</f>
        <v>43</v>
      </c>
      <c r="H7" s="31">
        <f>VLOOKUP(G7,'Daily Rates Pivot'!$A$3:$I$60,8,FALSE)</f>
        <v>99122.248721296201</v>
      </c>
      <c r="I7" s="32">
        <f>H7-D7</f>
        <v>1047.3414024000085</v>
      </c>
      <c r="J7" s="31">
        <f>I7*C7</f>
        <v>223827.3311069058</v>
      </c>
    </row>
    <row r="8" spans="1:13" ht="15" customHeight="1" x14ac:dyDescent="0.25">
      <c r="A8" s="12">
        <v>48</v>
      </c>
      <c r="B8" s="33">
        <v>2002934.5973999999</v>
      </c>
      <c r="C8" s="33">
        <v>20.13</v>
      </c>
      <c r="D8" s="31">
        <v>99499.98</v>
      </c>
      <c r="F8" s="28">
        <f t="shared" si="0"/>
        <v>48</v>
      </c>
      <c r="G8" s="28">
        <f>F8-$G$2</f>
        <v>44</v>
      </c>
      <c r="H8" s="31">
        <f>VLOOKUP(G8,'Daily Rates Pivot'!$A$3:$I$60,8,FALSE)</f>
        <v>100573.80896363471</v>
      </c>
      <c r="I8" s="32">
        <f>H8-D8</f>
        <v>1073.8289636347181</v>
      </c>
      <c r="J8" s="31">
        <f>I8*C8</f>
        <v>21616.177037966874</v>
      </c>
    </row>
    <row r="9" spans="1:13" ht="15" customHeight="1" x14ac:dyDescent="0.25">
      <c r="A9" s="12" t="s">
        <v>110</v>
      </c>
      <c r="B9" s="33">
        <v>14146169.76439148</v>
      </c>
      <c r="C9" s="33">
        <v>240.21999999999997</v>
      </c>
      <c r="D9" s="31">
        <v>58888.392991389075</v>
      </c>
      <c r="F9" s="28" t="str">
        <f t="shared" si="0"/>
        <v>DISTILLED FATTY ACID C1618</v>
      </c>
      <c r="H9" s="31"/>
      <c r="I9" s="32"/>
      <c r="J9" s="31"/>
    </row>
    <row r="10" spans="1:13" ht="15" customHeight="1" x14ac:dyDescent="0.25">
      <c r="A10" s="12">
        <v>45</v>
      </c>
      <c r="B10" s="33">
        <v>9430130.1867033206</v>
      </c>
      <c r="C10" s="33">
        <v>160.17999999999998</v>
      </c>
      <c r="D10" s="31">
        <v>58850.038608982286</v>
      </c>
      <c r="F10" s="28">
        <f t="shared" si="0"/>
        <v>45</v>
      </c>
      <c r="H10" s="31"/>
      <c r="I10" s="32"/>
      <c r="J10" s="31"/>
    </row>
    <row r="11" spans="1:13" ht="15" customHeight="1" x14ac:dyDescent="0.25">
      <c r="A11" s="12">
        <v>48</v>
      </c>
      <c r="B11" s="33">
        <v>4716039.5776881594</v>
      </c>
      <c r="C11" s="33">
        <v>80.039999999999992</v>
      </c>
      <c r="D11" s="31">
        <v>58965.236030109518</v>
      </c>
      <c r="F11" s="28">
        <f t="shared" si="0"/>
        <v>48</v>
      </c>
      <c r="H11" s="31"/>
      <c r="I11" s="32"/>
      <c r="J11" s="31"/>
    </row>
    <row r="12" spans="1:13" ht="15" customHeight="1" x14ac:dyDescent="0.25">
      <c r="A12" s="12" t="s">
        <v>66</v>
      </c>
      <c r="B12" s="33">
        <v>19023241.412189409</v>
      </c>
      <c r="C12" s="33">
        <v>203.75</v>
      </c>
      <c r="D12" s="31">
        <v>93196.362003671413</v>
      </c>
      <c r="F12" s="28" t="str">
        <f t="shared" si="0"/>
        <v>PALM KERNEL FATTY ACID DISTILLATE</v>
      </c>
      <c r="H12" s="31"/>
      <c r="I12" s="32"/>
      <c r="J12" s="31"/>
      <c r="K12" s="33">
        <f>SUM(J13:J14)/C12</f>
        <v>-1331.7290157751745</v>
      </c>
    </row>
    <row r="13" spans="1:13" ht="15" customHeight="1" x14ac:dyDescent="0.25">
      <c r="A13" s="12">
        <v>47</v>
      </c>
      <c r="B13" s="33">
        <v>9692282.54826965</v>
      </c>
      <c r="C13" s="33">
        <v>103.81</v>
      </c>
      <c r="D13" s="31">
        <v>93034.004110862443</v>
      </c>
      <c r="F13" s="28">
        <f t="shared" si="0"/>
        <v>47</v>
      </c>
      <c r="G13" s="28">
        <f>F13-$G$1</f>
        <v>39</v>
      </c>
      <c r="H13" s="31">
        <f>VLOOKUP(G13,'Daily Rates Pivot'!$A$3:$J$60,10,FALSE)</f>
        <v>97260.936895999985</v>
      </c>
      <c r="I13" s="32">
        <f t="shared" ref="I13:I20" si="1">H13-D13</f>
        <v>4226.9327851375419</v>
      </c>
      <c r="J13" s="31">
        <f t="shared" ref="J13:J20" si="2">I13*C13</f>
        <v>438797.89242512826</v>
      </c>
    </row>
    <row r="14" spans="1:13" ht="15" customHeight="1" x14ac:dyDescent="0.25">
      <c r="A14" s="12">
        <v>49</v>
      </c>
      <c r="B14" s="33">
        <v>9330958.8639197592</v>
      </c>
      <c r="C14" s="33">
        <v>99.94</v>
      </c>
      <c r="D14" s="31">
        <v>93365.608003999994</v>
      </c>
      <c r="F14" s="28">
        <f t="shared" si="0"/>
        <v>49</v>
      </c>
      <c r="G14" s="28">
        <f>F14-$G$1</f>
        <v>41</v>
      </c>
      <c r="H14" s="31">
        <f>VLOOKUP(G14,'Daily Rates Pivot'!$A$3:$J$60,10,FALSE)</f>
        <v>86259.967825999993</v>
      </c>
      <c r="I14" s="32">
        <f t="shared" si="1"/>
        <v>-7105.6401780000015</v>
      </c>
      <c r="J14" s="31">
        <f t="shared" si="2"/>
        <v>-710137.67938932008</v>
      </c>
    </row>
    <row r="15" spans="1:13" ht="15" customHeight="1" x14ac:dyDescent="0.25">
      <c r="A15" s="12" t="s">
        <v>18</v>
      </c>
      <c r="B15" s="33">
        <v>24839399.260200001</v>
      </c>
      <c r="C15" s="33">
        <v>455.17</v>
      </c>
      <c r="D15" s="31">
        <v>54571.69686095306</v>
      </c>
      <c r="F15" s="28" t="str">
        <f t="shared" si="0"/>
        <v>PFAD(LOCAL)-PCP</v>
      </c>
      <c r="H15" s="31"/>
      <c r="I15" s="32"/>
      <c r="J15" s="31"/>
      <c r="K15" s="33">
        <f>SUM(J16:J20)/C15</f>
        <v>-161.21499703406775</v>
      </c>
    </row>
    <row r="16" spans="1:13" ht="15" customHeight="1" x14ac:dyDescent="0.25">
      <c r="A16" s="12">
        <v>45</v>
      </c>
      <c r="B16" s="33">
        <v>9833824.4898000006</v>
      </c>
      <c r="C16" s="33">
        <v>183.27</v>
      </c>
      <c r="D16" s="31">
        <v>53657.578926174494</v>
      </c>
      <c r="F16" s="28">
        <f t="shared" si="0"/>
        <v>45</v>
      </c>
      <c r="G16" s="28">
        <f t="shared" ref="G16:G20" si="3">F16-$G$2</f>
        <v>41</v>
      </c>
      <c r="H16" s="31">
        <f>VLOOKUP(G16,'Daily Rates Pivot'!$A$3:$I$60,5,FALSE)*100</f>
        <v>54493.250000000015</v>
      </c>
      <c r="I16" s="32">
        <f t="shared" si="1"/>
        <v>835.67107382552058</v>
      </c>
      <c r="J16" s="31">
        <f t="shared" si="2"/>
        <v>153153.43770000315</v>
      </c>
    </row>
    <row r="17" spans="1:11" ht="15" customHeight="1" x14ac:dyDescent="0.25">
      <c r="A17" s="12">
        <v>46</v>
      </c>
      <c r="B17" s="33">
        <v>4567469.4404000007</v>
      </c>
      <c r="C17" s="33">
        <v>82.7</v>
      </c>
      <c r="D17" s="31">
        <v>55229.376546553816</v>
      </c>
      <c r="F17" s="28">
        <f t="shared" si="0"/>
        <v>46</v>
      </c>
      <c r="G17" s="28">
        <f t="shared" si="3"/>
        <v>42</v>
      </c>
      <c r="H17" s="31">
        <f>VLOOKUP(G17,'Daily Rates Pivot'!$A$3:$I$60,5,FALSE)*100</f>
        <v>53690</v>
      </c>
      <c r="I17" s="32">
        <f t="shared" si="1"/>
        <v>-1539.3765465538163</v>
      </c>
      <c r="J17" s="31">
        <f t="shared" si="2"/>
        <v>-127306.44040000062</v>
      </c>
    </row>
    <row r="18" spans="1:11" ht="15" customHeight="1" x14ac:dyDescent="0.25">
      <c r="A18" s="12">
        <v>47</v>
      </c>
      <c r="B18" s="33">
        <v>1069779.9375</v>
      </c>
      <c r="C18" s="33">
        <v>18.75</v>
      </c>
      <c r="D18" s="31">
        <v>57054.93</v>
      </c>
      <c r="F18" s="28">
        <f t="shared" si="0"/>
        <v>47</v>
      </c>
      <c r="G18" s="28">
        <f t="shared" si="3"/>
        <v>43</v>
      </c>
      <c r="H18" s="31">
        <f>VLOOKUP(G18,'Daily Rates Pivot'!$A$3:$I$60,5,FALSE)*100</f>
        <v>55296.500000000015</v>
      </c>
      <c r="I18" s="32">
        <f t="shared" si="1"/>
        <v>-1758.4299999999857</v>
      </c>
      <c r="J18" s="31">
        <f t="shared" si="2"/>
        <v>-32970.562499999731</v>
      </c>
    </row>
    <row r="19" spans="1:11" ht="15" customHeight="1" x14ac:dyDescent="0.25">
      <c r="A19" s="12">
        <v>48</v>
      </c>
      <c r="B19" s="33">
        <v>6259431.8245000001</v>
      </c>
      <c r="C19" s="33">
        <v>115.06</v>
      </c>
      <c r="D19" s="31">
        <v>54401.458582478706</v>
      </c>
      <c r="F19" s="28">
        <f t="shared" si="0"/>
        <v>48</v>
      </c>
      <c r="G19" s="28">
        <f t="shared" si="3"/>
        <v>44</v>
      </c>
      <c r="H19" s="31">
        <f>VLOOKUP(G19,'Daily Rates Pivot'!$A$3:$I$60,5,FALSE)*100</f>
        <v>54722.75</v>
      </c>
      <c r="I19" s="32">
        <f t="shared" si="1"/>
        <v>321.29141752129362</v>
      </c>
      <c r="J19" s="31">
        <f t="shared" si="2"/>
        <v>36967.790500000046</v>
      </c>
    </row>
    <row r="20" spans="1:11" ht="15" customHeight="1" x14ac:dyDescent="0.25">
      <c r="A20" s="12">
        <v>49</v>
      </c>
      <c r="B20" s="33">
        <v>3108893.568</v>
      </c>
      <c r="C20" s="33">
        <v>55.39</v>
      </c>
      <c r="D20" s="31">
        <v>56127.343708250584</v>
      </c>
      <c r="F20" s="28">
        <f t="shared" si="0"/>
        <v>49</v>
      </c>
      <c r="G20" s="28">
        <f t="shared" si="3"/>
        <v>45</v>
      </c>
      <c r="H20" s="31">
        <f>VLOOKUP(G20,'Daily Rates Pivot'!$A$3:$I$60,5,FALSE)*100</f>
        <v>54263.750000000007</v>
      </c>
      <c r="I20" s="32">
        <f t="shared" si="1"/>
        <v>-1863.593708250577</v>
      </c>
      <c r="J20" s="31">
        <f t="shared" si="2"/>
        <v>-103224.45549999946</v>
      </c>
    </row>
    <row r="21" spans="1:11" ht="15" customHeight="1" x14ac:dyDescent="0.25">
      <c r="A21" s="12" t="s">
        <v>15</v>
      </c>
      <c r="B21" s="33">
        <v>41178451.782800004</v>
      </c>
      <c r="C21" s="33">
        <v>734.36</v>
      </c>
      <c r="D21" s="31">
        <v>56073.930746228019</v>
      </c>
      <c r="F21" s="28" t="str">
        <f t="shared" si="0"/>
        <v>RBD PALM STEARIN (LOCAL)</v>
      </c>
      <c r="H21" s="31"/>
      <c r="I21" s="32"/>
      <c r="J21" s="31"/>
      <c r="K21" s="33">
        <f>SUM(J22:J26)/C21</f>
        <v>262.94126931387075</v>
      </c>
    </row>
    <row r="22" spans="1:11" ht="15" customHeight="1" x14ac:dyDescent="0.25">
      <c r="A22" s="12">
        <v>45</v>
      </c>
      <c r="B22" s="33">
        <v>9178839.6809999999</v>
      </c>
      <c r="C22" s="33">
        <v>166.29000000000002</v>
      </c>
      <c r="D22" s="31">
        <v>55197.785080281428</v>
      </c>
      <c r="F22" s="28">
        <f t="shared" si="0"/>
        <v>45</v>
      </c>
      <c r="G22" s="28">
        <f t="shared" ref="G22:G26" si="4">F22-$G$2</f>
        <v>41</v>
      </c>
      <c r="H22" s="31">
        <f>VLOOKUP(G22,'Daily Rates Pivot'!$A$3:$I$60,2,FALSE)*100</f>
        <v>56600</v>
      </c>
      <c r="I22" s="32">
        <f t="shared" ref="I22" si="5">H22-D22</f>
        <v>1402.2149197185718</v>
      </c>
      <c r="J22" s="31">
        <f t="shared" ref="J22:J28" si="6">I22*C22</f>
        <v>233174.31900000133</v>
      </c>
    </row>
    <row r="23" spans="1:11" ht="15" customHeight="1" x14ac:dyDescent="0.25">
      <c r="A23" s="12">
        <v>46</v>
      </c>
      <c r="B23" s="33">
        <v>9614663.8133000005</v>
      </c>
      <c r="C23" s="33">
        <v>170.94</v>
      </c>
      <c r="D23" s="31">
        <v>56245.839553644561</v>
      </c>
      <c r="F23" s="28">
        <f t="shared" si="0"/>
        <v>46</v>
      </c>
      <c r="G23" s="28">
        <f t="shared" si="4"/>
        <v>42</v>
      </c>
      <c r="H23" s="31">
        <f>VLOOKUP(G23,'Daily Rates Pivot'!$A$3:$I$60,2,FALSE)*100</f>
        <v>56250</v>
      </c>
      <c r="I23" s="32">
        <f t="shared" ref="I23:I26" si="7">H23-D23</f>
        <v>4.1604463554394897</v>
      </c>
      <c r="J23" s="31">
        <f t="shared" si="6"/>
        <v>711.18669999882638</v>
      </c>
    </row>
    <row r="24" spans="1:11" ht="15" customHeight="1" x14ac:dyDescent="0.25">
      <c r="A24" s="12">
        <v>47</v>
      </c>
      <c r="B24" s="33">
        <v>9823512.9114999995</v>
      </c>
      <c r="C24" s="33">
        <v>172.77</v>
      </c>
      <c r="D24" s="31">
        <v>56858.904390229778</v>
      </c>
      <c r="F24" s="28">
        <f t="shared" si="0"/>
        <v>47</v>
      </c>
      <c r="G24" s="28">
        <f t="shared" si="4"/>
        <v>43</v>
      </c>
      <c r="H24" s="31">
        <f>VLOOKUP(G24,'Daily Rates Pivot'!$A$3:$I$60,2,FALSE)*100</f>
        <v>56300</v>
      </c>
      <c r="I24" s="32">
        <f t="shared" si="7"/>
        <v>-558.90439022977807</v>
      </c>
      <c r="J24" s="31">
        <f t="shared" si="6"/>
        <v>-96561.911499998765</v>
      </c>
    </row>
    <row r="25" spans="1:11" ht="15" customHeight="1" x14ac:dyDescent="0.25">
      <c r="A25" s="12">
        <v>48</v>
      </c>
      <c r="B25" s="33">
        <v>6612016</v>
      </c>
      <c r="C25" s="33">
        <v>117.39</v>
      </c>
      <c r="D25" s="31">
        <v>56325.206576369368</v>
      </c>
      <c r="F25" s="28">
        <f t="shared" si="0"/>
        <v>48</v>
      </c>
      <c r="G25" s="28">
        <f t="shared" si="4"/>
        <v>44</v>
      </c>
      <c r="H25" s="31">
        <f>VLOOKUP(G25,'Daily Rates Pivot'!$A$3:$I$60,2,FALSE)*100</f>
        <v>56300</v>
      </c>
      <c r="I25" s="32">
        <f t="shared" si="7"/>
        <v>-25.206576369368122</v>
      </c>
      <c r="J25" s="31">
        <f t="shared" si="6"/>
        <v>-2959.0000000001237</v>
      </c>
    </row>
    <row r="26" spans="1:11" ht="15" customHeight="1" x14ac:dyDescent="0.25">
      <c r="A26" s="12">
        <v>49</v>
      </c>
      <c r="B26" s="33">
        <v>5949419.3770000003</v>
      </c>
      <c r="C26" s="33">
        <v>106.97</v>
      </c>
      <c r="D26" s="31">
        <v>55617.643984294664</v>
      </c>
      <c r="F26" s="28">
        <f t="shared" si="0"/>
        <v>49</v>
      </c>
      <c r="G26" s="28">
        <f t="shared" si="4"/>
        <v>45</v>
      </c>
      <c r="H26" s="31">
        <f>VLOOKUP(G26,'Daily Rates Pivot'!$A$3:$I$60,2,FALSE)*100</f>
        <v>56166.666666666664</v>
      </c>
      <c r="I26" s="32">
        <f t="shared" si="7"/>
        <v>549.02268237200042</v>
      </c>
      <c r="J26" s="31">
        <f t="shared" si="6"/>
        <v>58728.956333332884</v>
      </c>
    </row>
    <row r="27" spans="1:11" ht="15" customHeight="1" x14ac:dyDescent="0.25">
      <c r="A27" s="12" t="s">
        <v>99</v>
      </c>
      <c r="B27" s="33">
        <v>6375679.6000000006</v>
      </c>
      <c r="C27" s="33">
        <v>103.94000000000001</v>
      </c>
      <c r="D27" s="31">
        <v>61340</v>
      </c>
      <c r="F27" s="28" t="str">
        <f t="shared" si="0"/>
        <v>REFINED PALM OIL - LOCAL - PCP</v>
      </c>
      <c r="H27" s="31"/>
      <c r="I27" s="32"/>
      <c r="J27" s="31"/>
      <c r="K27" s="33">
        <f>SUM(J28)/C27</f>
        <v>60</v>
      </c>
    </row>
    <row r="28" spans="1:11" ht="15" customHeight="1" x14ac:dyDescent="0.25">
      <c r="A28" s="12">
        <v>48</v>
      </c>
      <c r="B28" s="33">
        <v>6375679.6000000006</v>
      </c>
      <c r="C28" s="33">
        <v>103.94000000000001</v>
      </c>
      <c r="D28" s="31">
        <v>61340</v>
      </c>
      <c r="F28" s="28">
        <f t="shared" si="0"/>
        <v>48</v>
      </c>
      <c r="G28" s="28">
        <f>F28-$G$2</f>
        <v>44</v>
      </c>
      <c r="H28" s="31">
        <f>VLOOKUP(G28,'Daily Rates Pivot'!$A$3:$I$60,6,FALSE)*100</f>
        <v>61400</v>
      </c>
      <c r="I28" s="32">
        <f t="shared" ref="I28" si="8">H28-D28</f>
        <v>60</v>
      </c>
      <c r="J28" s="31">
        <f t="shared" si="6"/>
        <v>6236.4000000000005</v>
      </c>
    </row>
    <row r="29" spans="1:11" ht="15" customHeight="1" x14ac:dyDescent="0.25">
      <c r="A29" s="12" t="s">
        <v>13</v>
      </c>
      <c r="B29" s="33">
        <v>15444250.78884</v>
      </c>
      <c r="C29" s="33">
        <v>313.15000000000003</v>
      </c>
      <c r="D29" s="31">
        <v>49319.018964841125</v>
      </c>
      <c r="F29" s="28" t="str">
        <f t="shared" ref="F29:F30" si="9">A29</f>
        <v>RICE BRAN FATTY ACIDS- PCP - LOCAL</v>
      </c>
      <c r="H29" s="31"/>
      <c r="I29" s="32"/>
      <c r="J29" s="31"/>
      <c r="K29" s="33">
        <f>SUM(J30:J34)/C29</f>
        <v>1458.8574522113984</v>
      </c>
    </row>
    <row r="30" spans="1:11" ht="15" customHeight="1" x14ac:dyDescent="0.25">
      <c r="A30" s="12">
        <v>45</v>
      </c>
      <c r="B30" s="33">
        <v>4238683.9724400006</v>
      </c>
      <c r="C30" s="33">
        <v>85.63</v>
      </c>
      <c r="D30" s="31">
        <v>49499.988000000012</v>
      </c>
      <c r="F30" s="28">
        <f t="shared" si="9"/>
        <v>45</v>
      </c>
      <c r="G30" s="28">
        <f>F30-$G$3</f>
        <v>43</v>
      </c>
      <c r="H30" s="31">
        <f>VLOOKUP(G30,'Daily Rates Pivot'!$A$3:$I$80,7,FALSE)*100</f>
        <v>51300</v>
      </c>
      <c r="I30" s="32">
        <f t="shared" ref="I30" si="10">H30-D30</f>
        <v>1800.0119999999879</v>
      </c>
      <c r="J30" s="31">
        <f t="shared" ref="J30" si="11">I30*C30</f>
        <v>154135.02755999897</v>
      </c>
    </row>
    <row r="31" spans="1:11" ht="15" customHeight="1" x14ac:dyDescent="0.25">
      <c r="A31" s="12">
        <v>46</v>
      </c>
      <c r="B31" s="33">
        <v>2828924.3141999999</v>
      </c>
      <c r="C31" s="33">
        <v>57.15</v>
      </c>
      <c r="D31" s="31">
        <v>49499.987999999998</v>
      </c>
      <c r="F31" s="28">
        <f t="shared" ref="F31:F36" si="12">A31</f>
        <v>46</v>
      </c>
      <c r="G31" s="28">
        <f t="shared" ref="G31:G34" si="13">F31-$G$3</f>
        <v>44</v>
      </c>
      <c r="H31" s="31">
        <f>VLOOKUP(G31,'Daily Rates Pivot'!$A$3:$I$80,7,FALSE)*100</f>
        <v>51500</v>
      </c>
      <c r="I31" s="32">
        <f t="shared" ref="I31:I34" si="14">H31-D31</f>
        <v>2000.0120000000024</v>
      </c>
      <c r="J31" s="31">
        <f t="shared" ref="J31:J34" si="15">I31*C31</f>
        <v>114300.68580000014</v>
      </c>
    </row>
    <row r="32" spans="1:11" ht="15" customHeight="1" x14ac:dyDescent="0.25">
      <c r="A32" s="12">
        <v>47</v>
      </c>
      <c r="B32" s="33">
        <v>2822984.3156400002</v>
      </c>
      <c r="C32" s="33">
        <v>57.03</v>
      </c>
      <c r="D32" s="31">
        <v>49499.988000000005</v>
      </c>
      <c r="F32" s="28">
        <f t="shared" si="12"/>
        <v>47</v>
      </c>
      <c r="G32" s="28">
        <f t="shared" si="13"/>
        <v>45</v>
      </c>
      <c r="H32" s="31">
        <f>VLOOKUP(G32,'Daily Rates Pivot'!$A$3:$I$80,7,FALSE)*100</f>
        <v>50666.666666666672</v>
      </c>
      <c r="I32" s="32">
        <f t="shared" si="14"/>
        <v>1166.6786666666667</v>
      </c>
      <c r="J32" s="31">
        <f t="shared" si="15"/>
        <v>66535.684359999999</v>
      </c>
    </row>
    <row r="33" spans="1:11" ht="15" customHeight="1" x14ac:dyDescent="0.25">
      <c r="A33" s="12">
        <v>48</v>
      </c>
      <c r="B33" s="33">
        <v>4178718.63552</v>
      </c>
      <c r="C33" s="33">
        <v>85.28</v>
      </c>
      <c r="D33" s="31">
        <v>48999.983999999997</v>
      </c>
      <c r="F33" s="28">
        <f t="shared" si="12"/>
        <v>48</v>
      </c>
      <c r="G33" s="28">
        <f t="shared" si="13"/>
        <v>46</v>
      </c>
      <c r="H33" s="31">
        <f>VLOOKUP(G33,'Daily Rates Pivot'!$A$3:$I$80,7,FALSE)*100</f>
        <v>50100</v>
      </c>
      <c r="I33" s="32">
        <f t="shared" si="14"/>
        <v>1100.0160000000033</v>
      </c>
      <c r="J33" s="31">
        <f t="shared" si="15"/>
        <v>93809.36448000028</v>
      </c>
    </row>
    <row r="34" spans="1:11" ht="15" customHeight="1" x14ac:dyDescent="0.25">
      <c r="A34" s="12">
        <v>49</v>
      </c>
      <c r="B34" s="33">
        <v>1374939.5510399998</v>
      </c>
      <c r="C34" s="33">
        <v>28.06</v>
      </c>
      <c r="D34" s="31">
        <v>48999.983999999997</v>
      </c>
      <c r="F34" s="28">
        <f t="shared" si="12"/>
        <v>49</v>
      </c>
      <c r="G34" s="28">
        <f t="shared" si="13"/>
        <v>47</v>
      </c>
      <c r="H34" s="31">
        <f>VLOOKUP(G34,'Daily Rates Pivot'!$A$3:$I$80,7,FALSE)*100</f>
        <v>50000</v>
      </c>
      <c r="I34" s="32">
        <f t="shared" si="14"/>
        <v>1000.0160000000033</v>
      </c>
      <c r="J34" s="31">
        <f t="shared" si="15"/>
        <v>28060.448960000089</v>
      </c>
    </row>
    <row r="35" spans="1:11" ht="15" customHeight="1" x14ac:dyDescent="0.25">
      <c r="A35" s="12" t="s">
        <v>23</v>
      </c>
      <c r="B35" s="33">
        <v>25991644.600199997</v>
      </c>
      <c r="C35" s="33">
        <v>279.82000000000005</v>
      </c>
      <c r="D35" s="31">
        <v>92887.015224787348</v>
      </c>
      <c r="F35" s="28" t="str">
        <f t="shared" si="12"/>
        <v>SOLVENT  COCONUT OIL</v>
      </c>
      <c r="H35" s="31"/>
      <c r="I35" s="32"/>
      <c r="J35" s="31"/>
      <c r="K35" s="33">
        <f>SUM(J36:J39)/C35</f>
        <v>307.41652024628104</v>
      </c>
    </row>
    <row r="36" spans="1:11" ht="15" customHeight="1" x14ac:dyDescent="0.25">
      <c r="A36" s="12">
        <v>45</v>
      </c>
      <c r="B36" s="33">
        <v>12952750.051200001</v>
      </c>
      <c r="C36" s="33">
        <v>139.18</v>
      </c>
      <c r="D36" s="31">
        <v>93064.736680557544</v>
      </c>
      <c r="F36" s="28">
        <f t="shared" si="12"/>
        <v>45</v>
      </c>
      <c r="G36" s="28">
        <f>F36-$G$2</f>
        <v>41</v>
      </c>
      <c r="H36" s="31">
        <f>VLOOKUP(G36,'Daily Rates Pivot'!$A$3:$I$80,8,FALSE)-6000</f>
        <v>93126.390119990479</v>
      </c>
      <c r="I36" s="32">
        <f t="shared" ref="I36:I39" si="16">H36-D36</f>
        <v>61.653439432935556</v>
      </c>
      <c r="J36" s="31">
        <f t="shared" ref="J36:J39" si="17">I36*C36</f>
        <v>8580.9257002759714</v>
      </c>
    </row>
    <row r="37" spans="1:11" ht="15" customHeight="1" x14ac:dyDescent="0.25">
      <c r="A37" s="12">
        <v>46</v>
      </c>
      <c r="B37" s="33">
        <v>3780942.5994000002</v>
      </c>
      <c r="C37" s="33">
        <v>40.010000000000005</v>
      </c>
      <c r="D37" s="31">
        <v>94499.939999999988</v>
      </c>
      <c r="F37" s="28">
        <f t="shared" ref="F37:F39" si="18">A37</f>
        <v>46</v>
      </c>
      <c r="G37" s="28">
        <f t="shared" ref="G37:G39" si="19">F37-$G$2</f>
        <v>42</v>
      </c>
      <c r="H37" s="31">
        <f>VLOOKUP(G37,'Daily Rates Pivot'!$A$3:$I$80,8,FALSE)-6000</f>
        <v>92883.082946702634</v>
      </c>
      <c r="I37" s="32">
        <f t="shared" si="16"/>
        <v>-1616.8570532973536</v>
      </c>
      <c r="J37" s="31">
        <f t="shared" si="17"/>
        <v>-64690.450702427122</v>
      </c>
    </row>
    <row r="38" spans="1:11" ht="15" customHeight="1" x14ac:dyDescent="0.25">
      <c r="A38" s="12">
        <v>47</v>
      </c>
      <c r="B38" s="33">
        <v>7407833.5583999995</v>
      </c>
      <c r="C38" s="33">
        <v>80.52000000000001</v>
      </c>
      <c r="D38" s="31">
        <v>91999.919999999984</v>
      </c>
      <c r="F38" s="28">
        <f t="shared" si="18"/>
        <v>47</v>
      </c>
      <c r="G38" s="28">
        <f t="shared" si="19"/>
        <v>43</v>
      </c>
      <c r="H38" s="31">
        <f>VLOOKUP(G38,'Daily Rates Pivot'!$A$3:$I$80,8,FALSE)-6000</f>
        <v>93122.248721296201</v>
      </c>
      <c r="I38" s="32">
        <f t="shared" si="16"/>
        <v>1122.3287212962168</v>
      </c>
      <c r="J38" s="31">
        <f t="shared" si="17"/>
        <v>90369.908638771391</v>
      </c>
    </row>
    <row r="39" spans="1:11" ht="15" customHeight="1" x14ac:dyDescent="0.25">
      <c r="A39" s="12">
        <v>48</v>
      </c>
      <c r="B39" s="33">
        <v>1850118.3912</v>
      </c>
      <c r="C39" s="33">
        <v>20.11</v>
      </c>
      <c r="D39" s="31">
        <v>91999.92</v>
      </c>
      <c r="F39" s="28">
        <f t="shared" si="18"/>
        <v>48</v>
      </c>
      <c r="G39" s="28">
        <f t="shared" si="19"/>
        <v>44</v>
      </c>
      <c r="H39" s="31">
        <f>VLOOKUP(G39,'Daily Rates Pivot'!$A$3:$I$80,8,FALSE)-6000</f>
        <v>94573.808963634714</v>
      </c>
      <c r="I39" s="32">
        <f t="shared" si="16"/>
        <v>2573.8889636347158</v>
      </c>
      <c r="J39" s="31">
        <f t="shared" si="17"/>
        <v>51760.907058694131</v>
      </c>
    </row>
    <row r="40" spans="1:11" ht="15" customHeight="1" x14ac:dyDescent="0.25">
      <c r="A40" s="12" t="s">
        <v>39</v>
      </c>
      <c r="B40" s="33">
        <v>194182185.69544095</v>
      </c>
      <c r="C40" s="33">
        <v>2816.9300000000007</v>
      </c>
      <c r="D40" s="31">
        <v>68922.23201289156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H5" sqref="H5"/>
    </sheetView>
  </sheetViews>
  <sheetFormatPr defaultRowHeight="12.75" x14ac:dyDescent="0.25"/>
  <cols>
    <col min="1" max="1" width="35.85546875" style="28" bestFit="1" customWidth="1"/>
    <col min="2" max="2" width="27.42578125" style="33" bestFit="1" customWidth="1"/>
    <col min="3" max="3" width="15.140625" style="33" bestFit="1" customWidth="1"/>
    <col min="4" max="4" width="14.42578125" style="33" bestFit="1" customWidth="1"/>
    <col min="5" max="9" width="9.140625" style="28"/>
    <col min="10" max="10" width="13.7109375" style="28" bestFit="1" customWidth="1"/>
    <col min="11" max="16384" width="9.140625" style="28"/>
  </cols>
  <sheetData>
    <row r="1" spans="1:13" x14ac:dyDescent="0.25">
      <c r="G1" s="28">
        <v>8</v>
      </c>
      <c r="H1" s="31"/>
      <c r="J1" s="31"/>
      <c r="K1" s="33"/>
    </row>
    <row r="2" spans="1:13" x14ac:dyDescent="0.25">
      <c r="G2" s="28">
        <v>4</v>
      </c>
      <c r="H2" s="31"/>
      <c r="J2" s="31" t="s">
        <v>64</v>
      </c>
      <c r="K2" s="33"/>
    </row>
    <row r="3" spans="1:13" x14ac:dyDescent="0.25">
      <c r="A3" s="11" t="s">
        <v>38</v>
      </c>
      <c r="B3" s="28" t="s">
        <v>40</v>
      </c>
      <c r="C3" s="28" t="s">
        <v>106</v>
      </c>
      <c r="D3" s="33" t="s">
        <v>41</v>
      </c>
      <c r="G3" s="28">
        <v>2</v>
      </c>
      <c r="H3" s="31"/>
      <c r="J3" s="31">
        <f>SUM(J5:J29)</f>
        <v>1519041.385692138</v>
      </c>
      <c r="K3" s="84">
        <f>J3/B29</f>
        <v>1.0679933164608611E-2</v>
      </c>
      <c r="M3" s="28">
        <f>11/9</f>
        <v>1.2222222222222223</v>
      </c>
    </row>
    <row r="4" spans="1:13" x14ac:dyDescent="0.25">
      <c r="A4" s="12" t="s">
        <v>20</v>
      </c>
      <c r="B4" s="32">
        <v>32453932.519530006</v>
      </c>
      <c r="C4" s="32">
        <v>300.77</v>
      </c>
      <c r="D4" s="92">
        <v>107892.0628973737</v>
      </c>
      <c r="F4" s="28" t="str">
        <f>A4</f>
        <v>COCONUT OIL (CRUDE) LOCAL</v>
      </c>
      <c r="H4" s="31"/>
      <c r="J4" s="31"/>
      <c r="K4" s="33">
        <f>SUM(J5:J7)/C4</f>
        <v>-870.6879212019652</v>
      </c>
    </row>
    <row r="5" spans="1:13" x14ac:dyDescent="0.25">
      <c r="A5" s="12">
        <v>51</v>
      </c>
      <c r="B5" s="32">
        <v>18238330.62294</v>
      </c>
      <c r="C5" s="32">
        <v>169.24999999999997</v>
      </c>
      <c r="D5" s="92">
        <v>107759.70825961597</v>
      </c>
      <c r="F5" s="28">
        <f t="shared" ref="F5:F29" si="0">A5</f>
        <v>51</v>
      </c>
      <c r="G5" s="28">
        <f>F5-$G$2</f>
        <v>47</v>
      </c>
      <c r="H5" s="31">
        <f>VLOOKUP(G5,'Daily Rates Pivot'!$A$3:$I$60,8,FALSE)</f>
        <v>106148.80455324808</v>
      </c>
      <c r="I5" s="32">
        <f>H5-D5</f>
        <v>-1610.9037063678988</v>
      </c>
      <c r="J5" s="31">
        <f>I5*C5</f>
        <v>-272645.45230276685</v>
      </c>
      <c r="K5" s="33"/>
    </row>
    <row r="6" spans="1:13" x14ac:dyDescent="0.25">
      <c r="A6" s="12">
        <v>52</v>
      </c>
      <c r="B6" s="32">
        <v>7437046.5358800013</v>
      </c>
      <c r="C6" s="32">
        <v>68.319999999999993</v>
      </c>
      <c r="D6" s="92">
        <v>108808.28874732995</v>
      </c>
      <c r="F6" s="28">
        <f t="shared" si="0"/>
        <v>52</v>
      </c>
      <c r="G6" s="28">
        <f>F6-$G$2</f>
        <v>48</v>
      </c>
      <c r="H6" s="31">
        <f>VLOOKUP(G6,'Daily Rates Pivot'!$A$3:$I$60,8,FALSE)</f>
        <v>108685.62230321261</v>
      </c>
      <c r="I6" s="32">
        <f>H6-D6</f>
        <v>-122.66644411733432</v>
      </c>
      <c r="J6" s="31">
        <f>I6*C6</f>
        <v>-8380.5714620962808</v>
      </c>
      <c r="K6" s="33"/>
    </row>
    <row r="7" spans="1:13" x14ac:dyDescent="0.25">
      <c r="A7" s="12">
        <v>53</v>
      </c>
      <c r="B7" s="32">
        <v>6778555.3607100006</v>
      </c>
      <c r="C7" s="32">
        <v>63.2</v>
      </c>
      <c r="D7" s="92">
        <v>107255.62279604431</v>
      </c>
      <c r="F7" s="28">
        <f t="shared" si="0"/>
        <v>53</v>
      </c>
      <c r="G7" s="28">
        <f>F7-$G$2</f>
        <v>49</v>
      </c>
      <c r="H7" s="31">
        <f>VLOOKUP(G7,'Daily Rates Pivot'!$A$3:$I$60,8,FALSE)</f>
        <v>107558.61674707197</v>
      </c>
      <c r="I7" s="32">
        <f>H7-D7</f>
        <v>302.99395102765993</v>
      </c>
      <c r="J7" s="31">
        <f>I7*C7</f>
        <v>19149.217704948107</v>
      </c>
      <c r="K7" s="33"/>
    </row>
    <row r="8" spans="1:13" x14ac:dyDescent="0.25">
      <c r="A8" s="12" t="s">
        <v>110</v>
      </c>
      <c r="B8" s="32">
        <v>9426847.0519559197</v>
      </c>
      <c r="C8" s="32">
        <v>159.97999999999999</v>
      </c>
      <c r="D8" s="92">
        <v>58869.962230412297</v>
      </c>
      <c r="F8" s="28" t="str">
        <f t="shared" si="0"/>
        <v>DISTILLED FATTY ACID C1618</v>
      </c>
      <c r="H8" s="31"/>
      <c r="I8" s="32"/>
      <c r="J8" s="31"/>
      <c r="K8" s="33"/>
    </row>
    <row r="9" spans="1:13" x14ac:dyDescent="0.25">
      <c r="A9" s="12">
        <v>49</v>
      </c>
      <c r="B9" s="32">
        <v>2354528.5267918399</v>
      </c>
      <c r="C9" s="32">
        <v>39.96</v>
      </c>
      <c r="D9" s="92">
        <v>58907.393715082311</v>
      </c>
      <c r="F9" s="28">
        <f t="shared" si="0"/>
        <v>49</v>
      </c>
      <c r="H9" s="31"/>
      <c r="I9" s="32"/>
      <c r="J9" s="31"/>
      <c r="K9" s="33"/>
    </row>
    <row r="10" spans="1:13" x14ac:dyDescent="0.25">
      <c r="A10" s="12">
        <v>50</v>
      </c>
      <c r="B10" s="32">
        <v>7072318.5251640799</v>
      </c>
      <c r="C10" s="32">
        <v>120.02</v>
      </c>
      <c r="D10" s="92">
        <v>58857.511028329558</v>
      </c>
      <c r="F10" s="28">
        <f t="shared" si="0"/>
        <v>50</v>
      </c>
      <c r="H10" s="31"/>
      <c r="I10" s="32"/>
      <c r="J10" s="31"/>
      <c r="K10" s="33"/>
    </row>
    <row r="11" spans="1:13" x14ac:dyDescent="0.25">
      <c r="A11" s="12" t="s">
        <v>18</v>
      </c>
      <c r="B11" s="32">
        <v>11989029.0417</v>
      </c>
      <c r="C11" s="32">
        <v>216.55</v>
      </c>
      <c r="D11" s="92">
        <v>55363.791464788723</v>
      </c>
      <c r="F11" s="28" t="str">
        <f t="shared" si="0"/>
        <v>PFAD(LOCAL)-PCP</v>
      </c>
      <c r="H11" s="31"/>
      <c r="I11" s="32"/>
      <c r="J11" s="31"/>
      <c r="K11" s="33">
        <f>SUM(J12:J14)/C11</f>
        <v>-1118.6303818979329</v>
      </c>
    </row>
    <row r="12" spans="1:13" x14ac:dyDescent="0.25">
      <c r="A12" s="12">
        <v>49</v>
      </c>
      <c r="B12" s="32">
        <v>5167412.0416999999</v>
      </c>
      <c r="C12" s="32">
        <v>95.330000000000013</v>
      </c>
      <c r="D12" s="92">
        <v>54205.518112871068</v>
      </c>
      <c r="F12" s="28">
        <f t="shared" si="0"/>
        <v>49</v>
      </c>
      <c r="G12" s="28">
        <f>F12-$G$2</f>
        <v>45</v>
      </c>
      <c r="H12" s="31">
        <f>VLOOKUP(G12,'Daily Rates Pivot'!$A$3:$I$60,5,FALSE)*100</f>
        <v>54263.750000000007</v>
      </c>
      <c r="I12" s="32">
        <f t="shared" ref="I12" si="1">H12-D12</f>
        <v>58.231887128938979</v>
      </c>
      <c r="J12" s="31">
        <f t="shared" ref="J12" si="2">I12*C12</f>
        <v>5551.2458000017532</v>
      </c>
      <c r="K12" s="33"/>
    </row>
    <row r="13" spans="1:13" x14ac:dyDescent="0.25">
      <c r="A13" s="12">
        <v>50</v>
      </c>
      <c r="B13" s="32">
        <v>4383346</v>
      </c>
      <c r="C13" s="32">
        <v>77.89</v>
      </c>
      <c r="D13" s="92">
        <v>56276.107330851199</v>
      </c>
      <c r="F13" s="28">
        <f t="shared" ref="F13:F14" si="3">A13</f>
        <v>50</v>
      </c>
      <c r="G13" s="28">
        <f t="shared" ref="G13:G14" si="4">F13-$G$2</f>
        <v>46</v>
      </c>
      <c r="H13" s="31">
        <f>VLOOKUP(G13,'Daily Rates Pivot'!$A$3:$I$60,5,FALSE)*100</f>
        <v>54722.750000000007</v>
      </c>
      <c r="I13" s="32">
        <f t="shared" ref="I13:I14" si="5">H13-D13</f>
        <v>-1553.3573308511914</v>
      </c>
      <c r="J13" s="31">
        <f t="shared" ref="J13:J14" si="6">I13*C13</f>
        <v>-120991.00249999929</v>
      </c>
      <c r="K13" s="33"/>
    </row>
    <row r="14" spans="1:13" x14ac:dyDescent="0.25">
      <c r="A14" s="12">
        <v>51</v>
      </c>
      <c r="B14" s="32">
        <v>2438271</v>
      </c>
      <c r="C14" s="32">
        <v>43.33</v>
      </c>
      <c r="D14" s="92">
        <v>56272.120932379417</v>
      </c>
      <c r="F14" s="28">
        <f t="shared" si="3"/>
        <v>51</v>
      </c>
      <c r="G14" s="28">
        <f t="shared" si="4"/>
        <v>47</v>
      </c>
      <c r="H14" s="31">
        <f>VLOOKUP(G14,'Daily Rates Pivot'!$A$3:$I$60,5,FALSE)*100</f>
        <v>53345.750000000007</v>
      </c>
      <c r="I14" s="32">
        <f t="shared" si="5"/>
        <v>-2926.3709323794101</v>
      </c>
      <c r="J14" s="31">
        <f t="shared" si="6"/>
        <v>-126799.65249999984</v>
      </c>
      <c r="K14" s="33"/>
    </row>
    <row r="15" spans="1:13" x14ac:dyDescent="0.25">
      <c r="A15" s="12" t="s">
        <v>15</v>
      </c>
      <c r="B15" s="32">
        <v>63575512.423600003</v>
      </c>
      <c r="C15" s="32">
        <v>1137.4000000000001</v>
      </c>
      <c r="D15" s="92">
        <v>55895.474260242663</v>
      </c>
      <c r="F15" s="28" t="str">
        <f t="shared" si="0"/>
        <v>RBD PALM STEARIN (LOCAL)</v>
      </c>
      <c r="H15" s="31"/>
      <c r="I15" s="32"/>
      <c r="J15" s="31"/>
      <c r="K15" s="33">
        <f>SUM(J16:J20)/C15</f>
        <v>596.28085376003946</v>
      </c>
    </row>
    <row r="16" spans="1:13" x14ac:dyDescent="0.25">
      <c r="A16" s="12">
        <v>49</v>
      </c>
      <c r="B16" s="32">
        <v>9221638</v>
      </c>
      <c r="C16" s="32">
        <v>164.62</v>
      </c>
      <c r="D16" s="92">
        <v>56017.725671242864</v>
      </c>
      <c r="F16" s="28">
        <f t="shared" si="0"/>
        <v>49</v>
      </c>
      <c r="G16" s="28">
        <f>F16-$G$2</f>
        <v>45</v>
      </c>
      <c r="H16" s="31">
        <f>VLOOKUP(G16,'Daily Rates Pivot'!$A$3:$I$60,2,FALSE)*100</f>
        <v>56166.666666666664</v>
      </c>
      <c r="I16" s="32">
        <f t="shared" ref="I16" si="7">H16-D16</f>
        <v>148.9409954237999</v>
      </c>
      <c r="J16" s="31">
        <f t="shared" ref="J16" si="8">I16*C16</f>
        <v>24518.66666666594</v>
      </c>
      <c r="K16" s="33"/>
    </row>
    <row r="17" spans="1:11" x14ac:dyDescent="0.25">
      <c r="A17" s="12">
        <v>50</v>
      </c>
      <c r="B17" s="32">
        <v>11558310.292100001</v>
      </c>
      <c r="C17" s="32">
        <v>206.20000000000005</v>
      </c>
      <c r="D17" s="92">
        <v>56053.881145004845</v>
      </c>
      <c r="F17" s="28">
        <f t="shared" ref="F17:F20" si="9">A17</f>
        <v>50</v>
      </c>
      <c r="G17" s="28">
        <f t="shared" ref="G17:G20" si="10">F17-$G$2</f>
        <v>46</v>
      </c>
      <c r="H17" s="31">
        <f>VLOOKUP(G17,'Daily Rates Pivot'!$A$3:$I$60,2,FALSE)*100</f>
        <v>56300</v>
      </c>
      <c r="I17" s="32">
        <f t="shared" ref="I17:I20" si="11">H17-D17</f>
        <v>246.11885499515483</v>
      </c>
      <c r="J17" s="31">
        <f t="shared" ref="J17:J20" si="12">I17*C17</f>
        <v>50749.70790000094</v>
      </c>
      <c r="K17" s="33"/>
    </row>
    <row r="18" spans="1:11" x14ac:dyDescent="0.25">
      <c r="A18" s="12">
        <v>51</v>
      </c>
      <c r="B18" s="32">
        <v>13545311.861099999</v>
      </c>
      <c r="C18" s="32">
        <v>241.71000000000004</v>
      </c>
      <c r="D18" s="92">
        <v>56039.517856522267</v>
      </c>
      <c r="F18" s="28">
        <f t="shared" si="9"/>
        <v>51</v>
      </c>
      <c r="G18" s="28">
        <f t="shared" si="10"/>
        <v>47</v>
      </c>
      <c r="H18" s="31">
        <f>VLOOKUP(G18,'Daily Rates Pivot'!$A$3:$I$60,2,FALSE)*100</f>
        <v>55800</v>
      </c>
      <c r="I18" s="32">
        <f t="shared" si="11"/>
        <v>-239.51785652226681</v>
      </c>
      <c r="J18" s="31">
        <f t="shared" si="12"/>
        <v>-57893.861099997121</v>
      </c>
      <c r="K18" s="33"/>
    </row>
    <row r="19" spans="1:11" x14ac:dyDescent="0.25">
      <c r="A19" s="12">
        <v>52</v>
      </c>
      <c r="B19" s="32">
        <v>15410985.4252</v>
      </c>
      <c r="C19" s="32">
        <v>277.09000000000003</v>
      </c>
      <c r="D19" s="92">
        <v>55617.255856219999</v>
      </c>
      <c r="F19" s="28">
        <f t="shared" si="9"/>
        <v>52</v>
      </c>
      <c r="G19" s="28">
        <f t="shared" si="10"/>
        <v>48</v>
      </c>
      <c r="H19" s="31">
        <f>VLOOKUP(G19,'Daily Rates Pivot'!$A$3:$I$60,2,FALSE)*100</f>
        <v>56440</v>
      </c>
      <c r="I19" s="32">
        <f t="shared" si="11"/>
        <v>822.74414378000074</v>
      </c>
      <c r="J19" s="31">
        <f t="shared" si="12"/>
        <v>227974.17480000044</v>
      </c>
      <c r="K19" s="33"/>
    </row>
    <row r="20" spans="1:11" x14ac:dyDescent="0.25">
      <c r="A20" s="12">
        <v>53</v>
      </c>
      <c r="B20" s="32">
        <v>13839266.8452</v>
      </c>
      <c r="C20" s="32">
        <v>247.77999999999997</v>
      </c>
      <c r="D20" s="92">
        <v>55853.042397287922</v>
      </c>
      <c r="F20" s="28">
        <f t="shared" si="9"/>
        <v>53</v>
      </c>
      <c r="G20" s="28">
        <f t="shared" si="10"/>
        <v>49</v>
      </c>
      <c r="H20" s="31">
        <f>VLOOKUP(G20,'Daily Rates Pivot'!$A$3:$I$60,2,FALSE)*100</f>
        <v>57600</v>
      </c>
      <c r="I20" s="32">
        <f t="shared" si="11"/>
        <v>1746.9576027120784</v>
      </c>
      <c r="J20" s="31">
        <f t="shared" si="12"/>
        <v>432861.15479999874</v>
      </c>
      <c r="K20" s="33"/>
    </row>
    <row r="21" spans="1:11" x14ac:dyDescent="0.25">
      <c r="A21" s="12" t="s">
        <v>13</v>
      </c>
      <c r="B21" s="32">
        <v>15294855.005759999</v>
      </c>
      <c r="C21" s="32">
        <v>312.14</v>
      </c>
      <c r="D21" s="92">
        <v>48999.984000000011</v>
      </c>
      <c r="F21" s="28" t="str">
        <f t="shared" si="0"/>
        <v>RICE BRAN FATTY ACIDS- PCP - LOCAL</v>
      </c>
      <c r="H21" s="31"/>
      <c r="I21" s="32"/>
      <c r="J21" s="31"/>
      <c r="K21" s="33">
        <f>SUM(J22:J25)/C21</f>
        <v>1828.3430327417238</v>
      </c>
    </row>
    <row r="22" spans="1:11" x14ac:dyDescent="0.25">
      <c r="A22" s="12">
        <v>49</v>
      </c>
      <c r="B22" s="32">
        <v>1389639.5462399998</v>
      </c>
      <c r="C22" s="32">
        <v>28.36</v>
      </c>
      <c r="D22" s="92">
        <v>48999.983999999997</v>
      </c>
      <c r="F22" s="28">
        <f t="shared" si="0"/>
        <v>49</v>
      </c>
      <c r="G22" s="28">
        <f>F22-$G$3</f>
        <v>47</v>
      </c>
      <c r="H22" s="31">
        <f>VLOOKUP(G22,'Daily Rates Pivot'!$A$3:$I$60,7,FALSE)*100</f>
        <v>50000</v>
      </c>
      <c r="I22" s="32">
        <f t="shared" ref="I22" si="13">H22-D22</f>
        <v>1000.0160000000033</v>
      </c>
      <c r="J22" s="31">
        <f t="shared" ref="J22" si="14">I22*C22</f>
        <v>28360.453760000091</v>
      </c>
      <c r="K22" s="33"/>
    </row>
    <row r="23" spans="1:11" x14ac:dyDescent="0.25">
      <c r="A23" s="12">
        <v>50</v>
      </c>
      <c r="B23" s="32">
        <v>6949177.7308799997</v>
      </c>
      <c r="C23" s="32">
        <v>141.82</v>
      </c>
      <c r="D23" s="92">
        <v>48999.983999999997</v>
      </c>
      <c r="F23" s="28">
        <f t="shared" ref="F23:F25" si="15">A23</f>
        <v>50</v>
      </c>
      <c r="G23" s="28">
        <f t="shared" ref="G23:G25" si="16">F23-$G$3</f>
        <v>48</v>
      </c>
      <c r="H23" s="31">
        <f>VLOOKUP(G23,'Daily Rates Pivot'!$A$3:$I$60,7,FALSE)*100</f>
        <v>50300</v>
      </c>
      <c r="I23" s="32">
        <f t="shared" ref="I23:I25" si="17">H23-D23</f>
        <v>1300.0160000000033</v>
      </c>
      <c r="J23" s="31">
        <f t="shared" ref="J23:J25" si="18">I23*C23</f>
        <v>184368.26912000045</v>
      </c>
      <c r="K23" s="33"/>
    </row>
    <row r="24" spans="1:11" x14ac:dyDescent="0.25">
      <c r="A24" s="12">
        <v>51</v>
      </c>
      <c r="B24" s="32">
        <v>4159608.6417599991</v>
      </c>
      <c r="C24" s="32">
        <v>84.89</v>
      </c>
      <c r="D24" s="92">
        <v>48999.983999999989</v>
      </c>
      <c r="F24" s="28">
        <f t="shared" si="15"/>
        <v>51</v>
      </c>
      <c r="G24" s="28">
        <f t="shared" si="16"/>
        <v>49</v>
      </c>
      <c r="H24" s="31">
        <f>VLOOKUP(G24,'Daily Rates Pivot'!$A$3:$I$60,7,FALSE)*100</f>
        <v>51200</v>
      </c>
      <c r="I24" s="32">
        <f t="shared" si="17"/>
        <v>2200.0160000000105</v>
      </c>
      <c r="J24" s="31">
        <f t="shared" si="18"/>
        <v>186759.3582400009</v>
      </c>
      <c r="K24" s="33"/>
    </row>
    <row r="25" spans="1:11" x14ac:dyDescent="0.25">
      <c r="A25" s="12">
        <v>52</v>
      </c>
      <c r="B25" s="32">
        <v>2796429.0868799998</v>
      </c>
      <c r="C25" s="32">
        <v>57.07</v>
      </c>
      <c r="D25" s="92">
        <v>48999.983999999997</v>
      </c>
      <c r="F25" s="28">
        <f t="shared" si="15"/>
        <v>52</v>
      </c>
      <c r="G25" s="28">
        <f t="shared" si="16"/>
        <v>50</v>
      </c>
      <c r="H25" s="31">
        <f>VLOOKUP(G25,'Daily Rates Pivot'!$A$3:$I$60,7,FALSE)*100</f>
        <v>52000</v>
      </c>
      <c r="I25" s="32">
        <f t="shared" si="17"/>
        <v>3000.0160000000033</v>
      </c>
      <c r="J25" s="31">
        <f t="shared" si="18"/>
        <v>171210.91312000019</v>
      </c>
      <c r="K25" s="33"/>
    </row>
    <row r="26" spans="1:11" x14ac:dyDescent="0.25">
      <c r="A26" s="12" t="s">
        <v>23</v>
      </c>
      <c r="B26" s="32">
        <v>9493053.5366399996</v>
      </c>
      <c r="C26" s="32">
        <v>100.99</v>
      </c>
      <c r="D26" s="92">
        <v>93999.936000000002</v>
      </c>
      <c r="F26" s="28" t="str">
        <f t="shared" si="0"/>
        <v>SOLVENT  COCONUT OIL</v>
      </c>
      <c r="H26" s="31"/>
      <c r="I26" s="32"/>
      <c r="J26" s="31"/>
      <c r="K26" s="33">
        <f>SUM(J27:J28)/C26</f>
        <v>7666.5884111830856</v>
      </c>
    </row>
    <row r="27" spans="1:11" x14ac:dyDescent="0.25">
      <c r="A27" s="12">
        <v>51</v>
      </c>
      <c r="B27" s="32">
        <v>3813577.4035200002</v>
      </c>
      <c r="C27" s="32">
        <v>40.569999999999993</v>
      </c>
      <c r="D27" s="92">
        <v>93999.936000000016</v>
      </c>
      <c r="F27" s="28">
        <f t="shared" si="0"/>
        <v>51</v>
      </c>
      <c r="G27" s="28">
        <f>F27-$G$2</f>
        <v>47</v>
      </c>
      <c r="H27" s="31">
        <f>VLOOKUP(G27,'Daily Rates Pivot'!$A$3:$I$80,8,FALSE)-6000</f>
        <v>100148.80455324808</v>
      </c>
      <c r="I27" s="32">
        <f t="shared" ref="I27" si="19">H27-D27</f>
        <v>6148.8685532480595</v>
      </c>
      <c r="J27" s="31">
        <f t="shared" ref="J27" si="20">I27*C27</f>
        <v>249459.59720527372</v>
      </c>
      <c r="K27" s="33"/>
    </row>
    <row r="28" spans="1:11" x14ac:dyDescent="0.25">
      <c r="A28" s="12">
        <v>52</v>
      </c>
      <c r="B28" s="32">
        <v>5679476.1331200004</v>
      </c>
      <c r="C28" s="32">
        <v>60.42</v>
      </c>
      <c r="D28" s="92">
        <v>93999.936000000002</v>
      </c>
      <c r="F28" s="28">
        <f t="shared" ref="F28" si="21">A28</f>
        <v>52</v>
      </c>
      <c r="G28" s="28">
        <f>F28-$G$2</f>
        <v>48</v>
      </c>
      <c r="H28" s="31">
        <f>VLOOKUP(G28,'Daily Rates Pivot'!$A$3:$I$80,8,FALSE)-6000</f>
        <v>102685.62230321261</v>
      </c>
      <c r="I28" s="32">
        <f t="shared" ref="I28" si="22">H28-D28</f>
        <v>8685.686303212613</v>
      </c>
      <c r="J28" s="31">
        <f t="shared" ref="J28" si="23">I28*C28</f>
        <v>524789.16644010611</v>
      </c>
      <c r="K28" s="33"/>
    </row>
    <row r="29" spans="1:11" x14ac:dyDescent="0.25">
      <c r="A29" s="12" t="s">
        <v>39</v>
      </c>
      <c r="B29" s="32">
        <v>142233229.5791859</v>
      </c>
      <c r="C29" s="32">
        <v>2227.8300000000004</v>
      </c>
      <c r="D29" s="92">
        <v>63838.685454367762</v>
      </c>
      <c r="F29" s="28" t="str">
        <f t="shared" si="0"/>
        <v>Grand Total</v>
      </c>
      <c r="H29" s="31"/>
      <c r="I29" s="32"/>
      <c r="J29" s="31"/>
      <c r="K29" s="33">
        <f>SUM(J30:J34)/C29</f>
        <v>0</v>
      </c>
    </row>
    <row r="30" spans="1:11" x14ac:dyDescent="0.25">
      <c r="H30" s="31"/>
      <c r="I30" s="32"/>
      <c r="J30" s="31"/>
      <c r="K30" s="33"/>
    </row>
    <row r="31" spans="1:11" x14ac:dyDescent="0.25">
      <c r="H31" s="31"/>
      <c r="I31" s="32"/>
      <c r="J31" s="31"/>
      <c r="K31" s="33"/>
    </row>
    <row r="32" spans="1:11" x14ac:dyDescent="0.25">
      <c r="H32" s="31"/>
      <c r="I32" s="32"/>
      <c r="J32" s="31"/>
      <c r="K32" s="33"/>
    </row>
    <row r="33" spans="8:11" x14ac:dyDescent="0.25">
      <c r="H33" s="31"/>
      <c r="I33" s="32"/>
      <c r="J33" s="31"/>
      <c r="K33" s="33"/>
    </row>
    <row r="34" spans="8:11" x14ac:dyDescent="0.25">
      <c r="H34" s="31"/>
      <c r="I34" s="32"/>
      <c r="J34" s="31"/>
      <c r="K34" s="33"/>
    </row>
    <row r="35" spans="8:11" x14ac:dyDescent="0.25">
      <c r="H35" s="31"/>
      <c r="I35" s="32"/>
      <c r="J35" s="31"/>
      <c r="K35" s="33"/>
    </row>
    <row r="36" spans="8:11" x14ac:dyDescent="0.25">
      <c r="H36" s="31"/>
      <c r="I36" s="32"/>
      <c r="J36" s="31"/>
      <c r="K36" s="33"/>
    </row>
    <row r="37" spans="8:11" x14ac:dyDescent="0.25">
      <c r="H37" s="31"/>
      <c r="I37" s="32"/>
      <c r="J37" s="31"/>
      <c r="K37" s="33"/>
    </row>
    <row r="38" spans="8:11" x14ac:dyDescent="0.25">
      <c r="H38" s="31"/>
      <c r="I38" s="32"/>
      <c r="J38" s="31"/>
      <c r="K38" s="33"/>
    </row>
    <row r="39" spans="8:11" x14ac:dyDescent="0.25">
      <c r="H39" s="31"/>
      <c r="I39" s="32"/>
      <c r="J39" s="31"/>
      <c r="K39" s="33"/>
    </row>
    <row r="40" spans="8:11" x14ac:dyDescent="0.25">
      <c r="K40" s="33"/>
    </row>
    <row r="41" spans="8:11" x14ac:dyDescent="0.25">
      <c r="K41" s="33"/>
    </row>
    <row r="42" spans="8:11" x14ac:dyDescent="0.25">
      <c r="K42" s="33"/>
    </row>
    <row r="43" spans="8:11" x14ac:dyDescent="0.25">
      <c r="K43" s="33"/>
    </row>
    <row r="44" spans="8:11" x14ac:dyDescent="0.25">
      <c r="K44" s="33"/>
    </row>
    <row r="45" spans="8:11" x14ac:dyDescent="0.25">
      <c r="K45" s="33"/>
    </row>
    <row r="46" spans="8:11" x14ac:dyDescent="0.25">
      <c r="K46" s="33"/>
    </row>
    <row r="47" spans="8:11" x14ac:dyDescent="0.25">
      <c r="K47" s="33"/>
    </row>
    <row r="48" spans="8:11" x14ac:dyDescent="0.25">
      <c r="K48" s="33"/>
    </row>
    <row r="49" spans="11:11" x14ac:dyDescent="0.25">
      <c r="K49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5" sqref="F5:G6"/>
    </sheetView>
  </sheetViews>
  <sheetFormatPr defaultRowHeight="15" customHeight="1" x14ac:dyDescent="0.25"/>
  <cols>
    <col min="1" max="1" width="37.42578125" style="28" bestFit="1" customWidth="1"/>
    <col min="2" max="2" width="27.42578125" style="31" customWidth="1"/>
    <col min="3" max="3" width="10.85546875" style="31" customWidth="1"/>
    <col min="4" max="4" width="14.42578125" style="31" customWidth="1"/>
    <col min="5" max="5" width="10.85546875" style="28" bestFit="1" customWidth="1"/>
    <col min="6" max="9" width="9.140625" style="28"/>
    <col min="10" max="10" width="13.7109375" style="28" bestFit="1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31" t="s">
        <v>40</v>
      </c>
      <c r="C3" s="31" t="s">
        <v>43</v>
      </c>
      <c r="D3" s="31" t="s">
        <v>41</v>
      </c>
      <c r="E3"/>
      <c r="G3" s="28">
        <v>2</v>
      </c>
      <c r="H3" s="31"/>
      <c r="J3" s="31">
        <f>SUM(J5:J29)</f>
        <v>2063046.3703420314</v>
      </c>
      <c r="K3" s="84">
        <f>J3/B30</f>
        <v>1.9049907081273593E-2</v>
      </c>
    </row>
    <row r="4" spans="1:11" ht="15" customHeight="1" x14ac:dyDescent="0.25">
      <c r="A4" s="12" t="s">
        <v>20</v>
      </c>
      <c r="B4" s="31">
        <v>12759871.306529999</v>
      </c>
      <c r="C4" s="31">
        <v>118.60999999999999</v>
      </c>
      <c r="D4" s="31">
        <v>107578.37708903129</v>
      </c>
      <c r="E4"/>
      <c r="F4" s="28" t="str">
        <f>A4</f>
        <v>COCONUT OIL (CRUDE) LOCAL</v>
      </c>
      <c r="H4" s="31"/>
      <c r="J4" s="31"/>
      <c r="K4" s="33">
        <f>SUM(J5:J6)/C4</f>
        <v>2204.3280965967933</v>
      </c>
    </row>
    <row r="5" spans="1:11" ht="15" customHeight="1" x14ac:dyDescent="0.25">
      <c r="A5" s="12">
        <v>1</v>
      </c>
      <c r="B5" s="31">
        <v>10576775.71053</v>
      </c>
      <c r="C5" s="31">
        <v>99.029999999999987</v>
      </c>
      <c r="D5" s="31">
        <v>106803.75351438959</v>
      </c>
      <c r="E5"/>
      <c r="F5" s="28">
        <f t="shared" ref="F5:F29" si="0">A5</f>
        <v>1</v>
      </c>
      <c r="G5" s="28">
        <f>F5-$G$2+52</f>
        <v>49</v>
      </c>
      <c r="H5" s="31">
        <f>VLOOKUP(G5,'Daily Rates Pivot'!$A$3:$I$100,8,FALSE)</f>
        <v>107558.61674707197</v>
      </c>
      <c r="I5" s="32">
        <f>H5-D5</f>
        <v>754.86323268237174</v>
      </c>
      <c r="J5" s="31">
        <f>I5*C5</f>
        <v>74754.105932535269</v>
      </c>
      <c r="K5" s="33"/>
    </row>
    <row r="6" spans="1:11" ht="15" customHeight="1" x14ac:dyDescent="0.25">
      <c r="A6" s="12">
        <v>3</v>
      </c>
      <c r="B6" s="31">
        <v>2183095.5959999999</v>
      </c>
      <c r="C6" s="31">
        <v>19.579999999999998</v>
      </c>
      <c r="D6" s="31">
        <v>111496.20000000001</v>
      </c>
      <c r="E6"/>
      <c r="F6" s="28">
        <f t="shared" si="0"/>
        <v>3</v>
      </c>
      <c r="G6" s="28">
        <f>F6-$G$2+52</f>
        <v>51</v>
      </c>
      <c r="H6" s="31">
        <f>VLOOKUP(G6,'Daily Rates Pivot'!$A$3:$I$100,8,FALSE)</f>
        <v>121031.50386132843</v>
      </c>
      <c r="I6" s="32">
        <f>H6-D6</f>
        <v>9535.3038613284152</v>
      </c>
      <c r="J6" s="31">
        <f>I6*C6</f>
        <v>186701.24960481035</v>
      </c>
      <c r="K6" s="33"/>
    </row>
    <row r="7" spans="1:11" ht="15" customHeight="1" x14ac:dyDescent="0.25">
      <c r="A7" s="12" t="s">
        <v>110</v>
      </c>
      <c r="B7" s="31">
        <v>11262524.050000001</v>
      </c>
      <c r="C7" s="31">
        <v>151.49</v>
      </c>
      <c r="D7" s="31">
        <v>74345.000000000015</v>
      </c>
      <c r="E7"/>
      <c r="F7" s="28" t="str">
        <f t="shared" si="0"/>
        <v>DISTILLED FATTY ACID C1618</v>
      </c>
      <c r="H7" s="31"/>
      <c r="I7" s="32"/>
      <c r="J7" s="31"/>
      <c r="K7" s="33"/>
    </row>
    <row r="8" spans="1:11" ht="15" customHeight="1" x14ac:dyDescent="0.25">
      <c r="A8" s="12">
        <v>2</v>
      </c>
      <c r="B8" s="31">
        <v>4862906.4500000011</v>
      </c>
      <c r="C8" s="31">
        <v>65.41</v>
      </c>
      <c r="D8" s="31">
        <v>74345.000000000015</v>
      </c>
      <c r="E8"/>
      <c r="F8" s="28">
        <f t="shared" si="0"/>
        <v>2</v>
      </c>
      <c r="H8" s="31"/>
      <c r="I8" s="32"/>
      <c r="J8" s="31"/>
      <c r="K8" s="33"/>
    </row>
    <row r="9" spans="1:11" ht="15" customHeight="1" x14ac:dyDescent="0.25">
      <c r="A9" s="12">
        <v>3</v>
      </c>
      <c r="B9" s="31">
        <v>6399617.5999999996</v>
      </c>
      <c r="C9" s="31">
        <v>86.08</v>
      </c>
      <c r="D9" s="31">
        <v>74345</v>
      </c>
      <c r="E9"/>
      <c r="F9" s="28">
        <f t="shared" si="0"/>
        <v>3</v>
      </c>
      <c r="H9" s="31"/>
      <c r="I9" s="32"/>
      <c r="J9" s="31"/>
      <c r="K9" s="33"/>
    </row>
    <row r="10" spans="1:11" ht="15" customHeight="1" x14ac:dyDescent="0.25">
      <c r="A10" s="12" t="s">
        <v>66</v>
      </c>
      <c r="B10" s="31">
        <v>19250375.81726468</v>
      </c>
      <c r="C10" s="31">
        <v>207.46</v>
      </c>
      <c r="D10" s="31">
        <v>92790.78288472323</v>
      </c>
      <c r="E10"/>
      <c r="F10" s="28" t="str">
        <f t="shared" si="0"/>
        <v>PALM KERNEL FATTY ACID DISTILLATE</v>
      </c>
      <c r="H10" s="31"/>
      <c r="I10" s="32"/>
      <c r="J10" s="31"/>
      <c r="K10" s="33">
        <f>SUM(J11:J13)/C10</f>
        <v>2549.3809485856036</v>
      </c>
    </row>
    <row r="11" spans="1:11" ht="15" customHeight="1" x14ac:dyDescent="0.25">
      <c r="A11" s="12">
        <v>1</v>
      </c>
      <c r="B11" s="31">
        <v>5865927.112455301</v>
      </c>
      <c r="C11" s="31">
        <v>63.269999999999996</v>
      </c>
      <c r="D11" s="31">
        <v>92712.614390000017</v>
      </c>
      <c r="E11"/>
      <c r="F11" s="28">
        <f t="shared" si="0"/>
        <v>1</v>
      </c>
      <c r="G11" s="28">
        <f>F11-$G$1+52</f>
        <v>45</v>
      </c>
      <c r="H11" s="31">
        <f>VLOOKUP(G11,'Daily Rates Pivot'!$A$3:$J$100,10,FALSE)</f>
        <v>91734.070914999989</v>
      </c>
      <c r="I11" s="32">
        <f t="shared" ref="I11:I13" si="1">H11-D11</f>
        <v>-978.54347500002768</v>
      </c>
      <c r="J11" s="31">
        <f t="shared" ref="J11:J13" si="2">I11*C11</f>
        <v>-61912.445663251747</v>
      </c>
      <c r="K11" s="33"/>
    </row>
    <row r="12" spans="1:11" ht="15" customHeight="1" x14ac:dyDescent="0.25">
      <c r="A12" s="12">
        <v>2</v>
      </c>
      <c r="B12" s="31">
        <v>5576663.7555585001</v>
      </c>
      <c r="C12" s="31">
        <v>60.150000000000006</v>
      </c>
      <c r="D12" s="31">
        <v>92712.614389999988</v>
      </c>
      <c r="E12"/>
      <c r="F12" s="28">
        <f t="shared" si="0"/>
        <v>2</v>
      </c>
      <c r="G12" s="28">
        <f t="shared" ref="G12:G13" si="3">F12-$G$1+52</f>
        <v>46</v>
      </c>
      <c r="H12" s="31">
        <f>VLOOKUP(G12,'Daily Rates Pivot'!$A$3:$J$100,10,FALSE)</f>
        <v>94496.308484000008</v>
      </c>
      <c r="I12" s="32">
        <f t="shared" si="1"/>
        <v>1783.6940940000204</v>
      </c>
      <c r="J12" s="31">
        <f t="shared" si="2"/>
        <v>107289.19975410124</v>
      </c>
      <c r="K12" s="33"/>
    </row>
    <row r="13" spans="1:11" ht="15" customHeight="1" x14ac:dyDescent="0.25">
      <c r="A13" s="12">
        <v>3</v>
      </c>
      <c r="B13" s="31">
        <v>7807784.9492508797</v>
      </c>
      <c r="C13" s="31">
        <v>84.04</v>
      </c>
      <c r="D13" s="31">
        <v>92905.580071999982</v>
      </c>
      <c r="E13"/>
      <c r="F13" s="28">
        <f t="shared" si="0"/>
        <v>3</v>
      </c>
      <c r="G13" s="28">
        <f t="shared" si="3"/>
        <v>47</v>
      </c>
      <c r="H13" s="31">
        <f>VLOOKUP(G13,'Daily Rates Pivot'!$A$3:$J$100,10,FALSE)</f>
        <v>98659.00483999998</v>
      </c>
      <c r="I13" s="32">
        <f t="shared" si="1"/>
        <v>5753.4247679999971</v>
      </c>
      <c r="J13" s="31">
        <f t="shared" si="2"/>
        <v>483517.81750271982</v>
      </c>
      <c r="K13" s="33"/>
    </row>
    <row r="14" spans="1:11" ht="15" customHeight="1" x14ac:dyDescent="0.25">
      <c r="A14" s="12" t="s">
        <v>18</v>
      </c>
      <c r="B14" s="31">
        <v>8281329.2548999991</v>
      </c>
      <c r="C14" s="31">
        <v>147.69999999999999</v>
      </c>
      <c r="D14" s="31">
        <v>56068.579924847661</v>
      </c>
      <c r="E14"/>
      <c r="F14" s="28" t="str">
        <f t="shared" si="0"/>
        <v>PFAD(LOCAL)-PCP</v>
      </c>
      <c r="H14" s="31"/>
      <c r="I14" s="32"/>
      <c r="J14" s="31"/>
      <c r="K14" s="33">
        <f>SUM(J15:J16)/C14</f>
        <v>1252.4767779282483</v>
      </c>
    </row>
    <row r="15" spans="1:11" ht="15" customHeight="1" x14ac:dyDescent="0.25">
      <c r="A15" s="12">
        <v>2</v>
      </c>
      <c r="B15" s="31">
        <v>5306789.7868999997</v>
      </c>
      <c r="C15" s="31">
        <v>95</v>
      </c>
      <c r="D15" s="31">
        <v>55860.945125263155</v>
      </c>
      <c r="E15"/>
      <c r="F15" s="28">
        <f t="shared" si="0"/>
        <v>2</v>
      </c>
      <c r="G15" s="28">
        <f>F15-$G$2+52</f>
        <v>50</v>
      </c>
      <c r="H15" s="31">
        <f>VLOOKUP(G15,'Daily Rates Pivot'!$A$3:$I$100,5,FALSE)*100</f>
        <v>57362.000000000015</v>
      </c>
      <c r="I15" s="32">
        <f t="shared" ref="I15:I21" si="4">H15-D15</f>
        <v>1501.0548747368593</v>
      </c>
      <c r="J15" s="31">
        <f t="shared" ref="J15:J21" si="5">I15*C15</f>
        <v>142600.21310000162</v>
      </c>
      <c r="K15" s="33"/>
    </row>
    <row r="16" spans="1:11" ht="15" customHeight="1" x14ac:dyDescent="0.25">
      <c r="A16" s="12">
        <v>4</v>
      </c>
      <c r="B16" s="31">
        <v>2974539.4679999999</v>
      </c>
      <c r="C16" s="31">
        <v>52.7</v>
      </c>
      <c r="D16" s="31">
        <v>56442.874155597718</v>
      </c>
      <c r="E16"/>
      <c r="F16" s="28">
        <f t="shared" si="0"/>
        <v>4</v>
      </c>
      <c r="G16" s="28">
        <f>F16-$G$2+52</f>
        <v>52</v>
      </c>
      <c r="H16" s="31">
        <f>VLOOKUP(G16,'Daily Rates Pivot'!$A$3:$I$100,5,FALSE)*100</f>
        <v>57247.250000000007</v>
      </c>
      <c r="I16" s="32">
        <f t="shared" si="4"/>
        <v>804.37584440228966</v>
      </c>
      <c r="J16" s="31">
        <f t="shared" si="5"/>
        <v>42390.607000000666</v>
      </c>
      <c r="K16" s="33"/>
    </row>
    <row r="17" spans="1:11" ht="15" customHeight="1" x14ac:dyDescent="0.25">
      <c r="A17" s="12" t="s">
        <v>15</v>
      </c>
      <c r="B17" s="31">
        <v>33618735.395199999</v>
      </c>
      <c r="C17" s="31">
        <v>592.34999999999991</v>
      </c>
      <c r="D17" s="31">
        <v>56754.849996117169</v>
      </c>
      <c r="E17"/>
      <c r="F17" s="28" t="str">
        <f t="shared" si="0"/>
        <v>RBD PALM STEARIN (LOCAL)</v>
      </c>
      <c r="H17" s="31"/>
      <c r="I17" s="32"/>
      <c r="J17" s="31"/>
      <c r="K17" s="33">
        <f>SUM(J18:J21)/C17</f>
        <v>1455.0841644298125</v>
      </c>
    </row>
    <row r="18" spans="1:11" ht="15" customHeight="1" x14ac:dyDescent="0.25">
      <c r="A18" s="12">
        <v>1</v>
      </c>
      <c r="B18" s="31">
        <v>13848979.705200002</v>
      </c>
      <c r="C18" s="31">
        <v>249.33999999999997</v>
      </c>
      <c r="D18" s="31">
        <v>55542.551155851463</v>
      </c>
      <c r="E18"/>
      <c r="F18" s="28">
        <f t="shared" si="0"/>
        <v>1</v>
      </c>
      <c r="G18" s="28">
        <f>F18-$G$2+52</f>
        <v>49</v>
      </c>
      <c r="H18" s="31">
        <f>VLOOKUP(G18,'Daily Rates Pivot'!$A$3:$I$60,2,FALSE)*100</f>
        <v>57600</v>
      </c>
      <c r="I18" s="32">
        <f t="shared" si="4"/>
        <v>2057.4488441485373</v>
      </c>
      <c r="J18" s="31">
        <f t="shared" si="5"/>
        <v>513004.29479999625</v>
      </c>
      <c r="K18" s="33"/>
    </row>
    <row r="19" spans="1:11" ht="15" customHeight="1" x14ac:dyDescent="0.25">
      <c r="A19" s="12">
        <v>2</v>
      </c>
      <c r="B19" s="31">
        <v>7269710.085</v>
      </c>
      <c r="C19" s="31">
        <v>125.64</v>
      </c>
      <c r="D19" s="31">
        <v>57861.430157593124</v>
      </c>
      <c r="E19"/>
      <c r="F19" s="28">
        <f t="shared" si="0"/>
        <v>2</v>
      </c>
      <c r="G19" s="28">
        <f>F19-$G$2+52</f>
        <v>50</v>
      </c>
      <c r="H19" s="31">
        <f>VLOOKUP(G19,'Daily Rates Pivot'!$A$3:$I$60,2,FALSE)*100</f>
        <v>58500</v>
      </c>
      <c r="I19" s="32">
        <f t="shared" si="4"/>
        <v>638.56984240687598</v>
      </c>
      <c r="J19" s="31">
        <f t="shared" si="5"/>
        <v>80229.914999999892</v>
      </c>
      <c r="K19" s="33"/>
    </row>
    <row r="20" spans="1:11" ht="15" customHeight="1" x14ac:dyDescent="0.25">
      <c r="A20" s="12">
        <v>3</v>
      </c>
      <c r="B20" s="31">
        <v>9617308.311999999</v>
      </c>
      <c r="C20" s="31">
        <v>167.06000000000003</v>
      </c>
      <c r="D20" s="31">
        <v>57567.989416975921</v>
      </c>
      <c r="E20"/>
      <c r="F20" s="28">
        <f t="shared" si="0"/>
        <v>3</v>
      </c>
      <c r="G20" s="28">
        <f>F20-$G$2+52</f>
        <v>51</v>
      </c>
      <c r="H20" s="31">
        <f>VLOOKUP(G20,'Daily Rates Pivot'!$A$3:$I$60,2,FALSE)*100</f>
        <v>58875</v>
      </c>
      <c r="I20" s="32">
        <f t="shared" si="4"/>
        <v>1307.0105830240791</v>
      </c>
      <c r="J20" s="31">
        <f t="shared" si="5"/>
        <v>218349.1880000027</v>
      </c>
      <c r="K20" s="33"/>
    </row>
    <row r="21" spans="1:11" ht="15" customHeight="1" x14ac:dyDescent="0.25">
      <c r="A21" s="12">
        <v>4</v>
      </c>
      <c r="B21" s="31">
        <v>2882737.2929999996</v>
      </c>
      <c r="C21" s="31">
        <v>50.31</v>
      </c>
      <c r="D21" s="31">
        <v>57299.489028026226</v>
      </c>
      <c r="E21"/>
      <c r="F21" s="28">
        <f t="shared" si="0"/>
        <v>4</v>
      </c>
      <c r="G21" s="28">
        <f>F21-$G$2+52</f>
        <v>52</v>
      </c>
      <c r="H21" s="31">
        <f>VLOOKUP(G21,'Daily Rates Pivot'!$A$3:$I$60,2,FALSE)*100</f>
        <v>58300</v>
      </c>
      <c r="I21" s="32">
        <f t="shared" si="4"/>
        <v>1000.5109719737738</v>
      </c>
      <c r="J21" s="31">
        <f t="shared" si="5"/>
        <v>50335.707000000562</v>
      </c>
      <c r="K21" s="33"/>
    </row>
    <row r="22" spans="1:11" ht="15" customHeight="1" x14ac:dyDescent="0.25">
      <c r="A22" s="12" t="s">
        <v>13</v>
      </c>
      <c r="B22" s="31">
        <v>7534281.1591200009</v>
      </c>
      <c r="C22" s="31">
        <v>144.89000000000001</v>
      </c>
      <c r="D22" s="31">
        <v>52000.008000000009</v>
      </c>
      <c r="E22"/>
      <c r="F22" s="28" t="str">
        <f t="shared" si="0"/>
        <v>RICE BRAN FATTY ACIDS- PCP - LOCAL</v>
      </c>
      <c r="H22" s="31"/>
      <c r="I22" s="32"/>
      <c r="J22" s="31"/>
      <c r="K22" s="33">
        <f>SUM(J23:J25)/C22</f>
        <v>538.71102822830812</v>
      </c>
    </row>
    <row r="23" spans="1:11" ht="15" customHeight="1" x14ac:dyDescent="0.25">
      <c r="A23" s="12">
        <v>2</v>
      </c>
      <c r="B23" s="31">
        <v>3042520.46808</v>
      </c>
      <c r="C23" s="31">
        <v>58.51</v>
      </c>
      <c r="D23" s="31">
        <v>52000.008000000002</v>
      </c>
      <c r="E23"/>
      <c r="F23" s="28">
        <f t="shared" si="0"/>
        <v>2</v>
      </c>
      <c r="G23" s="28">
        <f>F23-$G$3+52</f>
        <v>52</v>
      </c>
      <c r="H23" s="31">
        <f>VLOOKUP(G23,'Daily Rates Pivot'!$A$3:$I$60,7,FALSE)*100</f>
        <v>52700</v>
      </c>
      <c r="I23" s="32">
        <f t="shared" ref="I23:I25" si="6">H23-D23</f>
        <v>699.99199999999837</v>
      </c>
      <c r="J23" s="31">
        <f t="shared" ref="J23:J25" si="7">I23*C23</f>
        <v>40956.531919999907</v>
      </c>
      <c r="K23" s="33"/>
    </row>
    <row r="24" spans="1:11" ht="15" customHeight="1" x14ac:dyDescent="0.25">
      <c r="A24" s="12">
        <v>4</v>
      </c>
      <c r="B24" s="31">
        <v>3037840.4673600001</v>
      </c>
      <c r="C24" s="31">
        <v>58.42</v>
      </c>
      <c r="D24" s="31">
        <v>52000.008000000002</v>
      </c>
      <c r="E24"/>
      <c r="F24" s="28">
        <f t="shared" si="0"/>
        <v>4</v>
      </c>
      <c r="G24" s="28">
        <f>F24-$G$3</f>
        <v>2</v>
      </c>
      <c r="H24" s="31">
        <f>VLOOKUP(G24,'Daily Rates Pivot'!$A$3:$I$60,7,FALSE)*100</f>
        <v>52300</v>
      </c>
      <c r="I24" s="32">
        <f t="shared" si="6"/>
        <v>299.99199999999837</v>
      </c>
      <c r="J24" s="31">
        <f t="shared" si="7"/>
        <v>17525.532639999907</v>
      </c>
      <c r="K24" s="33"/>
    </row>
    <row r="25" spans="1:11" ht="15" customHeight="1" x14ac:dyDescent="0.25">
      <c r="A25" s="12">
        <v>5</v>
      </c>
      <c r="B25" s="31">
        <v>1453920.2236800003</v>
      </c>
      <c r="C25" s="31">
        <v>27.96</v>
      </c>
      <c r="D25" s="31">
        <v>52000.008000000009</v>
      </c>
      <c r="E25"/>
      <c r="F25" s="28">
        <f t="shared" si="0"/>
        <v>5</v>
      </c>
      <c r="G25" s="28">
        <f>F25-$G$3</f>
        <v>3</v>
      </c>
      <c r="H25" s="31">
        <f>VLOOKUP(G25,'Daily Rates Pivot'!$A$3:$I$60,7,FALSE)*100</f>
        <v>52700</v>
      </c>
      <c r="I25" s="32">
        <f t="shared" si="6"/>
        <v>699.99199999999109</v>
      </c>
      <c r="J25" s="31">
        <f t="shared" si="7"/>
        <v>19571.77631999975</v>
      </c>
      <c r="K25" s="33"/>
    </row>
    <row r="26" spans="1:11" ht="15" customHeight="1" x14ac:dyDescent="0.25">
      <c r="A26" s="12" t="s">
        <v>23</v>
      </c>
      <c r="B26" s="31">
        <v>15589808.641890001</v>
      </c>
      <c r="C26" s="31">
        <v>138.67000000000002</v>
      </c>
      <c r="D26" s="31">
        <v>112423.80213377085</v>
      </c>
      <c r="E26"/>
      <c r="F26" s="28" t="str">
        <f t="shared" si="0"/>
        <v>SOLVENT  COCONUT OIL</v>
      </c>
      <c r="H26" s="31"/>
      <c r="I26" s="32"/>
      <c r="J26" s="31"/>
      <c r="K26" s="33">
        <f>SUM(J27:J28)/C26</f>
        <v>682.68479868528652</v>
      </c>
    </row>
    <row r="27" spans="1:11" ht="15" customHeight="1" x14ac:dyDescent="0.25">
      <c r="A27" s="12">
        <v>3</v>
      </c>
      <c r="B27" s="31">
        <v>4434450.0239700004</v>
      </c>
      <c r="C27" s="31">
        <v>39.950000000000003</v>
      </c>
      <c r="D27" s="31">
        <v>111000.0006</v>
      </c>
      <c r="E27"/>
      <c r="F27" s="28">
        <f t="shared" si="0"/>
        <v>3</v>
      </c>
      <c r="G27" s="28">
        <f>F27-$G$2+52</f>
        <v>51</v>
      </c>
      <c r="H27" s="31">
        <f>VLOOKUP(G27,'Daily Rates Pivot'!$A$3:$I$80,8,FALSE)-6000</f>
        <v>115031.50386132843</v>
      </c>
      <c r="I27" s="32">
        <f t="shared" ref="I27:I29" si="8">H27-D27</f>
        <v>4031.5032613284275</v>
      </c>
      <c r="J27" s="31">
        <f t="shared" ref="J27:J29" si="9">I27*C27</f>
        <v>161058.55529007068</v>
      </c>
      <c r="K27" s="33"/>
    </row>
    <row r="28" spans="1:11" ht="15" customHeight="1" x14ac:dyDescent="0.25">
      <c r="A28" s="12">
        <v>4</v>
      </c>
      <c r="B28" s="31">
        <v>8439968.9543399997</v>
      </c>
      <c r="C28" s="31">
        <v>74.69</v>
      </c>
      <c r="D28" s="31">
        <v>112999.986</v>
      </c>
      <c r="E28"/>
      <c r="F28" s="28">
        <f t="shared" si="0"/>
        <v>4</v>
      </c>
      <c r="G28" s="28">
        <f>F28-$G$2+52</f>
        <v>52</v>
      </c>
      <c r="H28" s="31">
        <f>VLOOKUP(G28,'Daily Rates Pivot'!$A$3:$I$100,8,FALSE)-6000</f>
        <v>112111.10322778978</v>
      </c>
      <c r="I28" s="32">
        <f t="shared" si="8"/>
        <v>-888.88277221022872</v>
      </c>
      <c r="J28" s="31">
        <f t="shared" si="9"/>
        <v>-66390.654256381982</v>
      </c>
      <c r="K28" s="33"/>
    </row>
    <row r="29" spans="1:11" ht="15" customHeight="1" x14ac:dyDescent="0.25">
      <c r="A29" s="12">
        <v>5</v>
      </c>
      <c r="B29" s="31">
        <v>2715389.6635800004</v>
      </c>
      <c r="C29" s="31">
        <v>24.03</v>
      </c>
      <c r="D29" s="31">
        <v>112999.986</v>
      </c>
      <c r="E29"/>
      <c r="F29" s="28">
        <f t="shared" si="0"/>
        <v>5</v>
      </c>
      <c r="G29" s="28">
        <f>F29-$G$2+52</f>
        <v>53</v>
      </c>
      <c r="H29" s="31">
        <f>VLOOKUP(G29,'Daily Rates Pivot'!$A$3:$I$100,8,FALSE)-6000</f>
        <v>115208.25800988043</v>
      </c>
      <c r="I29" s="32">
        <f t="shared" si="8"/>
        <v>2208.2720098804275</v>
      </c>
      <c r="J29" s="31">
        <f t="shared" si="9"/>
        <v>53064.776397426678</v>
      </c>
      <c r="K29" s="33">
        <f>SUM(J30:J34)/C29</f>
        <v>0</v>
      </c>
    </row>
    <row r="30" spans="1:11" ht="15" customHeight="1" x14ac:dyDescent="0.25">
      <c r="A30" s="12" t="s">
        <v>39</v>
      </c>
      <c r="B30" s="31">
        <v>108296925.62490468</v>
      </c>
      <c r="C30" s="31">
        <v>1501.17</v>
      </c>
      <c r="D30" s="31">
        <v>72141.6799062762</v>
      </c>
      <c r="E30"/>
      <c r="H30" s="31"/>
      <c r="I30" s="32"/>
      <c r="J30" s="31"/>
      <c r="K30" s="33"/>
    </row>
    <row r="31" spans="1:11" ht="15" customHeight="1" x14ac:dyDescent="0.25">
      <c r="H31" s="31"/>
      <c r="I31" s="32"/>
      <c r="J31" s="31"/>
      <c r="K31" s="33"/>
    </row>
    <row r="32" spans="1:11" ht="15" customHeight="1" x14ac:dyDescent="0.25"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H20" sqref="H20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0.85546875" style="28" customWidth="1"/>
    <col min="4" max="4" width="10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1" width="9.7109375" style="28" bestFit="1" customWidth="1"/>
    <col min="12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170</v>
      </c>
      <c r="G3" s="28">
        <v>2</v>
      </c>
      <c r="H3" s="31"/>
      <c r="J3" s="31">
        <f>SUM(J5:J21)</f>
        <v>2528445.871171183</v>
      </c>
      <c r="K3" s="84">
        <f>J3/B22</f>
        <v>2.4556788104780649E-2</v>
      </c>
    </row>
    <row r="4" spans="1:11" ht="15" customHeight="1" x14ac:dyDescent="0.25">
      <c r="A4" s="12" t="s">
        <v>110</v>
      </c>
      <c r="B4" s="35">
        <v>17918189.324999999</v>
      </c>
      <c r="C4" s="32">
        <v>238.11</v>
      </c>
      <c r="D4" s="35">
        <v>75251.729557767409</v>
      </c>
      <c r="H4" s="31"/>
      <c r="J4" s="31"/>
      <c r="K4" s="33"/>
    </row>
    <row r="5" spans="1:11" ht="15" customHeight="1" x14ac:dyDescent="0.25">
      <c r="A5" s="12">
        <v>8</v>
      </c>
      <c r="B5" s="35">
        <v>17918189.324999999</v>
      </c>
      <c r="C5" s="32">
        <v>238.11</v>
      </c>
      <c r="D5" s="35">
        <v>75251.729557767409</v>
      </c>
      <c r="H5" s="31"/>
      <c r="I5" s="32"/>
      <c r="J5" s="31"/>
      <c r="K5" s="33"/>
    </row>
    <row r="6" spans="1:11" ht="15" customHeight="1" x14ac:dyDescent="0.25">
      <c r="A6" s="12" t="s">
        <v>18</v>
      </c>
      <c r="B6" s="35">
        <v>7562549.8320000004</v>
      </c>
      <c r="C6" s="32">
        <v>134.26999999999998</v>
      </c>
      <c r="D6" s="35">
        <v>56323.451493259861</v>
      </c>
      <c r="F6" s="28" t="str">
        <f t="shared" ref="F6:F22" si="0">A6</f>
        <v>PFAD(LOCAL)-PCP</v>
      </c>
      <c r="H6" s="31"/>
      <c r="I6" s="32"/>
      <c r="J6" s="31"/>
      <c r="K6" s="33">
        <f>SUM(J7:J9)/C6</f>
        <v>431.32299098829998</v>
      </c>
    </row>
    <row r="7" spans="1:11" ht="15" customHeight="1" x14ac:dyDescent="0.25">
      <c r="A7" s="12">
        <v>5</v>
      </c>
      <c r="B7" s="35">
        <v>3308012.8319999999</v>
      </c>
      <c r="C7" s="32">
        <v>59.599999999999994</v>
      </c>
      <c r="D7" s="35">
        <v>55503.571006711412</v>
      </c>
      <c r="F7" s="28">
        <f t="shared" si="0"/>
        <v>5</v>
      </c>
      <c r="G7" s="28">
        <f>F7-$G$2</f>
        <v>1</v>
      </c>
      <c r="H7" s="31">
        <f>VLOOKUP(G7,'Daily Rates Pivot'!$A$3:$I$100,5,FALSE)*100</f>
        <v>56845.624999999993</v>
      </c>
      <c r="I7" s="32">
        <f t="shared" ref="I7:I9" si="1">H7-D7</f>
        <v>1342.0539932885804</v>
      </c>
      <c r="J7" s="31">
        <f t="shared" ref="J7:J9" si="2">I7*C7</f>
        <v>79986.417999999379</v>
      </c>
      <c r="K7" s="33"/>
    </row>
    <row r="8" spans="1:11" ht="15" customHeight="1" x14ac:dyDescent="0.25">
      <c r="A8" s="12">
        <v>6</v>
      </c>
      <c r="B8" s="35">
        <v>2698038</v>
      </c>
      <c r="C8" s="32">
        <v>47.879999999999995</v>
      </c>
      <c r="D8" s="35">
        <v>56350.000000000007</v>
      </c>
      <c r="F8" s="28">
        <f t="shared" si="0"/>
        <v>6</v>
      </c>
      <c r="G8" s="28">
        <f>F8-$G$2</f>
        <v>2</v>
      </c>
      <c r="H8" s="31">
        <f>VLOOKUP(G8,'Daily Rates Pivot'!$A$3:$I$100,5,FALSE)*100</f>
        <v>56558.75</v>
      </c>
      <c r="I8" s="32">
        <f t="shared" si="1"/>
        <v>208.74999999999272</v>
      </c>
      <c r="J8" s="31">
        <f t="shared" si="2"/>
        <v>9994.9499999996515</v>
      </c>
      <c r="K8" s="33"/>
    </row>
    <row r="9" spans="1:11" ht="15" customHeight="1" x14ac:dyDescent="0.25">
      <c r="A9" s="12">
        <v>7</v>
      </c>
      <c r="B9" s="35">
        <v>1556499</v>
      </c>
      <c r="C9" s="32">
        <v>26.79</v>
      </c>
      <c r="D9" s="35">
        <v>58100</v>
      </c>
      <c r="F9" s="28">
        <f t="shared" si="0"/>
        <v>7</v>
      </c>
      <c r="G9" s="28">
        <f>F9-$G$2</f>
        <v>3</v>
      </c>
      <c r="H9" s="31">
        <f>VLOOKUP(G9,'Daily Rates Pivot'!$A$3:$I$100,5,FALSE)*100</f>
        <v>56903</v>
      </c>
      <c r="I9" s="32">
        <f t="shared" si="1"/>
        <v>-1197</v>
      </c>
      <c r="J9" s="31">
        <f t="shared" si="2"/>
        <v>-32067.629999999997</v>
      </c>
      <c r="K9" s="33"/>
    </row>
    <row r="10" spans="1:11" ht="15" customHeight="1" x14ac:dyDescent="0.25">
      <c r="A10" s="12" t="s">
        <v>15</v>
      </c>
      <c r="B10" s="35">
        <v>49709705.765200004</v>
      </c>
      <c r="C10" s="32">
        <v>854.17999999999984</v>
      </c>
      <c r="D10" s="35">
        <v>58195.820278161496</v>
      </c>
      <c r="F10" s="28" t="str">
        <f t="shared" si="0"/>
        <v>RBD PALM STEARIN (LOCAL)</v>
      </c>
      <c r="H10" s="31"/>
      <c r="I10" s="32"/>
      <c r="J10" s="31"/>
      <c r="K10" s="33">
        <f>SUM(J11:J14)/C10</f>
        <v>-179.62849188695651</v>
      </c>
    </row>
    <row r="11" spans="1:11" ht="15" customHeight="1" x14ac:dyDescent="0.25">
      <c r="A11" s="12">
        <v>6</v>
      </c>
      <c r="B11" s="35">
        <v>13243619.9715</v>
      </c>
      <c r="C11" s="32">
        <v>227.81</v>
      </c>
      <c r="D11" s="35">
        <v>58134.497921513539</v>
      </c>
      <c r="F11" s="28">
        <f t="shared" si="0"/>
        <v>6</v>
      </c>
      <c r="G11" s="28">
        <f>F11-$G$2</f>
        <v>2</v>
      </c>
      <c r="H11" s="31">
        <f>VLOOKUP(G11,'Daily Rates Pivot'!$A$3:$I$60,2,FALSE)*100</f>
        <v>56800</v>
      </c>
      <c r="I11" s="32">
        <f t="shared" ref="I11:I14" si="3">H11-D11</f>
        <v>-1334.497921513539</v>
      </c>
      <c r="J11" s="31">
        <f t="shared" ref="J11:J14" si="4">I11*C11</f>
        <v>-304011.97149999934</v>
      </c>
      <c r="K11" s="33"/>
    </row>
    <row r="12" spans="1:11" ht="15" customHeight="1" x14ac:dyDescent="0.25">
      <c r="A12" s="12">
        <v>7</v>
      </c>
      <c r="B12" s="35">
        <v>17747429.8002</v>
      </c>
      <c r="C12" s="32">
        <v>303.98</v>
      </c>
      <c r="D12" s="35">
        <v>58383.544312783735</v>
      </c>
      <c r="F12" s="28">
        <f t="shared" si="0"/>
        <v>7</v>
      </c>
      <c r="G12" s="28">
        <f t="shared" ref="G12:G14" si="5">F12-$G$2</f>
        <v>3</v>
      </c>
      <c r="H12" s="31">
        <f>VLOOKUP(G12,'Daily Rates Pivot'!$A$3:$I$60,2,FALSE)*100</f>
        <v>57640</v>
      </c>
      <c r="I12" s="32">
        <f t="shared" si="3"/>
        <v>-743.54431278373522</v>
      </c>
      <c r="J12" s="31">
        <f t="shared" si="4"/>
        <v>-226022.60019999984</v>
      </c>
      <c r="K12" s="33"/>
    </row>
    <row r="13" spans="1:11" ht="15" customHeight="1" x14ac:dyDescent="0.25">
      <c r="A13" s="12">
        <v>8</v>
      </c>
      <c r="B13" s="35">
        <v>11319306.1906</v>
      </c>
      <c r="C13" s="32">
        <v>195.34999999999997</v>
      </c>
      <c r="D13" s="35">
        <v>57943.722501151788</v>
      </c>
      <c r="F13" s="28">
        <f t="shared" si="0"/>
        <v>8</v>
      </c>
      <c r="G13" s="28">
        <f t="shared" si="5"/>
        <v>4</v>
      </c>
      <c r="H13" s="31">
        <f>VLOOKUP(G13,'Daily Rates Pivot'!$A$3:$I$60,2,FALSE)*100</f>
        <v>59250</v>
      </c>
      <c r="I13" s="32">
        <f t="shared" si="3"/>
        <v>1306.2774988482124</v>
      </c>
      <c r="J13" s="31">
        <f t="shared" si="4"/>
        <v>255181.30939999825</v>
      </c>
      <c r="K13" s="33"/>
    </row>
    <row r="14" spans="1:11" ht="15" customHeight="1" x14ac:dyDescent="0.25">
      <c r="A14" s="12">
        <v>9</v>
      </c>
      <c r="B14" s="35">
        <v>7399349.8028999995</v>
      </c>
      <c r="C14" s="32">
        <v>127.03999999999999</v>
      </c>
      <c r="D14" s="35">
        <v>58244.252226857679</v>
      </c>
      <c r="F14" s="28">
        <f t="shared" si="0"/>
        <v>9</v>
      </c>
      <c r="G14" s="28">
        <f t="shared" si="5"/>
        <v>5</v>
      </c>
      <c r="H14" s="31">
        <f>VLOOKUP(G14,'Daily Rates Pivot'!$A$3:$I$60,2,FALSE)*100</f>
        <v>59200</v>
      </c>
      <c r="I14" s="32">
        <f t="shared" si="3"/>
        <v>955.74777314232051</v>
      </c>
      <c r="J14" s="31">
        <f t="shared" si="4"/>
        <v>121418.19710000038</v>
      </c>
      <c r="K14" s="33"/>
    </row>
    <row r="15" spans="1:11" ht="15" customHeight="1" x14ac:dyDescent="0.25">
      <c r="A15" s="12" t="s">
        <v>13</v>
      </c>
      <c r="B15" s="35">
        <v>22378810.80384</v>
      </c>
      <c r="C15" s="32">
        <v>436.82999999999993</v>
      </c>
      <c r="D15" s="35">
        <v>51230.022672069215</v>
      </c>
      <c r="F15" s="28" t="str">
        <f t="shared" si="0"/>
        <v>RICE BRAN FATTY ACIDS- PCP - LOCAL</v>
      </c>
      <c r="H15" s="31"/>
      <c r="I15" s="32"/>
      <c r="J15" s="31"/>
      <c r="K15" s="33">
        <f>SUM(J16:J19)/C15</f>
        <v>1471.1471193828265</v>
      </c>
    </row>
    <row r="16" spans="1:11" ht="15" customHeight="1" x14ac:dyDescent="0.25">
      <c r="A16" s="12">
        <v>5</v>
      </c>
      <c r="B16" s="35">
        <v>1427580.1108799998</v>
      </c>
      <c r="C16" s="32">
        <v>27.72</v>
      </c>
      <c r="D16" s="35">
        <v>51500.003999999994</v>
      </c>
      <c r="F16" s="28">
        <f t="shared" si="0"/>
        <v>5</v>
      </c>
      <c r="G16" s="28">
        <f>F16-$G$3</f>
        <v>3</v>
      </c>
      <c r="H16" s="31">
        <f>VLOOKUP(G16,'Daily Rates Pivot'!$A$3:$I$60,7,FALSE)*100</f>
        <v>52700</v>
      </c>
      <c r="I16" s="32">
        <f t="shared" ref="I16:I21" si="6">H16-D16</f>
        <v>1199.9960000000065</v>
      </c>
      <c r="J16" s="31">
        <f t="shared" ref="J16:J21" si="7">I16*C16</f>
        <v>33263.889120000174</v>
      </c>
      <c r="K16" s="33"/>
    </row>
    <row r="17" spans="1:11" ht="15" customHeight="1" x14ac:dyDescent="0.25">
      <c r="A17" s="12">
        <v>6</v>
      </c>
      <c r="B17" s="35">
        <v>8921860.6929599997</v>
      </c>
      <c r="C17" s="32">
        <v>173.23999999999998</v>
      </c>
      <c r="D17" s="35">
        <v>51500.004000000001</v>
      </c>
      <c r="F17" s="28">
        <f t="shared" si="0"/>
        <v>6</v>
      </c>
      <c r="G17" s="28">
        <f>F17-$G$3</f>
        <v>4</v>
      </c>
      <c r="H17" s="31">
        <f>VLOOKUP(G17,'Daily Rates Pivot'!$A$3:$I$60,7,FALSE)*100</f>
        <v>52875</v>
      </c>
      <c r="I17" s="32">
        <f t="shared" si="6"/>
        <v>1374.9959999999992</v>
      </c>
      <c r="J17" s="31">
        <f t="shared" si="7"/>
        <v>238204.30703999984</v>
      </c>
      <c r="K17" s="33"/>
    </row>
    <row r="18" spans="1:11" ht="15" customHeight="1" x14ac:dyDescent="0.25">
      <c r="A18" s="12">
        <v>7</v>
      </c>
      <c r="B18" s="35">
        <v>4428840</v>
      </c>
      <c r="C18" s="32">
        <v>86.84</v>
      </c>
      <c r="D18" s="35">
        <v>51000</v>
      </c>
      <c r="F18" s="28">
        <f t="shared" si="0"/>
        <v>7</v>
      </c>
      <c r="G18" s="28">
        <f>F18-$G$3</f>
        <v>5</v>
      </c>
      <c r="H18" s="31">
        <f>VLOOKUP(G18,'Daily Rates Pivot'!$A$3:$I$60,7,FALSE)*100</f>
        <v>52700</v>
      </c>
      <c r="I18" s="32">
        <f t="shared" si="6"/>
        <v>1700</v>
      </c>
      <c r="J18" s="31">
        <f t="shared" si="7"/>
        <v>147628</v>
      </c>
      <c r="K18" s="33"/>
    </row>
    <row r="19" spans="1:11" ht="15" customHeight="1" x14ac:dyDescent="0.25">
      <c r="A19" s="12">
        <v>8</v>
      </c>
      <c r="B19" s="35">
        <v>7600530</v>
      </c>
      <c r="C19" s="32">
        <v>149.03</v>
      </c>
      <c r="D19" s="35">
        <v>51000</v>
      </c>
      <c r="F19" s="28">
        <f t="shared" si="0"/>
        <v>8</v>
      </c>
      <c r="G19" s="28">
        <f>F19-$G$3</f>
        <v>6</v>
      </c>
      <c r="H19" s="31">
        <f>VLOOKUP(G19,'Daily Rates Pivot'!$A$61:$I$71,7,FALSE)*100</f>
        <v>52500</v>
      </c>
      <c r="I19" s="32">
        <f t="shared" si="6"/>
        <v>1500</v>
      </c>
      <c r="J19" s="31">
        <f t="shared" si="7"/>
        <v>223545</v>
      </c>
      <c r="K19" s="33"/>
    </row>
    <row r="20" spans="1:11" ht="15" customHeight="1" x14ac:dyDescent="0.25">
      <c r="A20" s="12" t="s">
        <v>23</v>
      </c>
      <c r="B20" s="35">
        <v>5393960</v>
      </c>
      <c r="C20" s="32">
        <v>58.58</v>
      </c>
      <c r="D20" s="35">
        <v>92078.525093888704</v>
      </c>
      <c r="F20" s="28" t="str">
        <f t="shared" si="0"/>
        <v>SOLVENT  COCONUT OIL</v>
      </c>
      <c r="H20" s="31"/>
      <c r="I20" s="32"/>
      <c r="J20" s="31"/>
      <c r="K20" s="33">
        <f>SUM(J21:J21)/C20</f>
        <v>33822.567466903114</v>
      </c>
    </row>
    <row r="21" spans="1:11" ht="15" customHeight="1" x14ac:dyDescent="0.25">
      <c r="A21" s="12">
        <v>7</v>
      </c>
      <c r="B21" s="35">
        <v>5393960</v>
      </c>
      <c r="C21" s="32">
        <v>58.58</v>
      </c>
      <c r="D21" s="35">
        <v>92078.525093888704</v>
      </c>
      <c r="F21" s="28">
        <f t="shared" si="0"/>
        <v>7</v>
      </c>
      <c r="G21" s="28">
        <f>F21-$G$2</f>
        <v>3</v>
      </c>
      <c r="H21" s="31">
        <f>VLOOKUP(G21,'Daily Rates Pivot'!$A$3:$I$80,8,FALSE)-6000</f>
        <v>125901.09256079182</v>
      </c>
      <c r="I21" s="32">
        <f t="shared" si="6"/>
        <v>33822.567466903114</v>
      </c>
      <c r="J21" s="31">
        <f t="shared" si="7"/>
        <v>1981326.0022111845</v>
      </c>
      <c r="K21" s="33"/>
    </row>
    <row r="22" spans="1:11" ht="15" customHeight="1" x14ac:dyDescent="0.25">
      <c r="A22" s="12" t="s">
        <v>39</v>
      </c>
      <c r="B22" s="35">
        <v>102963215.72604001</v>
      </c>
      <c r="C22" s="32">
        <v>1721.9699999999998</v>
      </c>
      <c r="D22" s="35">
        <v>59793.84990797747</v>
      </c>
      <c r="F22" s="28" t="str">
        <f t="shared" si="0"/>
        <v>Grand Total</v>
      </c>
      <c r="H22" s="31"/>
      <c r="I22" s="32"/>
      <c r="J22" s="31"/>
      <c r="K22" s="33">
        <f>SUM(J23:J25)/C22</f>
        <v>0</v>
      </c>
    </row>
    <row r="23" spans="1:11" ht="15" customHeight="1" x14ac:dyDescent="0.25">
      <c r="H23" s="31"/>
      <c r="I23" s="32"/>
      <c r="J23" s="31"/>
      <c r="K23" s="33"/>
    </row>
    <row r="24" spans="1:11" ht="15" customHeight="1" x14ac:dyDescent="0.25">
      <c r="H24" s="31"/>
      <c r="I24" s="32"/>
      <c r="J24" s="31"/>
      <c r="K24" s="33"/>
    </row>
    <row r="25" spans="1:11" ht="15" customHeight="1" x14ac:dyDescent="0.25">
      <c r="H25" s="31"/>
      <c r="I25" s="32"/>
      <c r="J25" s="31"/>
      <c r="K25" s="33"/>
    </row>
    <row r="26" spans="1:11" ht="15" customHeight="1" x14ac:dyDescent="0.25">
      <c r="H26" s="31"/>
      <c r="I26" s="32"/>
      <c r="J26" s="31"/>
      <c r="K26" s="33"/>
    </row>
    <row r="27" spans="1:11" ht="15" customHeight="1" x14ac:dyDescent="0.25">
      <c r="H27" s="31"/>
      <c r="I27" s="32"/>
      <c r="J27" s="31"/>
      <c r="K27" s="33"/>
    </row>
    <row r="28" spans="1:11" ht="15" customHeight="1" x14ac:dyDescent="0.25">
      <c r="H28" s="31"/>
      <c r="I28" s="32"/>
      <c r="J28" s="31"/>
      <c r="K28" s="33"/>
    </row>
    <row r="29" spans="1:11" ht="15" customHeight="1" x14ac:dyDescent="0.25">
      <c r="H29" s="31"/>
      <c r="I29" s="32"/>
      <c r="J29" s="31"/>
      <c r="K29" s="33"/>
    </row>
    <row r="30" spans="1:11" ht="15" customHeight="1" x14ac:dyDescent="0.25">
      <c r="H30" s="31"/>
      <c r="I30" s="32"/>
      <c r="J30" s="31"/>
      <c r="K30" s="33"/>
    </row>
    <row r="31" spans="1:11" ht="15" customHeight="1" x14ac:dyDescent="0.25">
      <c r="H31" s="31"/>
      <c r="I31" s="32"/>
      <c r="J31" s="31"/>
      <c r="K31" s="33"/>
    </row>
    <row r="32" spans="1:11" ht="15" customHeight="1" x14ac:dyDescent="0.25"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0" workbookViewId="0">
      <selection activeCell="H27" sqref="H27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0.85546875" style="28" customWidth="1"/>
    <col min="4" max="4" width="10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1" width="9.7109375" style="28" bestFit="1" customWidth="1"/>
    <col min="12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170</v>
      </c>
      <c r="G3" s="28">
        <v>2</v>
      </c>
      <c r="H3" s="31"/>
      <c r="J3" s="31">
        <f>SUM(J5:J29)</f>
        <v>7630190.0645724842</v>
      </c>
      <c r="K3" s="84">
        <f>J3/B30</f>
        <v>4.5663317981698488E-2</v>
      </c>
    </row>
    <row r="4" spans="1:11" ht="15" customHeight="1" x14ac:dyDescent="0.25">
      <c r="A4" s="12" t="s">
        <v>110</v>
      </c>
      <c r="B4" s="35">
        <v>11203461.337499999</v>
      </c>
      <c r="C4" s="32">
        <v>151.37</v>
      </c>
      <c r="D4" s="35">
        <v>74013.749999999985</v>
      </c>
      <c r="H4" s="31"/>
      <c r="J4" s="31"/>
      <c r="K4" s="33"/>
    </row>
    <row r="5" spans="1:11" ht="15" customHeight="1" x14ac:dyDescent="0.25">
      <c r="A5" s="12">
        <v>9</v>
      </c>
      <c r="B5" s="35">
        <v>11203461.337499999</v>
      </c>
      <c r="C5" s="32">
        <v>151.37</v>
      </c>
      <c r="D5" s="35">
        <v>74013.749999999985</v>
      </c>
      <c r="H5" s="31"/>
      <c r="I5" s="32"/>
      <c r="J5" s="31"/>
      <c r="K5" s="33"/>
    </row>
    <row r="6" spans="1:11" ht="15" customHeight="1" x14ac:dyDescent="0.25">
      <c r="A6" s="12" t="s">
        <v>18</v>
      </c>
      <c r="B6" s="35">
        <v>11167416.487199999</v>
      </c>
      <c r="C6" s="32">
        <v>198.96</v>
      </c>
      <c r="D6" s="35">
        <v>56128.9529915561</v>
      </c>
      <c r="F6" s="28" t="str">
        <f t="shared" ref="F6:F22" si="0">A6</f>
        <v>PFAD(LOCAL)-PCP</v>
      </c>
      <c r="H6" s="31"/>
      <c r="I6" s="32"/>
      <c r="J6" s="31"/>
      <c r="K6" s="33">
        <f>SUM(J7:J11)/C6</f>
        <v>946.9483127261791</v>
      </c>
    </row>
    <row r="7" spans="1:11" ht="15" customHeight="1" x14ac:dyDescent="0.25">
      <c r="A7" s="12">
        <v>9</v>
      </c>
      <c r="B7" s="35">
        <v>3275893.2740000002</v>
      </c>
      <c r="C7" s="32">
        <v>57.78</v>
      </c>
      <c r="D7" s="35">
        <v>56695.972204915197</v>
      </c>
      <c r="F7" s="28">
        <f t="shared" si="0"/>
        <v>9</v>
      </c>
      <c r="G7" s="28">
        <f>F7-$G$2</f>
        <v>5</v>
      </c>
      <c r="H7" s="31">
        <f>VLOOKUP(G7,'Daily Rates Pivot'!$A$61:$I$71,5,FALSE)*100</f>
        <v>57323.750000000007</v>
      </c>
      <c r="I7" s="32">
        <f t="shared" ref="I7:I10" si="1">H7-D7</f>
        <v>627.77779508481035</v>
      </c>
      <c r="J7" s="31">
        <f t="shared" ref="J7:J11" si="2">I7*C7</f>
        <v>36273.001000000346</v>
      </c>
      <c r="K7" s="33"/>
    </row>
    <row r="8" spans="1:11" ht="15" customHeight="1" x14ac:dyDescent="0.25">
      <c r="A8" s="12">
        <v>10</v>
      </c>
      <c r="B8" s="35">
        <v>3199196</v>
      </c>
      <c r="C8" s="32">
        <v>57.58</v>
      </c>
      <c r="D8" s="35">
        <v>55560.889197638069</v>
      </c>
      <c r="F8" s="28">
        <f t="shared" si="0"/>
        <v>10</v>
      </c>
      <c r="G8" s="28">
        <f>F8-$G$2</f>
        <v>6</v>
      </c>
      <c r="H8" s="31">
        <f>VLOOKUP(G8,'Daily Rates Pivot'!$A$61:$I$71,5,FALSE)*100</f>
        <v>57706.25</v>
      </c>
      <c r="I8" s="32">
        <f t="shared" si="1"/>
        <v>2145.3608023619308</v>
      </c>
      <c r="J8" s="31">
        <f t="shared" si="2"/>
        <v>123529.87499999997</v>
      </c>
      <c r="K8" s="33"/>
    </row>
    <row r="9" spans="1:11" ht="15" customHeight="1" x14ac:dyDescent="0.25">
      <c r="A9" s="12">
        <v>11</v>
      </c>
      <c r="B9" s="35">
        <v>1529965.2131999999</v>
      </c>
      <c r="C9" s="32">
        <v>27.48</v>
      </c>
      <c r="D9" s="35">
        <v>55675.59</v>
      </c>
      <c r="F9" s="28">
        <f t="shared" si="0"/>
        <v>11</v>
      </c>
      <c r="G9" s="28">
        <f>F9-$G$2</f>
        <v>7</v>
      </c>
      <c r="H9" s="31">
        <f>VLOOKUP(G9,'Daily Rates Pivot'!$A$61:$I$71,5,FALSE)*100</f>
        <v>57362.000000000015</v>
      </c>
      <c r="I9" s="32">
        <f t="shared" si="1"/>
        <v>1686.410000000018</v>
      </c>
      <c r="J9" s="31">
        <f t="shared" si="2"/>
        <v>46342.546800000498</v>
      </c>
      <c r="K9" s="33"/>
    </row>
    <row r="10" spans="1:11" ht="15" customHeight="1" x14ac:dyDescent="0.25">
      <c r="A10" s="12">
        <v>12</v>
      </c>
      <c r="B10" s="35">
        <v>1543426.5</v>
      </c>
      <c r="C10" s="32">
        <v>27.39</v>
      </c>
      <c r="D10" s="35">
        <v>56350</v>
      </c>
      <c r="F10" s="28">
        <f t="shared" si="0"/>
        <v>12</v>
      </c>
      <c r="G10" s="28">
        <f>F10-$G$2</f>
        <v>8</v>
      </c>
      <c r="H10" s="31">
        <f>VLOOKUP(G10,'Daily Rates Pivot'!$A$61:$I$71,5,FALSE)*100</f>
        <v>56398.1</v>
      </c>
      <c r="I10" s="32">
        <f t="shared" si="1"/>
        <v>48.099999999998545</v>
      </c>
      <c r="J10" s="31">
        <f t="shared" si="2"/>
        <v>1317.4589999999603</v>
      </c>
      <c r="K10" s="33"/>
    </row>
    <row r="11" spans="1:11" ht="15" customHeight="1" x14ac:dyDescent="0.25">
      <c r="A11" s="12">
        <v>13</v>
      </c>
      <c r="B11" s="35">
        <v>1618935.5</v>
      </c>
      <c r="C11" s="32">
        <v>28.73</v>
      </c>
      <c r="D11" s="35">
        <v>56350</v>
      </c>
      <c r="F11" s="28">
        <f t="shared" si="0"/>
        <v>13</v>
      </c>
      <c r="G11" s="28">
        <f>F11-$G$2</f>
        <v>9</v>
      </c>
      <c r="H11" s="31">
        <f>VLOOKUP(G11,'Daily Rates Pivot'!$A$61:$I$71,5,FALSE)*100</f>
        <v>55686.649999999994</v>
      </c>
      <c r="I11" s="32">
        <f t="shared" ref="I11:I17" si="3">H11-D11</f>
        <v>-663.35000000000582</v>
      </c>
      <c r="J11" s="31">
        <f t="shared" si="2"/>
        <v>-19058.045500000168</v>
      </c>
      <c r="K11" s="33"/>
    </row>
    <row r="12" spans="1:11" ht="15" customHeight="1" x14ac:dyDescent="0.25">
      <c r="A12" s="12" t="s">
        <v>15</v>
      </c>
      <c r="B12" s="35">
        <v>89405045.144999996</v>
      </c>
      <c r="C12" s="32">
        <v>1554.59</v>
      </c>
      <c r="D12" s="35">
        <v>57510.369386783663</v>
      </c>
      <c r="F12" s="28" t="str">
        <f t="shared" si="0"/>
        <v>RBD PALM STEARIN (LOCAL)</v>
      </c>
      <c r="H12" s="31"/>
      <c r="I12" s="32"/>
      <c r="J12" s="31"/>
      <c r="K12" s="33">
        <f>SUM(J13:J17)/C12</f>
        <v>639.41711641011557</v>
      </c>
    </row>
    <row r="13" spans="1:11" ht="15" customHeight="1" x14ac:dyDescent="0.25">
      <c r="A13" s="12">
        <v>9</v>
      </c>
      <c r="B13" s="35">
        <v>15328923.188899999</v>
      </c>
      <c r="C13" s="32">
        <v>261.93</v>
      </c>
      <c r="D13" s="35">
        <v>58522.976325354102</v>
      </c>
      <c r="F13" s="28">
        <f t="shared" si="0"/>
        <v>9</v>
      </c>
      <c r="G13" s="28">
        <f t="shared" ref="G13:G17" si="4">F13-$G$2</f>
        <v>5</v>
      </c>
      <c r="H13" s="31">
        <f>VLOOKUP(G13,'Daily Rates Pivot'!$A$61:$I$71,2,FALSE)*100</f>
        <v>59333.333333333336</v>
      </c>
      <c r="I13" s="32">
        <f t="shared" si="3"/>
        <v>810.35700797923346</v>
      </c>
      <c r="J13" s="31">
        <f t="shared" ref="J13:J17" si="5">I13*C13</f>
        <v>212256.81110000063</v>
      </c>
      <c r="K13" s="33"/>
    </row>
    <row r="14" spans="1:11" ht="15" customHeight="1" x14ac:dyDescent="0.25">
      <c r="A14" s="12">
        <v>10</v>
      </c>
      <c r="B14" s="35">
        <v>36939846.561499998</v>
      </c>
      <c r="C14" s="32">
        <v>638.45999999999992</v>
      </c>
      <c r="D14" s="35">
        <v>57857.730416157632</v>
      </c>
      <c r="F14" s="28">
        <f t="shared" si="0"/>
        <v>10</v>
      </c>
      <c r="G14" s="28">
        <f t="shared" si="4"/>
        <v>6</v>
      </c>
      <c r="H14" s="31">
        <f>VLOOKUP(G14,'Daily Rates Pivot'!$A$61:$I$71,2,FALSE)*100</f>
        <v>59000</v>
      </c>
      <c r="I14" s="32">
        <f t="shared" si="3"/>
        <v>1142.2695838423679</v>
      </c>
      <c r="J14" s="31">
        <f t="shared" si="5"/>
        <v>729293.43849999807</v>
      </c>
      <c r="K14" s="33"/>
    </row>
    <row r="15" spans="1:11" ht="15" customHeight="1" x14ac:dyDescent="0.25">
      <c r="A15" s="12">
        <v>11</v>
      </c>
      <c r="B15" s="35">
        <v>9938159.2158000004</v>
      </c>
      <c r="C15" s="32">
        <v>174.45</v>
      </c>
      <c r="D15" s="35">
        <v>56968.525169389519</v>
      </c>
      <c r="F15" s="28">
        <f t="shared" si="0"/>
        <v>11</v>
      </c>
      <c r="G15" s="28">
        <f t="shared" si="4"/>
        <v>7</v>
      </c>
      <c r="H15" s="31">
        <f>VLOOKUP(G15,'Daily Rates Pivot'!$A$61:$I$71,2,FALSE)*100</f>
        <v>58400</v>
      </c>
      <c r="I15" s="32">
        <f t="shared" si="3"/>
        <v>1431.4748306104811</v>
      </c>
      <c r="J15" s="31">
        <f t="shared" si="5"/>
        <v>249720.78419999842</v>
      </c>
      <c r="K15" s="33"/>
    </row>
    <row r="16" spans="1:11" ht="15" customHeight="1" x14ac:dyDescent="0.25">
      <c r="A16" s="12">
        <v>12</v>
      </c>
      <c r="B16" s="35">
        <v>22464873.178799998</v>
      </c>
      <c r="C16" s="32">
        <v>397.72</v>
      </c>
      <c r="D16" s="35">
        <v>56484.142559589651</v>
      </c>
      <c r="F16" s="28">
        <f t="shared" si="0"/>
        <v>12</v>
      </c>
      <c r="G16" s="28">
        <f t="shared" si="4"/>
        <v>8</v>
      </c>
      <c r="H16" s="31">
        <f>VLOOKUP(G16,'Daily Rates Pivot'!$A$61:$I$71,2,FALSE)*100</f>
        <v>56500</v>
      </c>
      <c r="I16" s="32">
        <f t="shared" si="3"/>
        <v>15.857440410349227</v>
      </c>
      <c r="J16" s="31">
        <f t="shared" si="5"/>
        <v>6306.8212000040949</v>
      </c>
      <c r="K16" s="33"/>
    </row>
    <row r="17" spans="1:11" ht="15" customHeight="1" x14ac:dyDescent="0.25">
      <c r="A17" s="12">
        <v>13</v>
      </c>
      <c r="B17" s="35">
        <v>4733243</v>
      </c>
      <c r="C17" s="32">
        <v>82.03</v>
      </c>
      <c r="D17" s="35">
        <v>57701.365354138732</v>
      </c>
      <c r="F17" s="28">
        <f t="shared" si="0"/>
        <v>13</v>
      </c>
      <c r="G17" s="28">
        <f t="shared" si="4"/>
        <v>9</v>
      </c>
      <c r="H17" s="31">
        <f>VLOOKUP(G17,'Daily Rates Pivot'!$A$61:$I$71,2,FALSE)*100</f>
        <v>55220.000000000007</v>
      </c>
      <c r="I17" s="32">
        <f t="shared" si="3"/>
        <v>-2481.3653541387248</v>
      </c>
      <c r="J17" s="31">
        <f t="shared" si="5"/>
        <v>-203546.39999999959</v>
      </c>
      <c r="K17" s="33"/>
    </row>
    <row r="18" spans="1:11" ht="15" customHeight="1" x14ac:dyDescent="0.25">
      <c r="A18" s="12" t="s">
        <v>13</v>
      </c>
      <c r="B18" s="35">
        <v>36686383.110912003</v>
      </c>
      <c r="C18" s="32">
        <v>719.74</v>
      </c>
      <c r="D18" s="35">
        <v>50971.716329385628</v>
      </c>
      <c r="F18" s="28" t="str">
        <f t="shared" si="0"/>
        <v>RICE BRAN FATTY ACIDS- PCP - LOCAL</v>
      </c>
      <c r="H18" s="31"/>
      <c r="I18" s="32"/>
      <c r="J18" s="31"/>
      <c r="K18" s="33">
        <f>SUM(J19:J22)/C18</f>
        <v>549.04533454858654</v>
      </c>
    </row>
    <row r="19" spans="1:11" ht="15" customHeight="1" x14ac:dyDescent="0.25">
      <c r="A19" s="12">
        <v>9</v>
      </c>
      <c r="B19" s="35">
        <v>6367350</v>
      </c>
      <c r="C19" s="32">
        <v>124.85</v>
      </c>
      <c r="D19" s="35">
        <v>51000</v>
      </c>
      <c r="F19" s="28">
        <f t="shared" si="0"/>
        <v>9</v>
      </c>
      <c r="G19" s="28">
        <f>F19-$G$3</f>
        <v>7</v>
      </c>
      <c r="H19" s="31">
        <f>VLOOKUP(G19,'Daily Rates Pivot'!$A$61:$I$71,7,FALSE)*100</f>
        <v>52300</v>
      </c>
      <c r="I19" s="32">
        <f t="shared" ref="I19:I22" si="6">H19-D19</f>
        <v>1300</v>
      </c>
      <c r="J19" s="31">
        <f t="shared" ref="J19:J22" si="7">I19*C19</f>
        <v>162305</v>
      </c>
      <c r="K19" s="33"/>
    </row>
    <row r="20" spans="1:11" ht="15" customHeight="1" x14ac:dyDescent="0.25">
      <c r="A20" s="12">
        <v>10</v>
      </c>
      <c r="B20" s="35">
        <v>12101417.525376</v>
      </c>
      <c r="C20" s="32">
        <v>236.11999999999998</v>
      </c>
      <c r="D20" s="35">
        <v>51251.133005996955</v>
      </c>
      <c r="F20" s="28">
        <f t="shared" si="0"/>
        <v>10</v>
      </c>
      <c r="G20" s="28">
        <f>F20-$G$3</f>
        <v>8</v>
      </c>
      <c r="H20" s="31">
        <f>VLOOKUP(G20,'Daily Rates Pivot'!$A$61:$I$71,7,FALSE)*100</f>
        <v>51900</v>
      </c>
      <c r="I20" s="32">
        <f t="shared" si="6"/>
        <v>648.86699400304497</v>
      </c>
      <c r="J20" s="31">
        <f t="shared" si="7"/>
        <v>153210.47462399895</v>
      </c>
      <c r="K20" s="33">
        <f>SUM(J21:J21)/C20</f>
        <v>0</v>
      </c>
    </row>
    <row r="21" spans="1:11" ht="15" customHeight="1" x14ac:dyDescent="0.25">
      <c r="A21" s="12">
        <v>11</v>
      </c>
      <c r="B21" s="35">
        <v>7470990</v>
      </c>
      <c r="C21" s="32">
        <v>146.49</v>
      </c>
      <c r="D21" s="35">
        <v>51000</v>
      </c>
      <c r="F21" s="28">
        <f t="shared" si="0"/>
        <v>11</v>
      </c>
      <c r="G21" s="28">
        <f>F21-$G$3</f>
        <v>9</v>
      </c>
      <c r="H21" s="31">
        <f>VLOOKUP(G21,'Daily Rates Pivot'!$A$61:$I$71,7,FALSE)*100</f>
        <v>51000</v>
      </c>
      <c r="I21" s="32">
        <f t="shared" si="6"/>
        <v>0</v>
      </c>
      <c r="J21" s="31">
        <f t="shared" si="7"/>
        <v>0</v>
      </c>
      <c r="K21" s="33"/>
    </row>
    <row r="22" spans="1:11" ht="15" customHeight="1" x14ac:dyDescent="0.25">
      <c r="A22" s="12">
        <v>12</v>
      </c>
      <c r="B22" s="35">
        <v>10746625.585536001</v>
      </c>
      <c r="C22" s="32">
        <v>212.28000000000003</v>
      </c>
      <c r="D22" s="35">
        <v>50624.767220350477</v>
      </c>
      <c r="F22" s="28">
        <f t="shared" si="0"/>
        <v>12</v>
      </c>
      <c r="G22" s="28">
        <f>F22-$G$3</f>
        <v>10</v>
      </c>
      <c r="H22" s="31">
        <f>VLOOKUP(G22,'Daily Rates Pivot'!$A$61:$I$71,7,FALSE)*100</f>
        <v>51000</v>
      </c>
      <c r="I22" s="32">
        <f t="shared" si="6"/>
        <v>375.23277964952285</v>
      </c>
      <c r="J22" s="31">
        <f t="shared" si="7"/>
        <v>79654.414464000729</v>
      </c>
      <c r="K22" s="33"/>
    </row>
    <row r="23" spans="1:11" ht="15" customHeight="1" x14ac:dyDescent="0.25">
      <c r="A23" s="12" t="s">
        <v>23</v>
      </c>
      <c r="B23" s="35">
        <v>5359294.2819999997</v>
      </c>
      <c r="C23" s="32">
        <v>59.03</v>
      </c>
      <c r="D23" s="35">
        <v>90789.332237845156</v>
      </c>
      <c r="F23" s="28" t="str">
        <f t="shared" ref="F23:F26" si="8">A23</f>
        <v>SOLVENT  COCONUT OIL</v>
      </c>
      <c r="H23" s="31"/>
      <c r="I23" s="32"/>
      <c r="J23" s="31"/>
      <c r="K23" s="33">
        <f>SUM(J24:J25)/C23</f>
        <v>49252.324243826326</v>
      </c>
    </row>
    <row r="24" spans="1:11" ht="15" customHeight="1" x14ac:dyDescent="0.25">
      <c r="A24" s="12">
        <v>9</v>
      </c>
      <c r="B24" s="35">
        <v>3636760</v>
      </c>
      <c r="C24" s="32">
        <v>39.5</v>
      </c>
      <c r="D24" s="35">
        <v>92069.873417721523</v>
      </c>
      <c r="F24" s="28">
        <f t="shared" si="8"/>
        <v>9</v>
      </c>
      <c r="G24" s="28">
        <f t="shared" ref="G24:G25" si="9">F24-$G$2</f>
        <v>5</v>
      </c>
      <c r="H24" s="31">
        <f>VLOOKUP(G24,'Daily Rates Pivot'!$A$61:$I$71,8,FALSE)-6000</f>
        <v>145224.80580428228</v>
      </c>
      <c r="I24" s="32">
        <f t="shared" ref="I24:I29" si="10">H24-D24</f>
        <v>53154.932386560758</v>
      </c>
      <c r="J24" s="31">
        <f t="shared" ref="J24:J29" si="11">I24*C24</f>
        <v>2099619.8292691498</v>
      </c>
      <c r="K24" s="33"/>
    </row>
    <row r="25" spans="1:11" ht="15" customHeight="1" x14ac:dyDescent="0.25">
      <c r="A25" s="12">
        <v>11</v>
      </c>
      <c r="B25" s="35">
        <v>1722534.2820000001</v>
      </c>
      <c r="C25" s="32">
        <v>19.53</v>
      </c>
      <c r="D25" s="35">
        <v>88199.4</v>
      </c>
      <c r="F25" s="28">
        <f t="shared" si="8"/>
        <v>11</v>
      </c>
      <c r="G25" s="28">
        <f t="shared" si="9"/>
        <v>7</v>
      </c>
      <c r="H25" s="31">
        <f>VLOOKUP(G25,'Daily Rates Pivot'!$A$61:$I$71,8,FALSE)-6000</f>
        <v>129558.58437500859</v>
      </c>
      <c r="I25" s="32">
        <f t="shared" si="10"/>
        <v>41359.184375008597</v>
      </c>
      <c r="J25" s="31">
        <f t="shared" si="11"/>
        <v>807744.87084391795</v>
      </c>
      <c r="K25" s="33"/>
    </row>
    <row r="26" spans="1:11" ht="15" customHeight="1" x14ac:dyDescent="0.25">
      <c r="A26" s="12" t="s">
        <v>20</v>
      </c>
      <c r="B26" s="35">
        <v>13275106.618484002</v>
      </c>
      <c r="C26" s="32">
        <v>120.63</v>
      </c>
      <c r="D26" s="35">
        <v>110048.13577455028</v>
      </c>
      <c r="F26" s="28" t="str">
        <f t="shared" si="8"/>
        <v>COCONUT OIL (CRUDE) LOCAL</v>
      </c>
      <c r="H26" s="31"/>
      <c r="I26" s="32"/>
      <c r="J26" s="31"/>
      <c r="K26" s="33">
        <f>SUM(J27:J29)/C26</f>
        <v>26073.275172605616</v>
      </c>
    </row>
    <row r="27" spans="1:11" ht="15" customHeight="1" x14ac:dyDescent="0.25">
      <c r="A27" s="12">
        <v>10</v>
      </c>
      <c r="B27" s="35">
        <v>6523593.7368840007</v>
      </c>
      <c r="C27" s="32">
        <v>59.85</v>
      </c>
      <c r="D27" s="35">
        <v>108999.05993122808</v>
      </c>
      <c r="F27" s="28">
        <f t="shared" ref="F27:F29" si="12">A27</f>
        <v>10</v>
      </c>
      <c r="G27" s="28">
        <f t="shared" ref="G27:G29" si="13">F27-$G$2</f>
        <v>6</v>
      </c>
      <c r="H27" s="31">
        <f>VLOOKUP(G27,'Daily Rates Pivot'!$A$61:$I$71,8,FALSE)</f>
        <v>141890.07626343929</v>
      </c>
      <c r="I27" s="32">
        <f t="shared" si="10"/>
        <v>32891.016332211206</v>
      </c>
      <c r="J27" s="31">
        <f t="shared" si="11"/>
        <v>1968527.3274828407</v>
      </c>
      <c r="K27" s="33"/>
    </row>
    <row r="28" spans="1:11" ht="15" customHeight="1" x14ac:dyDescent="0.25">
      <c r="A28" s="12">
        <v>12</v>
      </c>
      <c r="B28" s="35">
        <v>4518203.7463999996</v>
      </c>
      <c r="C28" s="32">
        <v>40.659999999999997</v>
      </c>
      <c r="D28" s="35">
        <v>111121.58746679784</v>
      </c>
      <c r="F28" s="28">
        <f t="shared" si="12"/>
        <v>12</v>
      </c>
      <c r="G28" s="28">
        <f t="shared" si="13"/>
        <v>8</v>
      </c>
      <c r="H28" s="31">
        <f>VLOOKUP(G28,'Daily Rates Pivot'!$A$61:$I$71,8,FALSE)</f>
        <v>129788.48476735211</v>
      </c>
      <c r="I28" s="32">
        <f t="shared" si="10"/>
        <v>18666.897300554279</v>
      </c>
      <c r="J28" s="31">
        <f t="shared" si="11"/>
        <v>758996.04424053698</v>
      </c>
      <c r="K28" s="33"/>
    </row>
    <row r="29" spans="1:11" ht="15" customHeight="1" x14ac:dyDescent="0.25">
      <c r="A29" s="12">
        <v>13</v>
      </c>
      <c r="B29" s="35">
        <v>2233309.1352000004</v>
      </c>
      <c r="C29" s="32">
        <v>20.12</v>
      </c>
      <c r="D29" s="35">
        <v>110999.46</v>
      </c>
      <c r="F29" s="28">
        <f t="shared" si="12"/>
        <v>13</v>
      </c>
      <c r="G29" s="28">
        <f t="shared" si="13"/>
        <v>9</v>
      </c>
      <c r="H29" s="31">
        <f>VLOOKUP(G29,'Daily Rates Pivot'!$A$61:$I$71,8,FALSE)</f>
        <v>131759.68924195017</v>
      </c>
      <c r="I29" s="32">
        <f t="shared" si="10"/>
        <v>20760.229241950161</v>
      </c>
      <c r="J29" s="31">
        <f t="shared" si="11"/>
        <v>417695.81234803726</v>
      </c>
      <c r="K29" s="33"/>
    </row>
    <row r="30" spans="1:11" ht="15" customHeight="1" x14ac:dyDescent="0.25">
      <c r="A30" s="12" t="s">
        <v>39</v>
      </c>
      <c r="B30" s="35">
        <v>167096706.981096</v>
      </c>
      <c r="C30" s="32">
        <v>2804.32</v>
      </c>
      <c r="D30" s="35">
        <v>59585.463492431663</v>
      </c>
      <c r="H30" s="31"/>
      <c r="I30" s="32"/>
      <c r="J30" s="31"/>
      <c r="K30" s="33"/>
    </row>
    <row r="31" spans="1:11" ht="15" customHeight="1" x14ac:dyDescent="0.25">
      <c r="A31"/>
      <c r="B31"/>
      <c r="C31"/>
      <c r="D31"/>
      <c r="H31" s="31"/>
      <c r="I31" s="32"/>
      <c r="J31" s="31"/>
      <c r="K31" s="33"/>
    </row>
    <row r="32" spans="1:11" ht="15" customHeight="1" x14ac:dyDescent="0.25">
      <c r="A32"/>
      <c r="B32"/>
      <c r="C32"/>
      <c r="D32"/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B1" sqref="B1"/>
    </sheetView>
  </sheetViews>
  <sheetFormatPr defaultRowHeight="12.75" x14ac:dyDescent="0.2"/>
  <cols>
    <col min="1" max="1" width="50.42578125" style="1" bestFit="1" customWidth="1"/>
    <col min="2" max="2" width="39.42578125" style="1" bestFit="1" customWidth="1"/>
    <col min="3" max="3" width="10.140625" style="1" bestFit="1" customWidth="1"/>
    <col min="4" max="5" width="9.140625" style="1"/>
    <col min="6" max="6" width="9.42578125" style="1" bestFit="1" customWidth="1"/>
    <col min="7" max="7" width="9.7109375" style="1" bestFit="1" customWidth="1"/>
    <col min="8" max="8" width="12.140625" style="14" bestFit="1" customWidth="1"/>
    <col min="9" max="9" width="9.42578125" style="1" bestFit="1" customWidth="1"/>
    <col min="10" max="10" width="9.7109375" style="1" bestFit="1" customWidth="1"/>
    <col min="11" max="12" width="9.42578125" style="1" bestFit="1" customWidth="1"/>
    <col min="13" max="13" width="12.140625" style="1" bestFit="1" customWidth="1"/>
    <col min="14" max="14" width="9.7109375" style="1" bestFit="1" customWidth="1"/>
    <col min="15" max="15" width="9.42578125" style="1" bestFit="1" customWidth="1"/>
    <col min="16" max="16" width="12.140625" style="1" bestFit="1" customWidth="1"/>
    <col min="17" max="17" width="9.42578125" style="1" bestFit="1" customWidth="1"/>
    <col min="18" max="18" width="9.140625" style="1"/>
    <col min="19" max="19" width="12.140625" style="1" bestFit="1" customWidth="1"/>
    <col min="20" max="16384" width="9.140625" style="1"/>
  </cols>
  <sheetData>
    <row r="1" spans="1:19" ht="51" x14ac:dyDescent="0.2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9" x14ac:dyDescent="0.2">
      <c r="A2" s="5" t="s">
        <v>12</v>
      </c>
      <c r="B2" s="5" t="s">
        <v>13</v>
      </c>
      <c r="C2" s="6">
        <v>42461</v>
      </c>
      <c r="D2" s="5">
        <f>MONTH(C2)</f>
        <v>4</v>
      </c>
      <c r="E2" s="5">
        <f>WEEKNUM(C2)</f>
        <v>14</v>
      </c>
      <c r="F2" s="9">
        <v>28.46</v>
      </c>
      <c r="G2" s="9">
        <v>45686.3</v>
      </c>
      <c r="H2" s="36">
        <f>G2*F2</f>
        <v>1300232.0980000002</v>
      </c>
      <c r="I2" s="9">
        <v>0</v>
      </c>
      <c r="J2" s="9">
        <v>0</v>
      </c>
      <c r="K2" s="9">
        <v>0</v>
      </c>
      <c r="L2" s="9">
        <v>0</v>
      </c>
      <c r="M2" s="9">
        <f>H2+I2+J2+K2+L2</f>
        <v>1300232.0980000002</v>
      </c>
      <c r="N2" s="9">
        <f>M2*2%</f>
        <v>26004.641960000004</v>
      </c>
      <c r="O2" s="9">
        <v>0</v>
      </c>
      <c r="P2" s="9">
        <f t="shared" ref="P2:P3" si="0">M2+N2+O2*Q2</f>
        <v>1326236.7399600002</v>
      </c>
      <c r="Q2" s="9">
        <v>28.46</v>
      </c>
    </row>
    <row r="3" spans="1:19" x14ac:dyDescent="0.2">
      <c r="A3" s="5" t="s">
        <v>16</v>
      </c>
      <c r="B3" s="5" t="s">
        <v>15</v>
      </c>
      <c r="C3" s="6">
        <v>42461</v>
      </c>
      <c r="D3" s="5">
        <f t="shared" ref="D3:D66" si="1">MONTH(C3)</f>
        <v>4</v>
      </c>
      <c r="E3" s="5">
        <f t="shared" ref="E3:E66" si="2">WEEKNUM(C3)</f>
        <v>14</v>
      </c>
      <c r="F3" s="9">
        <v>30.08</v>
      </c>
      <c r="G3" s="9">
        <v>45072.41</v>
      </c>
      <c r="H3" s="36">
        <f t="shared" ref="H3:H66" si="3">G3*F3</f>
        <v>1355778.0928</v>
      </c>
      <c r="I3" s="9">
        <v>0</v>
      </c>
      <c r="J3" s="9">
        <v>0</v>
      </c>
      <c r="K3" s="9">
        <v>0</v>
      </c>
      <c r="L3" s="9">
        <v>0</v>
      </c>
      <c r="M3" s="9">
        <f t="shared" ref="M3:M66" si="4">H3+I3+J3+K3+L3</f>
        <v>1355778.0928</v>
      </c>
      <c r="N3" s="9">
        <v>0</v>
      </c>
      <c r="O3" s="9">
        <v>0</v>
      </c>
      <c r="P3" s="9">
        <f t="shared" si="0"/>
        <v>1355778.0928</v>
      </c>
      <c r="Q3" s="9">
        <v>30.08</v>
      </c>
    </row>
    <row r="4" spans="1:19" x14ac:dyDescent="0.2">
      <c r="A4" s="5" t="s">
        <v>17</v>
      </c>
      <c r="B4" s="5" t="s">
        <v>18</v>
      </c>
      <c r="C4" s="6">
        <v>42461</v>
      </c>
      <c r="D4" s="5">
        <f t="shared" si="1"/>
        <v>4</v>
      </c>
      <c r="E4" s="5">
        <f t="shared" si="2"/>
        <v>14</v>
      </c>
      <c r="F4" s="9">
        <v>26.84</v>
      </c>
      <c r="G4" s="9">
        <v>48500</v>
      </c>
      <c r="H4" s="36">
        <f t="shared" si="3"/>
        <v>1301740</v>
      </c>
      <c r="I4" s="9">
        <v>0</v>
      </c>
      <c r="J4" s="9">
        <v>0</v>
      </c>
      <c r="K4" s="9">
        <v>0</v>
      </c>
      <c r="L4" s="9">
        <v>0</v>
      </c>
      <c r="M4" s="9">
        <f t="shared" si="4"/>
        <v>1301740</v>
      </c>
      <c r="N4" s="9">
        <v>0</v>
      </c>
      <c r="O4" s="9">
        <v>0</v>
      </c>
      <c r="P4" s="9">
        <f>M4+N4+O4*Q4</f>
        <v>1301740</v>
      </c>
      <c r="Q4" s="9">
        <v>26.84</v>
      </c>
    </row>
    <row r="5" spans="1:19" x14ac:dyDescent="0.2">
      <c r="A5" s="5" t="s">
        <v>19</v>
      </c>
      <c r="B5" s="5" t="s">
        <v>20</v>
      </c>
      <c r="C5" s="6">
        <v>42461</v>
      </c>
      <c r="D5" s="5">
        <f t="shared" si="1"/>
        <v>4</v>
      </c>
      <c r="E5" s="5">
        <f t="shared" si="2"/>
        <v>14</v>
      </c>
      <c r="F5" s="9">
        <v>23.54</v>
      </c>
      <c r="G5" s="9">
        <v>81210</v>
      </c>
      <c r="H5" s="36">
        <f t="shared" si="3"/>
        <v>1911683.4</v>
      </c>
      <c r="I5" s="9">
        <v>0</v>
      </c>
      <c r="J5" s="9">
        <v>0</v>
      </c>
      <c r="K5" s="9">
        <v>0</v>
      </c>
      <c r="L5" s="9">
        <v>0</v>
      </c>
      <c r="M5" s="9">
        <f t="shared" si="4"/>
        <v>1911683.4</v>
      </c>
      <c r="N5" s="9">
        <f>M5*2%</f>
        <v>38233.667999999998</v>
      </c>
      <c r="O5" s="9">
        <v>0</v>
      </c>
      <c r="P5" s="9">
        <f t="shared" ref="P5:P68" si="5">M5+N5+O5*Q5</f>
        <v>1949917.068</v>
      </c>
      <c r="Q5" s="9">
        <v>23.54</v>
      </c>
      <c r="S5" s="1">
        <f>P5/Q5</f>
        <v>82834.2</v>
      </c>
    </row>
    <row r="6" spans="1:19" x14ac:dyDescent="0.2">
      <c r="A6" s="5" t="s">
        <v>12</v>
      </c>
      <c r="B6" s="5" t="s">
        <v>13</v>
      </c>
      <c r="C6" s="6">
        <v>42462</v>
      </c>
      <c r="D6" s="5">
        <f t="shared" si="1"/>
        <v>4</v>
      </c>
      <c r="E6" s="5">
        <f t="shared" si="2"/>
        <v>14</v>
      </c>
      <c r="F6" s="9">
        <v>28.57</v>
      </c>
      <c r="G6" s="9">
        <v>45686.3</v>
      </c>
      <c r="H6" s="36">
        <f t="shared" si="3"/>
        <v>1305257.591</v>
      </c>
      <c r="I6" s="9">
        <v>0</v>
      </c>
      <c r="J6" s="9">
        <v>0</v>
      </c>
      <c r="K6" s="9">
        <v>0</v>
      </c>
      <c r="L6" s="9">
        <v>0</v>
      </c>
      <c r="M6" s="9">
        <f t="shared" si="4"/>
        <v>1305257.591</v>
      </c>
      <c r="N6" s="9">
        <f t="shared" ref="N6:N8" si="6">M6*2%</f>
        <v>26105.151819999999</v>
      </c>
      <c r="O6" s="9">
        <v>0</v>
      </c>
      <c r="P6" s="9">
        <f t="shared" si="5"/>
        <v>1331362.74282</v>
      </c>
      <c r="Q6" s="9">
        <v>28.57</v>
      </c>
    </row>
    <row r="7" spans="1:19" x14ac:dyDescent="0.2">
      <c r="A7" s="5" t="s">
        <v>12</v>
      </c>
      <c r="B7" s="5" t="s">
        <v>13</v>
      </c>
      <c r="C7" s="6">
        <v>42463</v>
      </c>
      <c r="D7" s="5">
        <f t="shared" si="1"/>
        <v>4</v>
      </c>
      <c r="E7" s="5">
        <f t="shared" si="2"/>
        <v>15</v>
      </c>
      <c r="F7" s="9">
        <v>28.48</v>
      </c>
      <c r="G7" s="9">
        <v>49411.8</v>
      </c>
      <c r="H7" s="36">
        <f t="shared" si="3"/>
        <v>1407248.064</v>
      </c>
      <c r="I7" s="9">
        <v>0</v>
      </c>
      <c r="J7" s="9">
        <v>0</v>
      </c>
      <c r="K7" s="9">
        <v>0</v>
      </c>
      <c r="L7" s="9">
        <v>0</v>
      </c>
      <c r="M7" s="9">
        <f t="shared" si="4"/>
        <v>1407248.064</v>
      </c>
      <c r="N7" s="9">
        <f t="shared" si="6"/>
        <v>28144.96128</v>
      </c>
      <c r="O7" s="9">
        <v>0</v>
      </c>
      <c r="P7" s="9">
        <f t="shared" si="5"/>
        <v>1435393.0252799999</v>
      </c>
      <c r="Q7" s="9">
        <v>28.48</v>
      </c>
    </row>
    <row r="8" spans="1:19" x14ac:dyDescent="0.2">
      <c r="A8" s="5" t="s">
        <v>12</v>
      </c>
      <c r="B8" s="5" t="s">
        <v>13</v>
      </c>
      <c r="C8" s="6">
        <v>42463</v>
      </c>
      <c r="D8" s="5">
        <f t="shared" si="1"/>
        <v>4</v>
      </c>
      <c r="E8" s="5">
        <f t="shared" si="2"/>
        <v>15</v>
      </c>
      <c r="F8" s="9">
        <v>28.43</v>
      </c>
      <c r="G8" s="9">
        <v>49411.8</v>
      </c>
      <c r="H8" s="36">
        <f t="shared" si="3"/>
        <v>1404777.4740000002</v>
      </c>
      <c r="I8" s="9">
        <v>0</v>
      </c>
      <c r="J8" s="9">
        <v>0</v>
      </c>
      <c r="K8" s="9">
        <v>0</v>
      </c>
      <c r="L8" s="9">
        <v>0</v>
      </c>
      <c r="M8" s="9">
        <f t="shared" si="4"/>
        <v>1404777.4740000002</v>
      </c>
      <c r="N8" s="9">
        <f t="shared" si="6"/>
        <v>28095.549480000005</v>
      </c>
      <c r="O8" s="9">
        <v>0</v>
      </c>
      <c r="P8" s="9">
        <f t="shared" si="5"/>
        <v>1432873.0234800002</v>
      </c>
      <c r="Q8" s="9">
        <v>28.43</v>
      </c>
    </row>
    <row r="9" spans="1:19" x14ac:dyDescent="0.2">
      <c r="A9" s="5" t="s">
        <v>21</v>
      </c>
      <c r="B9" s="5" t="s">
        <v>15</v>
      </c>
      <c r="C9" s="6">
        <v>42463</v>
      </c>
      <c r="D9" s="5">
        <f t="shared" si="1"/>
        <v>4</v>
      </c>
      <c r="E9" s="5">
        <f t="shared" si="2"/>
        <v>15</v>
      </c>
      <c r="F9" s="9">
        <v>27.43</v>
      </c>
      <c r="G9" s="9">
        <v>46200</v>
      </c>
      <c r="H9" s="36">
        <f t="shared" si="3"/>
        <v>1267266</v>
      </c>
      <c r="I9" s="9">
        <v>0</v>
      </c>
      <c r="J9" s="9">
        <v>0</v>
      </c>
      <c r="K9" s="9">
        <v>0</v>
      </c>
      <c r="L9" s="9">
        <v>0</v>
      </c>
      <c r="M9" s="9">
        <f t="shared" si="4"/>
        <v>1267266</v>
      </c>
      <c r="N9" s="9">
        <v>0</v>
      </c>
      <c r="O9" s="9">
        <v>0</v>
      </c>
      <c r="P9" s="9">
        <f t="shared" si="5"/>
        <v>1267266</v>
      </c>
      <c r="Q9" s="9">
        <v>27.43</v>
      </c>
    </row>
    <row r="10" spans="1:19" x14ac:dyDescent="0.2">
      <c r="A10" s="5" t="s">
        <v>22</v>
      </c>
      <c r="B10" s="5" t="s">
        <v>15</v>
      </c>
      <c r="C10" s="6">
        <v>42463</v>
      </c>
      <c r="D10" s="5">
        <f t="shared" si="1"/>
        <v>4</v>
      </c>
      <c r="E10" s="5">
        <f t="shared" si="2"/>
        <v>15</v>
      </c>
      <c r="F10" s="9">
        <v>26.7</v>
      </c>
      <c r="G10" s="9">
        <v>44096.83</v>
      </c>
      <c r="H10" s="36">
        <f t="shared" si="3"/>
        <v>1177385.361</v>
      </c>
      <c r="I10" s="9">
        <v>0</v>
      </c>
      <c r="J10" s="9">
        <v>0</v>
      </c>
      <c r="K10" s="9">
        <v>0</v>
      </c>
      <c r="L10" s="9">
        <v>0</v>
      </c>
      <c r="M10" s="9">
        <f t="shared" si="4"/>
        <v>1177385.361</v>
      </c>
      <c r="N10" s="9">
        <v>0</v>
      </c>
      <c r="O10" s="9">
        <v>0</v>
      </c>
      <c r="P10" s="9">
        <f t="shared" si="5"/>
        <v>1177385.361</v>
      </c>
      <c r="Q10" s="9">
        <v>26.7</v>
      </c>
    </row>
    <row r="11" spans="1:19" x14ac:dyDescent="0.2">
      <c r="A11" s="5" t="s">
        <v>22</v>
      </c>
      <c r="B11" s="5" t="s">
        <v>15</v>
      </c>
      <c r="C11" s="6">
        <v>42463</v>
      </c>
      <c r="D11" s="5">
        <f t="shared" si="1"/>
        <v>4</v>
      </c>
      <c r="E11" s="5">
        <f t="shared" si="2"/>
        <v>15</v>
      </c>
      <c r="F11" s="9">
        <v>30.78</v>
      </c>
      <c r="G11" s="9">
        <v>43000</v>
      </c>
      <c r="H11" s="36">
        <f t="shared" si="3"/>
        <v>1323540</v>
      </c>
      <c r="I11" s="9">
        <v>0</v>
      </c>
      <c r="J11" s="9">
        <v>0</v>
      </c>
      <c r="K11" s="9">
        <v>0</v>
      </c>
      <c r="L11" s="9">
        <v>0</v>
      </c>
      <c r="M11" s="9">
        <f t="shared" si="4"/>
        <v>1323540</v>
      </c>
      <c r="N11" s="9">
        <v>0</v>
      </c>
      <c r="O11" s="9">
        <v>0</v>
      </c>
      <c r="P11" s="9">
        <f t="shared" si="5"/>
        <v>1323540</v>
      </c>
      <c r="Q11" s="9">
        <v>30.78</v>
      </c>
    </row>
    <row r="12" spans="1:19" x14ac:dyDescent="0.2">
      <c r="A12" s="5" t="s">
        <v>17</v>
      </c>
      <c r="B12" s="5" t="s">
        <v>18</v>
      </c>
      <c r="C12" s="6">
        <v>42464</v>
      </c>
      <c r="D12" s="5">
        <f t="shared" si="1"/>
        <v>4</v>
      </c>
      <c r="E12" s="5">
        <f t="shared" si="2"/>
        <v>15</v>
      </c>
      <c r="F12" s="9">
        <v>30.79</v>
      </c>
      <c r="G12" s="9">
        <v>48160.3</v>
      </c>
      <c r="H12" s="36">
        <f t="shared" si="3"/>
        <v>1482855.6370000001</v>
      </c>
      <c r="I12" s="9">
        <v>0</v>
      </c>
      <c r="J12" s="9">
        <v>0</v>
      </c>
      <c r="K12" s="9">
        <v>0</v>
      </c>
      <c r="L12" s="9">
        <v>0</v>
      </c>
      <c r="M12" s="9">
        <f t="shared" si="4"/>
        <v>1482855.6370000001</v>
      </c>
      <c r="N12" s="9">
        <v>0</v>
      </c>
      <c r="O12" s="9">
        <v>0</v>
      </c>
      <c r="P12" s="9">
        <f t="shared" si="5"/>
        <v>1482855.6370000001</v>
      </c>
      <c r="Q12" s="9">
        <v>30.79</v>
      </c>
    </row>
    <row r="13" spans="1:19" x14ac:dyDescent="0.2">
      <c r="A13" s="5" t="s">
        <v>22</v>
      </c>
      <c r="B13" s="5" t="s">
        <v>15</v>
      </c>
      <c r="C13" s="6">
        <v>42464</v>
      </c>
      <c r="D13" s="5">
        <f t="shared" si="1"/>
        <v>4</v>
      </c>
      <c r="E13" s="5">
        <f t="shared" si="2"/>
        <v>15</v>
      </c>
      <c r="F13" s="9">
        <v>30.6</v>
      </c>
      <c r="G13" s="9">
        <v>44900</v>
      </c>
      <c r="H13" s="36">
        <f t="shared" si="3"/>
        <v>1373940</v>
      </c>
      <c r="I13" s="9">
        <v>0</v>
      </c>
      <c r="J13" s="9">
        <v>0</v>
      </c>
      <c r="K13" s="9">
        <v>0</v>
      </c>
      <c r="L13" s="9">
        <v>0</v>
      </c>
      <c r="M13" s="9">
        <f t="shared" si="4"/>
        <v>1373940</v>
      </c>
      <c r="N13" s="9">
        <v>0</v>
      </c>
      <c r="O13" s="9">
        <v>0</v>
      </c>
      <c r="P13" s="9">
        <f t="shared" si="5"/>
        <v>1373940</v>
      </c>
      <c r="Q13" s="9">
        <v>30.6</v>
      </c>
    </row>
    <row r="14" spans="1:19" x14ac:dyDescent="0.2">
      <c r="A14" s="5" t="s">
        <v>19</v>
      </c>
      <c r="B14" s="5" t="s">
        <v>23</v>
      </c>
      <c r="C14" s="6">
        <v>42464</v>
      </c>
      <c r="D14" s="5">
        <f t="shared" si="1"/>
        <v>4</v>
      </c>
      <c r="E14" s="5">
        <f t="shared" si="2"/>
        <v>15</v>
      </c>
      <c r="F14" s="9">
        <v>23.99</v>
      </c>
      <c r="G14" s="9">
        <v>79260</v>
      </c>
      <c r="H14" s="36">
        <f t="shared" si="3"/>
        <v>1901447.4</v>
      </c>
      <c r="I14" s="9">
        <v>0</v>
      </c>
      <c r="J14" s="9">
        <v>0</v>
      </c>
      <c r="K14" s="9">
        <v>3879</v>
      </c>
      <c r="L14" s="9">
        <v>0</v>
      </c>
      <c r="M14" s="9">
        <f t="shared" si="4"/>
        <v>1905326.4</v>
      </c>
      <c r="N14" s="9">
        <v>38028.947999999997</v>
      </c>
      <c r="O14" s="9">
        <v>0</v>
      </c>
      <c r="P14" s="9">
        <f t="shared" si="5"/>
        <v>1943355.348</v>
      </c>
      <c r="Q14" s="9">
        <v>23.99</v>
      </c>
    </row>
    <row r="15" spans="1:19" x14ac:dyDescent="0.2">
      <c r="A15" s="5" t="s">
        <v>16</v>
      </c>
      <c r="B15" s="5" t="s">
        <v>18</v>
      </c>
      <c r="C15" s="6">
        <v>42465</v>
      </c>
      <c r="D15" s="5">
        <f t="shared" si="1"/>
        <v>4</v>
      </c>
      <c r="E15" s="5">
        <f t="shared" si="2"/>
        <v>15</v>
      </c>
      <c r="F15" s="9">
        <v>29.46</v>
      </c>
      <c r="G15" s="9">
        <v>44905.95</v>
      </c>
      <c r="H15" s="36">
        <f t="shared" si="3"/>
        <v>1322929.287</v>
      </c>
      <c r="I15" s="9">
        <v>0</v>
      </c>
      <c r="J15" s="9">
        <v>0</v>
      </c>
      <c r="K15" s="9">
        <v>0</v>
      </c>
      <c r="L15" s="9">
        <v>0</v>
      </c>
      <c r="M15" s="9">
        <f t="shared" si="4"/>
        <v>1322929.287</v>
      </c>
      <c r="N15" s="9">
        <v>0</v>
      </c>
      <c r="O15" s="9">
        <v>0</v>
      </c>
      <c r="P15" s="9">
        <f t="shared" si="5"/>
        <v>1322929.287</v>
      </c>
      <c r="Q15" s="9">
        <v>29.46</v>
      </c>
    </row>
    <row r="16" spans="1:19" x14ac:dyDescent="0.2">
      <c r="A16" s="5" t="s">
        <v>12</v>
      </c>
      <c r="B16" s="5" t="s">
        <v>13</v>
      </c>
      <c r="C16" s="6">
        <v>42465</v>
      </c>
      <c r="D16" s="5">
        <f t="shared" si="1"/>
        <v>4</v>
      </c>
      <c r="E16" s="5">
        <f t="shared" si="2"/>
        <v>15</v>
      </c>
      <c r="F16" s="9">
        <v>27.97</v>
      </c>
      <c r="G16" s="9">
        <v>49411.8</v>
      </c>
      <c r="H16" s="36">
        <f t="shared" si="3"/>
        <v>1382048.0460000001</v>
      </c>
      <c r="I16" s="9">
        <v>0</v>
      </c>
      <c r="J16" s="9">
        <v>0</v>
      </c>
      <c r="K16" s="9">
        <v>0</v>
      </c>
      <c r="L16" s="9">
        <v>0</v>
      </c>
      <c r="M16" s="9">
        <f t="shared" si="4"/>
        <v>1382048.0460000001</v>
      </c>
      <c r="N16" s="9">
        <f t="shared" ref="N16:N18" si="7">M16*2%</f>
        <v>27640.960920000001</v>
      </c>
      <c r="O16" s="9">
        <v>0</v>
      </c>
      <c r="P16" s="9">
        <f t="shared" si="5"/>
        <v>1409689.0069200001</v>
      </c>
      <c r="Q16" s="9">
        <v>27.97</v>
      </c>
    </row>
    <row r="17" spans="1:17" x14ac:dyDescent="0.2">
      <c r="A17" s="5" t="s">
        <v>12</v>
      </c>
      <c r="B17" s="5" t="s">
        <v>13</v>
      </c>
      <c r="C17" s="6">
        <v>42465</v>
      </c>
      <c r="D17" s="5">
        <f t="shared" si="1"/>
        <v>4</v>
      </c>
      <c r="E17" s="5">
        <f t="shared" si="2"/>
        <v>15</v>
      </c>
      <c r="F17" s="9">
        <v>27.5</v>
      </c>
      <c r="G17" s="9">
        <v>49411.8</v>
      </c>
      <c r="H17" s="36">
        <f t="shared" si="3"/>
        <v>1358824.5</v>
      </c>
      <c r="I17" s="9">
        <v>0</v>
      </c>
      <c r="J17" s="9">
        <v>0</v>
      </c>
      <c r="K17" s="9">
        <v>0</v>
      </c>
      <c r="L17" s="9">
        <v>0</v>
      </c>
      <c r="M17" s="9">
        <f t="shared" si="4"/>
        <v>1358824.5</v>
      </c>
      <c r="N17" s="9">
        <f t="shared" si="7"/>
        <v>27176.49</v>
      </c>
      <c r="O17" s="9">
        <v>0</v>
      </c>
      <c r="P17" s="9">
        <f t="shared" si="5"/>
        <v>1386000.99</v>
      </c>
      <c r="Q17" s="9">
        <v>27.5</v>
      </c>
    </row>
    <row r="18" spans="1:17" x14ac:dyDescent="0.2">
      <c r="A18" s="5" t="s">
        <v>12</v>
      </c>
      <c r="B18" s="5" t="s">
        <v>13</v>
      </c>
      <c r="C18" s="6">
        <v>42465</v>
      </c>
      <c r="D18" s="5">
        <f t="shared" si="1"/>
        <v>4</v>
      </c>
      <c r="E18" s="5">
        <f t="shared" si="2"/>
        <v>15</v>
      </c>
      <c r="F18" s="9">
        <v>28.55</v>
      </c>
      <c r="G18" s="9">
        <v>49411.8</v>
      </c>
      <c r="H18" s="36">
        <f t="shared" si="3"/>
        <v>1410706.8900000001</v>
      </c>
      <c r="I18" s="9">
        <v>0</v>
      </c>
      <c r="J18" s="9">
        <v>0</v>
      </c>
      <c r="K18" s="9">
        <v>0</v>
      </c>
      <c r="L18" s="9">
        <v>0</v>
      </c>
      <c r="M18" s="9">
        <f t="shared" si="4"/>
        <v>1410706.8900000001</v>
      </c>
      <c r="N18" s="9">
        <f t="shared" si="7"/>
        <v>28214.137800000004</v>
      </c>
      <c r="O18" s="9">
        <v>0</v>
      </c>
      <c r="P18" s="9">
        <f t="shared" si="5"/>
        <v>1438921.0278</v>
      </c>
      <c r="Q18" s="9">
        <v>28.55</v>
      </c>
    </row>
    <row r="19" spans="1:17" x14ac:dyDescent="0.2">
      <c r="A19" s="5" t="s">
        <v>19</v>
      </c>
      <c r="B19" s="5" t="s">
        <v>23</v>
      </c>
      <c r="C19" s="6">
        <v>42465</v>
      </c>
      <c r="D19" s="5">
        <f t="shared" si="1"/>
        <v>4</v>
      </c>
      <c r="E19" s="5">
        <f t="shared" si="2"/>
        <v>15</v>
      </c>
      <c r="F19" s="9">
        <v>20.21</v>
      </c>
      <c r="G19" s="9">
        <v>78770</v>
      </c>
      <c r="H19" s="36">
        <f t="shared" si="3"/>
        <v>1591941.7</v>
      </c>
      <c r="I19" s="9">
        <v>0</v>
      </c>
      <c r="J19" s="9">
        <v>0</v>
      </c>
      <c r="K19" s="9">
        <v>3249</v>
      </c>
      <c r="L19" s="9">
        <v>0</v>
      </c>
      <c r="M19" s="9">
        <f t="shared" si="4"/>
        <v>1595190.7</v>
      </c>
      <c r="N19" s="9">
        <v>31854.588</v>
      </c>
      <c r="O19" s="9">
        <v>0</v>
      </c>
      <c r="P19" s="9">
        <f t="shared" si="5"/>
        <v>1627045.2879999999</v>
      </c>
      <c r="Q19" s="9">
        <v>20.21</v>
      </c>
    </row>
    <row r="20" spans="1:17" x14ac:dyDescent="0.2">
      <c r="A20" s="5" t="s">
        <v>21</v>
      </c>
      <c r="B20" s="5" t="s">
        <v>15</v>
      </c>
      <c r="C20" s="6">
        <v>42466</v>
      </c>
      <c r="D20" s="5">
        <f t="shared" si="1"/>
        <v>4</v>
      </c>
      <c r="E20" s="5">
        <f t="shared" si="2"/>
        <v>15</v>
      </c>
      <c r="F20" s="9">
        <v>26.93</v>
      </c>
      <c r="G20" s="9">
        <v>46048.61</v>
      </c>
      <c r="H20" s="36">
        <f t="shared" si="3"/>
        <v>1240089.0673</v>
      </c>
      <c r="I20" s="9">
        <v>0</v>
      </c>
      <c r="J20" s="9">
        <v>0</v>
      </c>
      <c r="K20" s="9">
        <v>0</v>
      </c>
      <c r="L20" s="9">
        <v>0</v>
      </c>
      <c r="M20" s="9">
        <f t="shared" si="4"/>
        <v>1240089.0673</v>
      </c>
      <c r="N20" s="9">
        <v>0</v>
      </c>
      <c r="O20" s="9">
        <v>0</v>
      </c>
      <c r="P20" s="9">
        <f t="shared" si="5"/>
        <v>1240089.0673</v>
      </c>
      <c r="Q20" s="9">
        <v>26.93</v>
      </c>
    </row>
    <row r="21" spans="1:17" x14ac:dyDescent="0.2">
      <c r="A21" s="5" t="s">
        <v>24</v>
      </c>
      <c r="B21" s="5" t="s">
        <v>15</v>
      </c>
      <c r="C21" s="6">
        <v>42466</v>
      </c>
      <c r="D21" s="5">
        <f t="shared" si="1"/>
        <v>4</v>
      </c>
      <c r="E21" s="5">
        <f t="shared" si="2"/>
        <v>15</v>
      </c>
      <c r="F21" s="9">
        <v>27.64</v>
      </c>
      <c r="G21" s="9">
        <v>45500</v>
      </c>
      <c r="H21" s="36">
        <f t="shared" si="3"/>
        <v>1257620</v>
      </c>
      <c r="I21" s="9">
        <v>0</v>
      </c>
      <c r="J21" s="9">
        <v>0</v>
      </c>
      <c r="K21" s="9">
        <v>0</v>
      </c>
      <c r="L21" s="9">
        <v>0</v>
      </c>
      <c r="M21" s="9">
        <f t="shared" si="4"/>
        <v>1257620</v>
      </c>
      <c r="N21" s="9">
        <v>0</v>
      </c>
      <c r="O21" s="9">
        <v>0</v>
      </c>
      <c r="P21" s="9">
        <f t="shared" si="5"/>
        <v>1257620</v>
      </c>
      <c r="Q21" s="9">
        <v>27.64</v>
      </c>
    </row>
    <row r="22" spans="1:17" x14ac:dyDescent="0.2">
      <c r="A22" s="5" t="s">
        <v>24</v>
      </c>
      <c r="B22" s="5" t="s">
        <v>15</v>
      </c>
      <c r="C22" s="6">
        <v>42466</v>
      </c>
      <c r="D22" s="5">
        <f t="shared" si="1"/>
        <v>4</v>
      </c>
      <c r="E22" s="5">
        <f t="shared" si="2"/>
        <v>15</v>
      </c>
      <c r="F22" s="9">
        <v>26.5</v>
      </c>
      <c r="G22" s="9">
        <v>45160.03</v>
      </c>
      <c r="H22" s="36">
        <f t="shared" si="3"/>
        <v>1196740.7949999999</v>
      </c>
      <c r="I22" s="9">
        <v>0</v>
      </c>
      <c r="J22" s="9">
        <v>0</v>
      </c>
      <c r="K22" s="9">
        <v>0</v>
      </c>
      <c r="L22" s="9">
        <v>0</v>
      </c>
      <c r="M22" s="9">
        <f t="shared" si="4"/>
        <v>1196740.7949999999</v>
      </c>
      <c r="N22" s="9">
        <v>0</v>
      </c>
      <c r="O22" s="9">
        <v>0</v>
      </c>
      <c r="P22" s="9">
        <f t="shared" si="5"/>
        <v>1196740.7949999999</v>
      </c>
      <c r="Q22" s="9">
        <v>26.5</v>
      </c>
    </row>
    <row r="23" spans="1:17" x14ac:dyDescent="0.2">
      <c r="A23" s="5" t="s">
        <v>14</v>
      </c>
      <c r="B23" s="5" t="s">
        <v>15</v>
      </c>
      <c r="C23" s="6">
        <v>42466</v>
      </c>
      <c r="D23" s="5">
        <f t="shared" si="1"/>
        <v>4</v>
      </c>
      <c r="E23" s="5">
        <f t="shared" si="2"/>
        <v>15</v>
      </c>
      <c r="F23" s="9">
        <v>35.65</v>
      </c>
      <c r="G23" s="9">
        <v>45700</v>
      </c>
      <c r="H23" s="36">
        <f t="shared" si="3"/>
        <v>1629205</v>
      </c>
      <c r="I23" s="9">
        <v>0</v>
      </c>
      <c r="J23" s="9">
        <v>0</v>
      </c>
      <c r="K23" s="9">
        <v>0</v>
      </c>
      <c r="L23" s="9">
        <v>0</v>
      </c>
      <c r="M23" s="9">
        <f t="shared" si="4"/>
        <v>1629205</v>
      </c>
      <c r="N23" s="9">
        <v>0</v>
      </c>
      <c r="O23" s="9">
        <v>0</v>
      </c>
      <c r="P23" s="9">
        <f t="shared" si="5"/>
        <v>1629205</v>
      </c>
      <c r="Q23" s="9">
        <v>35.65</v>
      </c>
    </row>
    <row r="24" spans="1:17" x14ac:dyDescent="0.2">
      <c r="A24" s="5" t="s">
        <v>19</v>
      </c>
      <c r="B24" s="5" t="s">
        <v>23</v>
      </c>
      <c r="C24" s="6">
        <v>42466</v>
      </c>
      <c r="D24" s="5">
        <f t="shared" si="1"/>
        <v>4</v>
      </c>
      <c r="E24" s="5">
        <f t="shared" si="2"/>
        <v>15</v>
      </c>
      <c r="F24" s="9">
        <v>27.93</v>
      </c>
      <c r="G24" s="9">
        <v>78770</v>
      </c>
      <c r="H24" s="36">
        <f t="shared" si="3"/>
        <v>2200046.1</v>
      </c>
      <c r="I24" s="9">
        <v>0</v>
      </c>
      <c r="J24" s="9">
        <v>0</v>
      </c>
      <c r="K24" s="9">
        <v>4509</v>
      </c>
      <c r="L24" s="9">
        <v>0</v>
      </c>
      <c r="M24" s="9">
        <f t="shared" si="4"/>
        <v>2204555.1</v>
      </c>
      <c r="N24" s="9">
        <v>44205.723999999995</v>
      </c>
      <c r="O24" s="9">
        <v>0</v>
      </c>
      <c r="P24" s="9">
        <f t="shared" si="5"/>
        <v>2248760.824</v>
      </c>
      <c r="Q24" s="9">
        <v>27.93</v>
      </c>
    </row>
    <row r="25" spans="1:17" x14ac:dyDescent="0.2">
      <c r="A25" s="5" t="s">
        <v>19</v>
      </c>
      <c r="B25" s="5" t="s">
        <v>23</v>
      </c>
      <c r="C25" s="6">
        <v>42467</v>
      </c>
      <c r="D25" s="5">
        <f t="shared" si="1"/>
        <v>4</v>
      </c>
      <c r="E25" s="5">
        <f t="shared" si="2"/>
        <v>15</v>
      </c>
      <c r="F25" s="9">
        <v>23.77</v>
      </c>
      <c r="G25" s="9">
        <v>78770</v>
      </c>
      <c r="H25" s="36">
        <f t="shared" si="3"/>
        <v>1872362.9</v>
      </c>
      <c r="I25" s="9">
        <v>0</v>
      </c>
      <c r="J25" s="9">
        <v>0</v>
      </c>
      <c r="K25" s="9">
        <v>0</v>
      </c>
      <c r="L25" s="9">
        <v>0</v>
      </c>
      <c r="M25" s="9">
        <f t="shared" si="4"/>
        <v>1872362.9</v>
      </c>
      <c r="N25" s="9">
        <v>37447.258000000002</v>
      </c>
      <c r="O25" s="9">
        <v>0</v>
      </c>
      <c r="P25" s="9">
        <f t="shared" si="5"/>
        <v>1909810.1579999998</v>
      </c>
      <c r="Q25" s="9">
        <v>23.77</v>
      </c>
    </row>
    <row r="26" spans="1:17" x14ac:dyDescent="0.2">
      <c r="A26" s="5" t="s">
        <v>22</v>
      </c>
      <c r="B26" s="5" t="s">
        <v>15</v>
      </c>
      <c r="C26" s="6">
        <v>42467</v>
      </c>
      <c r="D26" s="5">
        <f t="shared" si="1"/>
        <v>4</v>
      </c>
      <c r="E26" s="5">
        <f t="shared" si="2"/>
        <v>15</v>
      </c>
      <c r="F26" s="9">
        <v>30.93</v>
      </c>
      <c r="G26" s="9">
        <v>44900</v>
      </c>
      <c r="H26" s="36">
        <f t="shared" si="3"/>
        <v>1388757</v>
      </c>
      <c r="I26" s="9">
        <v>0</v>
      </c>
      <c r="J26" s="9">
        <v>0</v>
      </c>
      <c r="K26" s="9">
        <v>0</v>
      </c>
      <c r="L26" s="9">
        <v>0</v>
      </c>
      <c r="M26" s="9">
        <f t="shared" si="4"/>
        <v>1388757</v>
      </c>
      <c r="N26" s="9">
        <v>0</v>
      </c>
      <c r="O26" s="9">
        <v>0</v>
      </c>
      <c r="P26" s="9">
        <f t="shared" si="5"/>
        <v>1388757</v>
      </c>
      <c r="Q26" s="9">
        <v>30.93</v>
      </c>
    </row>
    <row r="27" spans="1:17" x14ac:dyDescent="0.2">
      <c r="A27" s="5" t="s">
        <v>12</v>
      </c>
      <c r="B27" s="5" t="s">
        <v>13</v>
      </c>
      <c r="C27" s="6">
        <v>42468</v>
      </c>
      <c r="D27" s="5">
        <f t="shared" si="1"/>
        <v>4</v>
      </c>
      <c r="E27" s="5">
        <f t="shared" si="2"/>
        <v>15</v>
      </c>
      <c r="F27" s="9">
        <v>28.58</v>
      </c>
      <c r="G27" s="9">
        <v>49411.8</v>
      </c>
      <c r="H27" s="36">
        <f t="shared" si="3"/>
        <v>1412189.2439999999</v>
      </c>
      <c r="I27" s="9">
        <v>0</v>
      </c>
      <c r="J27" s="9">
        <v>0</v>
      </c>
      <c r="K27" s="9">
        <v>0</v>
      </c>
      <c r="L27" s="9">
        <v>0</v>
      </c>
      <c r="M27" s="9">
        <f t="shared" si="4"/>
        <v>1412189.2439999999</v>
      </c>
      <c r="N27" s="9">
        <f t="shared" ref="N27:N29" si="8">M27*2%</f>
        <v>28243.784879999999</v>
      </c>
      <c r="O27" s="9">
        <v>0</v>
      </c>
      <c r="P27" s="9">
        <f t="shared" si="5"/>
        <v>1440433.0288799999</v>
      </c>
      <c r="Q27" s="9">
        <v>28.58</v>
      </c>
    </row>
    <row r="28" spans="1:17" x14ac:dyDescent="0.2">
      <c r="A28" s="5" t="s">
        <v>12</v>
      </c>
      <c r="B28" s="5" t="s">
        <v>13</v>
      </c>
      <c r="C28" s="6">
        <v>42469</v>
      </c>
      <c r="D28" s="5">
        <f t="shared" si="1"/>
        <v>4</v>
      </c>
      <c r="E28" s="5">
        <f t="shared" si="2"/>
        <v>15</v>
      </c>
      <c r="F28" s="9">
        <v>28.48</v>
      </c>
      <c r="G28" s="9">
        <v>49411.8</v>
      </c>
      <c r="H28" s="36">
        <f t="shared" si="3"/>
        <v>1407248.064</v>
      </c>
      <c r="I28" s="9">
        <v>0</v>
      </c>
      <c r="J28" s="9">
        <v>0</v>
      </c>
      <c r="K28" s="9">
        <v>0</v>
      </c>
      <c r="L28" s="9">
        <v>0</v>
      </c>
      <c r="M28" s="9">
        <f t="shared" si="4"/>
        <v>1407248.064</v>
      </c>
      <c r="N28" s="9">
        <f t="shared" si="8"/>
        <v>28144.96128</v>
      </c>
      <c r="O28" s="9">
        <v>0</v>
      </c>
      <c r="P28" s="9">
        <f t="shared" si="5"/>
        <v>1435393.0252799999</v>
      </c>
      <c r="Q28" s="9">
        <v>28.48</v>
      </c>
    </row>
    <row r="29" spans="1:17" x14ac:dyDescent="0.2">
      <c r="A29" s="5" t="s">
        <v>12</v>
      </c>
      <c r="B29" s="5" t="s">
        <v>13</v>
      </c>
      <c r="C29" s="6">
        <v>42470</v>
      </c>
      <c r="D29" s="5">
        <f t="shared" si="1"/>
        <v>4</v>
      </c>
      <c r="E29" s="5">
        <f t="shared" si="2"/>
        <v>16</v>
      </c>
      <c r="F29" s="9">
        <v>28.04</v>
      </c>
      <c r="G29" s="9">
        <v>50882.400000000001</v>
      </c>
      <c r="H29" s="36">
        <f t="shared" si="3"/>
        <v>1426742.496</v>
      </c>
      <c r="I29" s="9">
        <v>0</v>
      </c>
      <c r="J29" s="9">
        <v>0</v>
      </c>
      <c r="K29" s="9">
        <v>0</v>
      </c>
      <c r="L29" s="9">
        <v>0</v>
      </c>
      <c r="M29" s="9">
        <f t="shared" si="4"/>
        <v>1426742.496</v>
      </c>
      <c r="N29" s="9">
        <f t="shared" si="8"/>
        <v>28534.849920000001</v>
      </c>
      <c r="O29" s="9">
        <v>0</v>
      </c>
      <c r="P29" s="9">
        <f t="shared" si="5"/>
        <v>1455277.34592</v>
      </c>
      <c r="Q29" s="9">
        <v>28.04</v>
      </c>
    </row>
    <row r="30" spans="1:17" x14ac:dyDescent="0.2">
      <c r="A30" s="5" t="s">
        <v>21</v>
      </c>
      <c r="B30" s="5" t="s">
        <v>15</v>
      </c>
      <c r="C30" s="6">
        <v>42470</v>
      </c>
      <c r="D30" s="5">
        <f t="shared" si="1"/>
        <v>4</v>
      </c>
      <c r="E30" s="5">
        <f t="shared" si="2"/>
        <v>16</v>
      </c>
      <c r="F30" s="9">
        <v>27.2</v>
      </c>
      <c r="G30" s="9">
        <v>45500</v>
      </c>
      <c r="H30" s="36">
        <f t="shared" si="3"/>
        <v>1237600</v>
      </c>
      <c r="I30" s="9">
        <v>0</v>
      </c>
      <c r="J30" s="9">
        <v>0</v>
      </c>
      <c r="K30" s="9">
        <v>0</v>
      </c>
      <c r="L30" s="9">
        <v>0</v>
      </c>
      <c r="M30" s="9">
        <f t="shared" si="4"/>
        <v>1237600</v>
      </c>
      <c r="N30" s="9">
        <v>0</v>
      </c>
      <c r="O30" s="9">
        <v>0</v>
      </c>
      <c r="P30" s="9">
        <f t="shared" si="5"/>
        <v>1237600</v>
      </c>
      <c r="Q30" s="9">
        <v>27.2</v>
      </c>
    </row>
    <row r="31" spans="1:17" x14ac:dyDescent="0.2">
      <c r="A31" s="5" t="s">
        <v>17</v>
      </c>
      <c r="B31" s="5" t="s">
        <v>18</v>
      </c>
      <c r="C31" s="6">
        <v>42472</v>
      </c>
      <c r="D31" s="5">
        <f t="shared" si="1"/>
        <v>4</v>
      </c>
      <c r="E31" s="5">
        <f t="shared" si="2"/>
        <v>16</v>
      </c>
      <c r="F31" s="9">
        <v>29.63</v>
      </c>
      <c r="G31" s="9">
        <v>53309.279999999999</v>
      </c>
      <c r="H31" s="36">
        <f t="shared" si="3"/>
        <v>1579553.9663999998</v>
      </c>
      <c r="I31" s="9">
        <v>0</v>
      </c>
      <c r="J31" s="9">
        <v>0</v>
      </c>
      <c r="K31" s="9">
        <v>0</v>
      </c>
      <c r="L31" s="9">
        <v>0</v>
      </c>
      <c r="M31" s="9">
        <f t="shared" si="4"/>
        <v>1579553.9663999998</v>
      </c>
      <c r="N31" s="9">
        <v>0</v>
      </c>
      <c r="O31" s="9">
        <v>0</v>
      </c>
      <c r="P31" s="9">
        <f t="shared" si="5"/>
        <v>1579553.9663999998</v>
      </c>
      <c r="Q31" s="9">
        <v>29.63</v>
      </c>
    </row>
    <row r="32" spans="1:17" x14ac:dyDescent="0.2">
      <c r="A32" s="5" t="s">
        <v>12</v>
      </c>
      <c r="B32" s="5" t="s">
        <v>13</v>
      </c>
      <c r="C32" s="6">
        <v>42472</v>
      </c>
      <c r="D32" s="5">
        <f t="shared" si="1"/>
        <v>4</v>
      </c>
      <c r="E32" s="5">
        <f t="shared" si="2"/>
        <v>16</v>
      </c>
      <c r="F32" s="9">
        <v>28.68</v>
      </c>
      <c r="G32" s="9">
        <v>50882.400000000001</v>
      </c>
      <c r="H32" s="36">
        <f t="shared" si="3"/>
        <v>1459307.2320000001</v>
      </c>
      <c r="I32" s="9">
        <v>0</v>
      </c>
      <c r="J32" s="9">
        <v>0</v>
      </c>
      <c r="K32" s="9">
        <v>0</v>
      </c>
      <c r="L32" s="9">
        <v>0</v>
      </c>
      <c r="M32" s="9">
        <f t="shared" si="4"/>
        <v>1459307.2320000001</v>
      </c>
      <c r="N32" s="9">
        <f>M32*2%</f>
        <v>29186.144640000002</v>
      </c>
      <c r="O32" s="9">
        <v>0</v>
      </c>
      <c r="P32" s="9">
        <f t="shared" si="5"/>
        <v>1488493.3766400001</v>
      </c>
      <c r="Q32" s="9">
        <v>28.68</v>
      </c>
    </row>
    <row r="33" spans="1:17" x14ac:dyDescent="0.2">
      <c r="A33" s="5" t="s">
        <v>14</v>
      </c>
      <c r="B33" s="5" t="s">
        <v>15</v>
      </c>
      <c r="C33" s="6">
        <v>42474</v>
      </c>
      <c r="D33" s="5">
        <f t="shared" si="1"/>
        <v>4</v>
      </c>
      <c r="E33" s="5">
        <f t="shared" si="2"/>
        <v>16</v>
      </c>
      <c r="F33" s="9">
        <v>26.84</v>
      </c>
      <c r="G33" s="9">
        <v>55000</v>
      </c>
      <c r="H33" s="36">
        <f t="shared" si="3"/>
        <v>1476200</v>
      </c>
      <c r="I33" s="9">
        <v>0</v>
      </c>
      <c r="J33" s="9">
        <v>0</v>
      </c>
      <c r="K33" s="9">
        <v>0</v>
      </c>
      <c r="L33" s="9">
        <v>0</v>
      </c>
      <c r="M33" s="9">
        <f t="shared" si="4"/>
        <v>1476200</v>
      </c>
      <c r="N33" s="9">
        <v>0</v>
      </c>
      <c r="O33" s="9">
        <v>0</v>
      </c>
      <c r="P33" s="9">
        <f t="shared" si="5"/>
        <v>1476200</v>
      </c>
      <c r="Q33" s="9">
        <v>26.84</v>
      </c>
    </row>
    <row r="34" spans="1:17" x14ac:dyDescent="0.2">
      <c r="A34" s="5" t="s">
        <v>25</v>
      </c>
      <c r="B34" s="5" t="s">
        <v>26</v>
      </c>
      <c r="C34" s="6">
        <v>42474</v>
      </c>
      <c r="D34" s="5">
        <f t="shared" si="1"/>
        <v>4</v>
      </c>
      <c r="E34" s="5">
        <f t="shared" si="2"/>
        <v>16</v>
      </c>
      <c r="F34" s="9">
        <v>21.51</v>
      </c>
      <c r="G34" s="9">
        <v>57883.91</v>
      </c>
      <c r="H34" s="36">
        <f t="shared" si="3"/>
        <v>1245082.9041000002</v>
      </c>
      <c r="I34" s="9">
        <v>0</v>
      </c>
      <c r="J34" s="9">
        <v>0</v>
      </c>
      <c r="K34" s="9">
        <v>0</v>
      </c>
      <c r="L34" s="9">
        <v>0</v>
      </c>
      <c r="M34" s="9">
        <f t="shared" si="4"/>
        <v>1245082.9041000002</v>
      </c>
      <c r="N34" s="9">
        <v>0</v>
      </c>
      <c r="O34" s="9">
        <v>1600</v>
      </c>
      <c r="P34" s="9">
        <f t="shared" si="5"/>
        <v>1279498.9041000002</v>
      </c>
      <c r="Q34" s="9">
        <v>21.51</v>
      </c>
    </row>
    <row r="35" spans="1:17" x14ac:dyDescent="0.2">
      <c r="A35" s="5" t="s">
        <v>25</v>
      </c>
      <c r="B35" s="5" t="s">
        <v>26</v>
      </c>
      <c r="C35" s="6">
        <v>42474</v>
      </c>
      <c r="D35" s="5">
        <f t="shared" si="1"/>
        <v>4</v>
      </c>
      <c r="E35" s="5">
        <f t="shared" si="2"/>
        <v>16</v>
      </c>
      <c r="F35" s="9">
        <v>21.55</v>
      </c>
      <c r="G35" s="9">
        <v>57883.91</v>
      </c>
      <c r="H35" s="36">
        <f t="shared" si="3"/>
        <v>1247398.2605000001</v>
      </c>
      <c r="I35" s="9">
        <v>0</v>
      </c>
      <c r="J35" s="9">
        <v>0</v>
      </c>
      <c r="K35" s="9">
        <v>0</v>
      </c>
      <c r="L35" s="9">
        <v>0</v>
      </c>
      <c r="M35" s="9">
        <f t="shared" si="4"/>
        <v>1247398.2605000001</v>
      </c>
      <c r="N35" s="9">
        <v>0</v>
      </c>
      <c r="O35" s="9">
        <v>1600</v>
      </c>
      <c r="P35" s="9">
        <f t="shared" si="5"/>
        <v>1281878.2605000001</v>
      </c>
      <c r="Q35" s="9">
        <v>21.55</v>
      </c>
    </row>
    <row r="36" spans="1:17" x14ac:dyDescent="0.2">
      <c r="A36" s="5" t="s">
        <v>25</v>
      </c>
      <c r="B36" s="5" t="s">
        <v>26</v>
      </c>
      <c r="C36" s="6">
        <v>42474</v>
      </c>
      <c r="D36" s="5">
        <f t="shared" si="1"/>
        <v>4</v>
      </c>
      <c r="E36" s="5">
        <f t="shared" si="2"/>
        <v>16</v>
      </c>
      <c r="F36" s="9">
        <v>21.49</v>
      </c>
      <c r="G36" s="9">
        <v>57883.91</v>
      </c>
      <c r="H36" s="36">
        <f t="shared" si="3"/>
        <v>1243925.2259</v>
      </c>
      <c r="I36" s="9">
        <v>0</v>
      </c>
      <c r="J36" s="9">
        <v>0</v>
      </c>
      <c r="K36" s="9">
        <v>0</v>
      </c>
      <c r="L36" s="9">
        <v>0</v>
      </c>
      <c r="M36" s="9">
        <f t="shared" si="4"/>
        <v>1243925.2259</v>
      </c>
      <c r="N36" s="9">
        <v>0</v>
      </c>
      <c r="O36" s="9">
        <v>1600</v>
      </c>
      <c r="P36" s="9">
        <f t="shared" si="5"/>
        <v>1278309.2259</v>
      </c>
      <c r="Q36" s="9">
        <v>21.49</v>
      </c>
    </row>
    <row r="37" spans="1:17" x14ac:dyDescent="0.2">
      <c r="A37" s="5" t="s">
        <v>25</v>
      </c>
      <c r="B37" s="5" t="s">
        <v>26</v>
      </c>
      <c r="C37" s="6">
        <v>42474</v>
      </c>
      <c r="D37" s="5">
        <f t="shared" si="1"/>
        <v>4</v>
      </c>
      <c r="E37" s="5">
        <f t="shared" si="2"/>
        <v>16</v>
      </c>
      <c r="F37" s="9">
        <v>21.43</v>
      </c>
      <c r="G37" s="9">
        <v>57883.91</v>
      </c>
      <c r="H37" s="36">
        <f t="shared" si="3"/>
        <v>1240452.1913000001</v>
      </c>
      <c r="I37" s="9">
        <v>0</v>
      </c>
      <c r="J37" s="9">
        <v>0</v>
      </c>
      <c r="K37" s="9">
        <v>0</v>
      </c>
      <c r="L37" s="9">
        <v>0</v>
      </c>
      <c r="M37" s="9">
        <f t="shared" si="4"/>
        <v>1240452.1913000001</v>
      </c>
      <c r="N37" s="9">
        <v>0</v>
      </c>
      <c r="O37" s="9">
        <v>1600</v>
      </c>
      <c r="P37" s="9">
        <f t="shared" si="5"/>
        <v>1274740.1913000001</v>
      </c>
      <c r="Q37" s="9">
        <v>21.43</v>
      </c>
    </row>
    <row r="38" spans="1:17" x14ac:dyDescent="0.2">
      <c r="A38" s="5" t="s">
        <v>25</v>
      </c>
      <c r="B38" s="5" t="s">
        <v>26</v>
      </c>
      <c r="C38" s="6">
        <v>42474</v>
      </c>
      <c r="D38" s="5">
        <f t="shared" si="1"/>
        <v>4</v>
      </c>
      <c r="E38" s="5">
        <f t="shared" si="2"/>
        <v>16</v>
      </c>
      <c r="F38" s="9">
        <v>21.54</v>
      </c>
      <c r="G38" s="9">
        <v>57883.91</v>
      </c>
      <c r="H38" s="36">
        <f t="shared" si="3"/>
        <v>1246819.4214000001</v>
      </c>
      <c r="I38" s="9">
        <v>0</v>
      </c>
      <c r="J38" s="9">
        <v>0</v>
      </c>
      <c r="K38" s="9">
        <v>0</v>
      </c>
      <c r="L38" s="9">
        <v>0</v>
      </c>
      <c r="M38" s="9">
        <f t="shared" si="4"/>
        <v>1246819.4214000001</v>
      </c>
      <c r="N38" s="9">
        <v>0</v>
      </c>
      <c r="O38" s="9">
        <v>1600</v>
      </c>
      <c r="P38" s="9">
        <f t="shared" si="5"/>
        <v>1281283.4214000001</v>
      </c>
      <c r="Q38" s="9">
        <v>21.54</v>
      </c>
    </row>
    <row r="39" spans="1:17" x14ac:dyDescent="0.2">
      <c r="A39" s="5" t="s">
        <v>25</v>
      </c>
      <c r="B39" s="5" t="s">
        <v>26</v>
      </c>
      <c r="C39" s="6">
        <v>42474</v>
      </c>
      <c r="D39" s="5">
        <f t="shared" si="1"/>
        <v>4</v>
      </c>
      <c r="E39" s="5">
        <f t="shared" si="2"/>
        <v>16</v>
      </c>
      <c r="F39" s="9">
        <v>21.38</v>
      </c>
      <c r="G39" s="9">
        <v>57883.91</v>
      </c>
      <c r="H39" s="36">
        <f t="shared" si="3"/>
        <v>1237557.9957999999</v>
      </c>
      <c r="I39" s="9">
        <v>0</v>
      </c>
      <c r="J39" s="9">
        <v>0</v>
      </c>
      <c r="K39" s="9">
        <v>0</v>
      </c>
      <c r="L39" s="9">
        <v>0</v>
      </c>
      <c r="M39" s="9">
        <f t="shared" si="4"/>
        <v>1237557.9957999999</v>
      </c>
      <c r="N39" s="9">
        <v>0</v>
      </c>
      <c r="O39" s="9">
        <v>1600</v>
      </c>
      <c r="P39" s="9">
        <f t="shared" si="5"/>
        <v>1271765.9957999999</v>
      </c>
      <c r="Q39" s="9">
        <v>21.38</v>
      </c>
    </row>
    <row r="40" spans="1:17" x14ac:dyDescent="0.2">
      <c r="A40" s="5" t="s">
        <v>25</v>
      </c>
      <c r="B40" s="5" t="s">
        <v>26</v>
      </c>
      <c r="C40" s="6">
        <v>42474</v>
      </c>
      <c r="D40" s="5">
        <f t="shared" si="1"/>
        <v>4</v>
      </c>
      <c r="E40" s="5">
        <f t="shared" si="2"/>
        <v>16</v>
      </c>
      <c r="F40" s="9">
        <v>21.47</v>
      </c>
      <c r="G40" s="9">
        <v>57883.91</v>
      </c>
      <c r="H40" s="36">
        <f t="shared" si="3"/>
        <v>1242767.5477</v>
      </c>
      <c r="I40" s="9">
        <v>0</v>
      </c>
      <c r="J40" s="9">
        <v>0</v>
      </c>
      <c r="K40" s="9">
        <v>0</v>
      </c>
      <c r="L40" s="9">
        <v>0</v>
      </c>
      <c r="M40" s="9">
        <f t="shared" si="4"/>
        <v>1242767.5477</v>
      </c>
      <c r="N40" s="9">
        <v>0</v>
      </c>
      <c r="O40" s="9">
        <v>1600</v>
      </c>
      <c r="P40" s="9">
        <f t="shared" si="5"/>
        <v>1277119.5477</v>
      </c>
      <c r="Q40" s="9">
        <v>21.47</v>
      </c>
    </row>
    <row r="41" spans="1:17" x14ac:dyDescent="0.2">
      <c r="A41" s="5" t="s">
        <v>25</v>
      </c>
      <c r="B41" s="5" t="s">
        <v>26</v>
      </c>
      <c r="C41" s="6">
        <v>42474</v>
      </c>
      <c r="D41" s="5">
        <f t="shared" si="1"/>
        <v>4</v>
      </c>
      <c r="E41" s="5">
        <f t="shared" si="2"/>
        <v>16</v>
      </c>
      <c r="F41" s="9">
        <v>21.47</v>
      </c>
      <c r="G41" s="9">
        <v>57883.91</v>
      </c>
      <c r="H41" s="36">
        <f t="shared" si="3"/>
        <v>1242767.5477</v>
      </c>
      <c r="I41" s="9">
        <v>0</v>
      </c>
      <c r="J41" s="9">
        <v>0</v>
      </c>
      <c r="K41" s="9">
        <v>0</v>
      </c>
      <c r="L41" s="9">
        <v>0</v>
      </c>
      <c r="M41" s="9">
        <f t="shared" si="4"/>
        <v>1242767.5477</v>
      </c>
      <c r="N41" s="9">
        <v>0</v>
      </c>
      <c r="O41" s="9">
        <v>1600</v>
      </c>
      <c r="P41" s="9">
        <f t="shared" si="5"/>
        <v>1277119.5477</v>
      </c>
      <c r="Q41" s="9">
        <v>21.47</v>
      </c>
    </row>
    <row r="42" spans="1:17" x14ac:dyDescent="0.2">
      <c r="A42" s="5" t="s">
        <v>25</v>
      </c>
      <c r="B42" s="5" t="s">
        <v>26</v>
      </c>
      <c r="C42" s="6">
        <v>42474</v>
      </c>
      <c r="D42" s="5">
        <f t="shared" si="1"/>
        <v>4</v>
      </c>
      <c r="E42" s="5">
        <f t="shared" si="2"/>
        <v>16</v>
      </c>
      <c r="F42" s="9">
        <v>21.43</v>
      </c>
      <c r="G42" s="9">
        <v>57883.91</v>
      </c>
      <c r="H42" s="36">
        <f t="shared" si="3"/>
        <v>1240452.1913000001</v>
      </c>
      <c r="I42" s="9">
        <v>0</v>
      </c>
      <c r="J42" s="9">
        <v>0</v>
      </c>
      <c r="K42" s="9">
        <v>0</v>
      </c>
      <c r="L42" s="9">
        <v>0</v>
      </c>
      <c r="M42" s="9">
        <f t="shared" si="4"/>
        <v>1240452.1913000001</v>
      </c>
      <c r="N42" s="9">
        <v>0</v>
      </c>
      <c r="O42" s="9">
        <v>1600</v>
      </c>
      <c r="P42" s="9">
        <f t="shared" si="5"/>
        <v>1274740.1913000001</v>
      </c>
      <c r="Q42" s="9">
        <v>21.43</v>
      </c>
    </row>
    <row r="43" spans="1:17" x14ac:dyDescent="0.2">
      <c r="A43" s="5" t="s">
        <v>25</v>
      </c>
      <c r="B43" s="5" t="s">
        <v>26</v>
      </c>
      <c r="C43" s="6">
        <v>42474</v>
      </c>
      <c r="D43" s="5">
        <f t="shared" si="1"/>
        <v>4</v>
      </c>
      <c r="E43" s="5">
        <f t="shared" si="2"/>
        <v>16</v>
      </c>
      <c r="F43" s="9">
        <v>21.46</v>
      </c>
      <c r="G43" s="9">
        <v>57883.91</v>
      </c>
      <c r="H43" s="36">
        <f t="shared" si="3"/>
        <v>1242188.7086</v>
      </c>
      <c r="I43" s="9">
        <v>0</v>
      </c>
      <c r="J43" s="9">
        <v>0</v>
      </c>
      <c r="K43" s="9">
        <v>0</v>
      </c>
      <c r="L43" s="9">
        <v>0</v>
      </c>
      <c r="M43" s="9">
        <f t="shared" si="4"/>
        <v>1242188.7086</v>
      </c>
      <c r="N43" s="9">
        <v>0</v>
      </c>
      <c r="O43" s="9">
        <v>1600</v>
      </c>
      <c r="P43" s="9">
        <f t="shared" si="5"/>
        <v>1276524.7086</v>
      </c>
      <c r="Q43" s="9">
        <v>21.46</v>
      </c>
    </row>
    <row r="44" spans="1:17" x14ac:dyDescent="0.2">
      <c r="A44" s="5" t="s">
        <v>25</v>
      </c>
      <c r="B44" s="5" t="s">
        <v>26</v>
      </c>
      <c r="C44" s="6">
        <v>42475</v>
      </c>
      <c r="D44" s="5">
        <f t="shared" si="1"/>
        <v>4</v>
      </c>
      <c r="E44" s="5">
        <f t="shared" si="2"/>
        <v>16</v>
      </c>
      <c r="F44" s="9">
        <v>21.48</v>
      </c>
      <c r="G44" s="9">
        <v>57883.91</v>
      </c>
      <c r="H44" s="36">
        <f t="shared" si="3"/>
        <v>1243346.3868000002</v>
      </c>
      <c r="I44" s="9">
        <v>0</v>
      </c>
      <c r="J44" s="9">
        <v>0</v>
      </c>
      <c r="K44" s="9">
        <v>0</v>
      </c>
      <c r="L44" s="9">
        <v>0</v>
      </c>
      <c r="M44" s="9">
        <f t="shared" si="4"/>
        <v>1243346.3868000002</v>
      </c>
      <c r="N44" s="9">
        <v>0</v>
      </c>
      <c r="O44" s="9">
        <v>1600</v>
      </c>
      <c r="P44" s="9">
        <f t="shared" si="5"/>
        <v>1277714.3868000002</v>
      </c>
      <c r="Q44" s="9">
        <v>21.48</v>
      </c>
    </row>
    <row r="45" spans="1:17" x14ac:dyDescent="0.2">
      <c r="A45" s="5" t="s">
        <v>25</v>
      </c>
      <c r="B45" s="5" t="s">
        <v>26</v>
      </c>
      <c r="C45" s="6">
        <v>42475</v>
      </c>
      <c r="D45" s="5">
        <f t="shared" si="1"/>
        <v>4</v>
      </c>
      <c r="E45" s="5">
        <f t="shared" si="2"/>
        <v>16</v>
      </c>
      <c r="F45" s="9">
        <v>21.51</v>
      </c>
      <c r="G45" s="9">
        <v>57883.91</v>
      </c>
      <c r="H45" s="36">
        <f t="shared" si="3"/>
        <v>1245082.9041000002</v>
      </c>
      <c r="I45" s="9">
        <v>0</v>
      </c>
      <c r="J45" s="9">
        <v>0</v>
      </c>
      <c r="K45" s="9">
        <v>0</v>
      </c>
      <c r="L45" s="9">
        <v>0</v>
      </c>
      <c r="M45" s="9">
        <f t="shared" si="4"/>
        <v>1245082.9041000002</v>
      </c>
      <c r="N45" s="9">
        <v>0</v>
      </c>
      <c r="O45" s="9">
        <v>1600</v>
      </c>
      <c r="P45" s="9">
        <f t="shared" si="5"/>
        <v>1279498.9041000002</v>
      </c>
      <c r="Q45" s="9">
        <v>21.51</v>
      </c>
    </row>
    <row r="46" spans="1:17" x14ac:dyDescent="0.2">
      <c r="A46" s="5" t="s">
        <v>25</v>
      </c>
      <c r="B46" s="5" t="s">
        <v>26</v>
      </c>
      <c r="C46" s="6">
        <v>42475</v>
      </c>
      <c r="D46" s="5">
        <f t="shared" si="1"/>
        <v>4</v>
      </c>
      <c r="E46" s="5">
        <f t="shared" si="2"/>
        <v>16</v>
      </c>
      <c r="F46" s="9">
        <v>21.52</v>
      </c>
      <c r="G46" s="9">
        <v>57883.91</v>
      </c>
      <c r="H46" s="36">
        <f t="shared" si="3"/>
        <v>1245661.7432000001</v>
      </c>
      <c r="I46" s="9">
        <v>0</v>
      </c>
      <c r="J46" s="9">
        <v>0</v>
      </c>
      <c r="K46" s="9">
        <v>0</v>
      </c>
      <c r="L46" s="9">
        <v>0</v>
      </c>
      <c r="M46" s="9">
        <f t="shared" si="4"/>
        <v>1245661.7432000001</v>
      </c>
      <c r="N46" s="9">
        <v>0</v>
      </c>
      <c r="O46" s="9">
        <v>1600</v>
      </c>
      <c r="P46" s="9">
        <f t="shared" si="5"/>
        <v>1280093.7432000001</v>
      </c>
      <c r="Q46" s="9">
        <v>21.52</v>
      </c>
    </row>
    <row r="47" spans="1:17" x14ac:dyDescent="0.2">
      <c r="A47" s="5" t="s">
        <v>25</v>
      </c>
      <c r="B47" s="5" t="s">
        <v>26</v>
      </c>
      <c r="C47" s="6">
        <v>42475</v>
      </c>
      <c r="D47" s="5">
        <f t="shared" si="1"/>
        <v>4</v>
      </c>
      <c r="E47" s="5">
        <f t="shared" si="2"/>
        <v>16</v>
      </c>
      <c r="F47" s="9">
        <v>21.44</v>
      </c>
      <c r="G47" s="9">
        <v>57883.91</v>
      </c>
      <c r="H47" s="36">
        <f t="shared" si="3"/>
        <v>1241031.0304</v>
      </c>
      <c r="I47" s="9">
        <v>0</v>
      </c>
      <c r="J47" s="9">
        <v>0</v>
      </c>
      <c r="K47" s="9">
        <v>0</v>
      </c>
      <c r="L47" s="9">
        <v>0</v>
      </c>
      <c r="M47" s="9">
        <f t="shared" si="4"/>
        <v>1241031.0304</v>
      </c>
      <c r="N47" s="9">
        <v>0</v>
      </c>
      <c r="O47" s="9">
        <v>1600</v>
      </c>
      <c r="P47" s="9">
        <f t="shared" si="5"/>
        <v>1275335.0304</v>
      </c>
      <c r="Q47" s="9">
        <v>21.44</v>
      </c>
    </row>
    <row r="48" spans="1:17" x14ac:dyDescent="0.2">
      <c r="A48" s="5" t="s">
        <v>25</v>
      </c>
      <c r="B48" s="5" t="s">
        <v>26</v>
      </c>
      <c r="C48" s="6">
        <v>42475</v>
      </c>
      <c r="D48" s="5">
        <f t="shared" si="1"/>
        <v>4</v>
      </c>
      <c r="E48" s="5">
        <f t="shared" si="2"/>
        <v>16</v>
      </c>
      <c r="F48" s="9">
        <v>21.44</v>
      </c>
      <c r="G48" s="9">
        <v>57883.91</v>
      </c>
      <c r="H48" s="36">
        <f t="shared" si="3"/>
        <v>1241031.0304</v>
      </c>
      <c r="I48" s="9">
        <v>0</v>
      </c>
      <c r="J48" s="9">
        <v>0</v>
      </c>
      <c r="K48" s="9">
        <v>0</v>
      </c>
      <c r="L48" s="9">
        <v>0</v>
      </c>
      <c r="M48" s="9">
        <f t="shared" si="4"/>
        <v>1241031.0304</v>
      </c>
      <c r="N48" s="9">
        <v>0</v>
      </c>
      <c r="O48" s="9">
        <v>1600</v>
      </c>
      <c r="P48" s="9">
        <f t="shared" si="5"/>
        <v>1275335.0304</v>
      </c>
      <c r="Q48" s="9">
        <v>21.44</v>
      </c>
    </row>
    <row r="49" spans="1:17" x14ac:dyDescent="0.2">
      <c r="A49" s="5" t="s">
        <v>25</v>
      </c>
      <c r="B49" s="5" t="s">
        <v>26</v>
      </c>
      <c r="C49" s="6">
        <v>42475</v>
      </c>
      <c r="D49" s="5">
        <f t="shared" si="1"/>
        <v>4</v>
      </c>
      <c r="E49" s="5">
        <f t="shared" si="2"/>
        <v>16</v>
      </c>
      <c r="F49" s="9">
        <v>21.5</v>
      </c>
      <c r="G49" s="9">
        <v>57883.91</v>
      </c>
      <c r="H49" s="36">
        <f t="shared" si="3"/>
        <v>1244504.0650000002</v>
      </c>
      <c r="I49" s="9">
        <v>0</v>
      </c>
      <c r="J49" s="9">
        <v>0</v>
      </c>
      <c r="K49" s="9">
        <v>0</v>
      </c>
      <c r="L49" s="9">
        <v>0</v>
      </c>
      <c r="M49" s="9">
        <f t="shared" si="4"/>
        <v>1244504.0650000002</v>
      </c>
      <c r="N49" s="9">
        <v>0</v>
      </c>
      <c r="O49" s="9">
        <v>1600</v>
      </c>
      <c r="P49" s="9">
        <f t="shared" si="5"/>
        <v>1278904.0650000002</v>
      </c>
      <c r="Q49" s="9">
        <v>21.5</v>
      </c>
    </row>
    <row r="50" spans="1:17" x14ac:dyDescent="0.2">
      <c r="A50" s="5" t="s">
        <v>25</v>
      </c>
      <c r="B50" s="5" t="s">
        <v>26</v>
      </c>
      <c r="C50" s="6">
        <v>42475</v>
      </c>
      <c r="D50" s="5">
        <f t="shared" si="1"/>
        <v>4</v>
      </c>
      <c r="E50" s="5">
        <f t="shared" si="2"/>
        <v>16</v>
      </c>
      <c r="F50" s="9">
        <v>21.46</v>
      </c>
      <c r="G50" s="9">
        <v>57883.91</v>
      </c>
      <c r="H50" s="36">
        <f t="shared" si="3"/>
        <v>1242188.7086</v>
      </c>
      <c r="I50" s="9">
        <v>0</v>
      </c>
      <c r="J50" s="9">
        <v>0</v>
      </c>
      <c r="K50" s="9">
        <v>0</v>
      </c>
      <c r="L50" s="9">
        <v>0</v>
      </c>
      <c r="M50" s="9">
        <f t="shared" si="4"/>
        <v>1242188.7086</v>
      </c>
      <c r="N50" s="9">
        <v>0</v>
      </c>
      <c r="O50" s="9">
        <v>1600</v>
      </c>
      <c r="P50" s="9">
        <f t="shared" si="5"/>
        <v>1276524.7086</v>
      </c>
      <c r="Q50" s="9">
        <v>21.46</v>
      </c>
    </row>
    <row r="51" spans="1:17" x14ac:dyDescent="0.2">
      <c r="A51" s="5" t="s">
        <v>12</v>
      </c>
      <c r="B51" s="5" t="s">
        <v>13</v>
      </c>
      <c r="C51" s="6">
        <v>42476</v>
      </c>
      <c r="D51" s="5">
        <f t="shared" si="1"/>
        <v>4</v>
      </c>
      <c r="E51" s="5">
        <f t="shared" si="2"/>
        <v>16</v>
      </c>
      <c r="F51" s="9">
        <v>29.57</v>
      </c>
      <c r="G51" s="9">
        <v>50882.400000000001</v>
      </c>
      <c r="H51" s="36">
        <f t="shared" si="3"/>
        <v>1504592.568</v>
      </c>
      <c r="I51" s="9">
        <v>0</v>
      </c>
      <c r="J51" s="9">
        <v>0</v>
      </c>
      <c r="K51" s="9">
        <v>0</v>
      </c>
      <c r="L51" s="9">
        <v>0</v>
      </c>
      <c r="M51" s="9">
        <f t="shared" si="4"/>
        <v>1504592.568</v>
      </c>
      <c r="N51" s="9">
        <f t="shared" ref="N51:N52" si="9">M51*2%</f>
        <v>30091.851360000001</v>
      </c>
      <c r="O51" s="9">
        <v>0</v>
      </c>
      <c r="P51" s="9">
        <f t="shared" si="5"/>
        <v>1534684.4193599999</v>
      </c>
      <c r="Q51" s="9">
        <v>29.57</v>
      </c>
    </row>
    <row r="52" spans="1:17" x14ac:dyDescent="0.2">
      <c r="A52" s="5" t="s">
        <v>12</v>
      </c>
      <c r="B52" s="5" t="s">
        <v>13</v>
      </c>
      <c r="C52" s="6">
        <v>42476</v>
      </c>
      <c r="D52" s="5">
        <f t="shared" si="1"/>
        <v>4</v>
      </c>
      <c r="E52" s="5">
        <f t="shared" si="2"/>
        <v>16</v>
      </c>
      <c r="F52" s="9">
        <v>27.32</v>
      </c>
      <c r="G52" s="9">
        <v>50882.400000000001</v>
      </c>
      <c r="H52" s="36">
        <f t="shared" si="3"/>
        <v>1390107.1680000001</v>
      </c>
      <c r="I52" s="9">
        <v>0</v>
      </c>
      <c r="J52" s="9">
        <v>0</v>
      </c>
      <c r="K52" s="9">
        <v>0</v>
      </c>
      <c r="L52" s="9">
        <v>0</v>
      </c>
      <c r="M52" s="9">
        <f t="shared" si="4"/>
        <v>1390107.1680000001</v>
      </c>
      <c r="N52" s="9">
        <f t="shared" si="9"/>
        <v>27802.143360000002</v>
      </c>
      <c r="O52" s="9">
        <v>0</v>
      </c>
      <c r="P52" s="9">
        <f t="shared" si="5"/>
        <v>1417909.3113600002</v>
      </c>
      <c r="Q52" s="9">
        <v>27.32</v>
      </c>
    </row>
    <row r="53" spans="1:17" x14ac:dyDescent="0.2">
      <c r="A53" s="5" t="s">
        <v>14</v>
      </c>
      <c r="B53" s="5" t="s">
        <v>15</v>
      </c>
      <c r="C53" s="6">
        <v>42476</v>
      </c>
      <c r="D53" s="5">
        <f t="shared" si="1"/>
        <v>4</v>
      </c>
      <c r="E53" s="5">
        <f t="shared" si="2"/>
        <v>16</v>
      </c>
      <c r="F53" s="9">
        <v>26.81</v>
      </c>
      <c r="G53" s="9">
        <v>55000</v>
      </c>
      <c r="H53" s="36">
        <f t="shared" si="3"/>
        <v>1474550</v>
      </c>
      <c r="I53" s="9">
        <v>0</v>
      </c>
      <c r="J53" s="9">
        <v>0</v>
      </c>
      <c r="K53" s="9">
        <v>0</v>
      </c>
      <c r="L53" s="9">
        <v>0</v>
      </c>
      <c r="M53" s="9">
        <f t="shared" si="4"/>
        <v>1474550</v>
      </c>
      <c r="N53" s="9">
        <v>0</v>
      </c>
      <c r="O53" s="9">
        <v>0</v>
      </c>
      <c r="P53" s="9">
        <f t="shared" si="5"/>
        <v>1474550</v>
      </c>
      <c r="Q53" s="9">
        <v>26.81</v>
      </c>
    </row>
    <row r="54" spans="1:17" x14ac:dyDescent="0.2">
      <c r="A54" s="5" t="s">
        <v>14</v>
      </c>
      <c r="B54" s="5" t="s">
        <v>15</v>
      </c>
      <c r="C54" s="6">
        <v>42476</v>
      </c>
      <c r="D54" s="5">
        <f t="shared" si="1"/>
        <v>4</v>
      </c>
      <c r="E54" s="5">
        <f t="shared" si="2"/>
        <v>16</v>
      </c>
      <c r="F54" s="9">
        <v>27.65</v>
      </c>
      <c r="G54" s="9">
        <v>55000</v>
      </c>
      <c r="H54" s="36">
        <f t="shared" si="3"/>
        <v>1520750</v>
      </c>
      <c r="I54" s="9">
        <v>0</v>
      </c>
      <c r="J54" s="9">
        <v>0</v>
      </c>
      <c r="K54" s="9">
        <v>0</v>
      </c>
      <c r="L54" s="9">
        <v>0</v>
      </c>
      <c r="M54" s="9">
        <f t="shared" si="4"/>
        <v>1520750</v>
      </c>
      <c r="N54" s="9">
        <v>0</v>
      </c>
      <c r="O54" s="9">
        <v>0</v>
      </c>
      <c r="P54" s="9">
        <f t="shared" si="5"/>
        <v>1520750</v>
      </c>
      <c r="Q54" s="9">
        <v>27.65</v>
      </c>
    </row>
    <row r="55" spans="1:17" x14ac:dyDescent="0.2">
      <c r="A55" s="5" t="s">
        <v>22</v>
      </c>
      <c r="B55" s="5" t="s">
        <v>15</v>
      </c>
      <c r="C55" s="6">
        <v>42476</v>
      </c>
      <c r="D55" s="5">
        <f t="shared" si="1"/>
        <v>4</v>
      </c>
      <c r="E55" s="5">
        <f t="shared" si="2"/>
        <v>16</v>
      </c>
      <c r="F55" s="9">
        <v>29.92</v>
      </c>
      <c r="G55" s="9">
        <v>45418.37</v>
      </c>
      <c r="H55" s="36">
        <f t="shared" si="3"/>
        <v>1358917.6304000001</v>
      </c>
      <c r="I55" s="9">
        <v>0</v>
      </c>
      <c r="J55" s="9">
        <v>0</v>
      </c>
      <c r="K55" s="9">
        <v>0</v>
      </c>
      <c r="L55" s="9">
        <v>0</v>
      </c>
      <c r="M55" s="9">
        <f t="shared" si="4"/>
        <v>1358917.6304000001</v>
      </c>
      <c r="N55" s="9">
        <v>0</v>
      </c>
      <c r="O55" s="9">
        <v>0</v>
      </c>
      <c r="P55" s="9">
        <f t="shared" si="5"/>
        <v>1358917.6304000001</v>
      </c>
      <c r="Q55" s="9">
        <v>29.92</v>
      </c>
    </row>
    <row r="56" spans="1:17" x14ac:dyDescent="0.2">
      <c r="A56" s="5" t="s">
        <v>21</v>
      </c>
      <c r="B56" s="5" t="s">
        <v>15</v>
      </c>
      <c r="C56" s="6">
        <v>42476</v>
      </c>
      <c r="D56" s="5">
        <f t="shared" si="1"/>
        <v>4</v>
      </c>
      <c r="E56" s="5">
        <f t="shared" si="2"/>
        <v>16</v>
      </c>
      <c r="F56" s="9">
        <v>20.52</v>
      </c>
      <c r="G56" s="9">
        <v>45500</v>
      </c>
      <c r="H56" s="36">
        <f t="shared" si="3"/>
        <v>933660</v>
      </c>
      <c r="I56" s="9">
        <v>0</v>
      </c>
      <c r="J56" s="9">
        <v>0</v>
      </c>
      <c r="K56" s="9">
        <v>0</v>
      </c>
      <c r="L56" s="9">
        <v>0</v>
      </c>
      <c r="M56" s="9">
        <f t="shared" si="4"/>
        <v>933660</v>
      </c>
      <c r="N56" s="9">
        <v>0</v>
      </c>
      <c r="O56" s="9">
        <v>0</v>
      </c>
      <c r="P56" s="9">
        <f t="shared" si="5"/>
        <v>933660</v>
      </c>
      <c r="Q56" s="9">
        <v>20.52</v>
      </c>
    </row>
    <row r="57" spans="1:17" x14ac:dyDescent="0.2">
      <c r="A57" s="5" t="s">
        <v>19</v>
      </c>
      <c r="B57" s="5" t="s">
        <v>23</v>
      </c>
      <c r="C57" s="6">
        <v>42476</v>
      </c>
      <c r="D57" s="5">
        <f t="shared" si="1"/>
        <v>4</v>
      </c>
      <c r="E57" s="5">
        <f t="shared" si="2"/>
        <v>16</v>
      </c>
      <c r="F57" s="9">
        <v>19.829999999999998</v>
      </c>
      <c r="G57" s="9">
        <v>78770</v>
      </c>
      <c r="H57" s="36">
        <f t="shared" si="3"/>
        <v>1562009.0999999999</v>
      </c>
      <c r="I57" s="9">
        <v>0</v>
      </c>
      <c r="J57" s="9">
        <v>0</v>
      </c>
      <c r="K57" s="9">
        <v>3186</v>
      </c>
      <c r="L57" s="9">
        <v>0</v>
      </c>
      <c r="M57" s="9">
        <f t="shared" si="4"/>
        <v>1565195.0999999999</v>
      </c>
      <c r="N57" s="9">
        <v>31240.181999999997</v>
      </c>
      <c r="O57" s="9">
        <v>0</v>
      </c>
      <c r="P57" s="9">
        <f t="shared" si="5"/>
        <v>1596435.2819999999</v>
      </c>
      <c r="Q57" s="9">
        <v>19.829999999999998</v>
      </c>
    </row>
    <row r="58" spans="1:17" x14ac:dyDescent="0.2">
      <c r="A58" s="5" t="s">
        <v>27</v>
      </c>
      <c r="B58" s="5" t="s">
        <v>18</v>
      </c>
      <c r="C58" s="6">
        <v>42477</v>
      </c>
      <c r="D58" s="5">
        <f t="shared" si="1"/>
        <v>4</v>
      </c>
      <c r="E58" s="5">
        <f t="shared" si="2"/>
        <v>17</v>
      </c>
      <c r="F58" s="9">
        <v>28.21</v>
      </c>
      <c r="G58" s="9">
        <v>44700</v>
      </c>
      <c r="H58" s="36">
        <f t="shared" si="3"/>
        <v>1260987</v>
      </c>
      <c r="I58" s="9">
        <v>0</v>
      </c>
      <c r="J58" s="9">
        <v>0</v>
      </c>
      <c r="K58" s="9">
        <v>0</v>
      </c>
      <c r="L58" s="9">
        <v>0</v>
      </c>
      <c r="M58" s="9">
        <f t="shared" si="4"/>
        <v>1260987</v>
      </c>
      <c r="N58" s="9">
        <v>0</v>
      </c>
      <c r="O58" s="9">
        <v>0</v>
      </c>
      <c r="P58" s="9">
        <f t="shared" si="5"/>
        <v>1260987</v>
      </c>
      <c r="Q58" s="9">
        <v>28.21</v>
      </c>
    </row>
    <row r="59" spans="1:17" x14ac:dyDescent="0.2">
      <c r="A59" s="5" t="s">
        <v>24</v>
      </c>
      <c r="B59" s="5" t="s">
        <v>15</v>
      </c>
      <c r="C59" s="6">
        <v>42477</v>
      </c>
      <c r="D59" s="5">
        <f t="shared" si="1"/>
        <v>4</v>
      </c>
      <c r="E59" s="5">
        <f t="shared" si="2"/>
        <v>17</v>
      </c>
      <c r="F59" s="9">
        <v>26.97</v>
      </c>
      <c r="G59" s="9">
        <v>53379.15</v>
      </c>
      <c r="H59" s="36">
        <f t="shared" si="3"/>
        <v>1439635.6754999999</v>
      </c>
      <c r="I59" s="9">
        <v>0</v>
      </c>
      <c r="J59" s="9">
        <v>0</v>
      </c>
      <c r="K59" s="9">
        <v>0</v>
      </c>
      <c r="L59" s="9">
        <v>0</v>
      </c>
      <c r="M59" s="9">
        <f t="shared" si="4"/>
        <v>1439635.6754999999</v>
      </c>
      <c r="N59" s="9">
        <v>0</v>
      </c>
      <c r="O59" s="9">
        <v>0</v>
      </c>
      <c r="P59" s="9">
        <f t="shared" si="5"/>
        <v>1439635.6754999999</v>
      </c>
      <c r="Q59" s="9">
        <v>26.97</v>
      </c>
    </row>
    <row r="60" spans="1:17" x14ac:dyDescent="0.2">
      <c r="A60" s="5" t="s">
        <v>17</v>
      </c>
      <c r="B60" s="5" t="s">
        <v>18</v>
      </c>
      <c r="C60" s="6">
        <v>42477</v>
      </c>
      <c r="D60" s="5">
        <f t="shared" si="1"/>
        <v>4</v>
      </c>
      <c r="E60" s="5">
        <f t="shared" si="2"/>
        <v>17</v>
      </c>
      <c r="F60" s="9">
        <v>27.22</v>
      </c>
      <c r="G60" s="9">
        <v>55000</v>
      </c>
      <c r="H60" s="36">
        <f t="shared" si="3"/>
        <v>1497100</v>
      </c>
      <c r="I60" s="9">
        <v>0</v>
      </c>
      <c r="J60" s="9">
        <v>0</v>
      </c>
      <c r="K60" s="9">
        <v>0</v>
      </c>
      <c r="L60" s="9">
        <v>0</v>
      </c>
      <c r="M60" s="9">
        <f t="shared" si="4"/>
        <v>1497100</v>
      </c>
      <c r="N60" s="9">
        <v>0</v>
      </c>
      <c r="O60" s="9">
        <v>0</v>
      </c>
      <c r="P60" s="9">
        <f t="shared" si="5"/>
        <v>1497100</v>
      </c>
      <c r="Q60" s="9">
        <v>27.22</v>
      </c>
    </row>
    <row r="61" spans="1:17" x14ac:dyDescent="0.2">
      <c r="A61" s="5" t="s">
        <v>27</v>
      </c>
      <c r="B61" s="5" t="s">
        <v>18</v>
      </c>
      <c r="C61" s="6">
        <v>42477</v>
      </c>
      <c r="D61" s="5">
        <f t="shared" si="1"/>
        <v>4</v>
      </c>
      <c r="E61" s="5">
        <f t="shared" si="2"/>
        <v>17</v>
      </c>
      <c r="F61" s="9">
        <v>29.86</v>
      </c>
      <c r="G61" s="9">
        <v>45966.89</v>
      </c>
      <c r="H61" s="36">
        <f t="shared" si="3"/>
        <v>1372571.3354</v>
      </c>
      <c r="I61" s="9">
        <v>0</v>
      </c>
      <c r="J61" s="9">
        <v>0</v>
      </c>
      <c r="K61" s="9">
        <v>0</v>
      </c>
      <c r="L61" s="9">
        <v>0</v>
      </c>
      <c r="M61" s="9">
        <f t="shared" si="4"/>
        <v>1372571.3354</v>
      </c>
      <c r="N61" s="9">
        <v>0</v>
      </c>
      <c r="O61" s="9">
        <v>0</v>
      </c>
      <c r="P61" s="9">
        <f t="shared" si="5"/>
        <v>1372571.3354</v>
      </c>
      <c r="Q61" s="9">
        <v>29.86</v>
      </c>
    </row>
    <row r="62" spans="1:17" x14ac:dyDescent="0.2">
      <c r="A62" s="5" t="s">
        <v>24</v>
      </c>
      <c r="B62" s="5" t="s">
        <v>15</v>
      </c>
      <c r="C62" s="6">
        <v>42477</v>
      </c>
      <c r="D62" s="5">
        <f t="shared" si="1"/>
        <v>4</v>
      </c>
      <c r="E62" s="5">
        <f t="shared" si="2"/>
        <v>17</v>
      </c>
      <c r="F62" s="9">
        <v>30.26</v>
      </c>
      <c r="G62" s="9">
        <v>55800</v>
      </c>
      <c r="H62" s="36">
        <f t="shared" si="3"/>
        <v>1688508</v>
      </c>
      <c r="I62" s="9">
        <v>0</v>
      </c>
      <c r="J62" s="9">
        <v>0</v>
      </c>
      <c r="K62" s="9">
        <v>0</v>
      </c>
      <c r="L62" s="9">
        <v>0</v>
      </c>
      <c r="M62" s="9">
        <f t="shared" si="4"/>
        <v>1688508</v>
      </c>
      <c r="N62" s="9">
        <v>0</v>
      </c>
      <c r="O62" s="9">
        <v>0</v>
      </c>
      <c r="P62" s="9">
        <f t="shared" si="5"/>
        <v>1688508</v>
      </c>
      <c r="Q62" s="9">
        <v>30.26</v>
      </c>
    </row>
    <row r="63" spans="1:17" x14ac:dyDescent="0.2">
      <c r="A63" s="5" t="s">
        <v>22</v>
      </c>
      <c r="B63" s="5" t="s">
        <v>15</v>
      </c>
      <c r="C63" s="6">
        <v>42478</v>
      </c>
      <c r="D63" s="5">
        <f t="shared" si="1"/>
        <v>4</v>
      </c>
      <c r="E63" s="5">
        <f t="shared" si="2"/>
        <v>17</v>
      </c>
      <c r="F63" s="9">
        <v>22.71</v>
      </c>
      <c r="G63" s="9">
        <v>46200</v>
      </c>
      <c r="H63" s="36">
        <f t="shared" si="3"/>
        <v>1049202</v>
      </c>
      <c r="I63" s="9">
        <v>0</v>
      </c>
      <c r="J63" s="9">
        <v>0</v>
      </c>
      <c r="K63" s="9">
        <v>0</v>
      </c>
      <c r="L63" s="9">
        <v>0</v>
      </c>
      <c r="M63" s="9">
        <f t="shared" si="4"/>
        <v>1049202</v>
      </c>
      <c r="N63" s="9">
        <v>0</v>
      </c>
      <c r="O63" s="9">
        <v>0</v>
      </c>
      <c r="P63" s="9">
        <f t="shared" si="5"/>
        <v>1049202</v>
      </c>
      <c r="Q63" s="9">
        <v>22.71</v>
      </c>
    </row>
    <row r="64" spans="1:17" x14ac:dyDescent="0.2">
      <c r="A64" s="5" t="s">
        <v>12</v>
      </c>
      <c r="B64" s="5" t="s">
        <v>13</v>
      </c>
      <c r="C64" s="6">
        <v>42478</v>
      </c>
      <c r="D64" s="5">
        <f t="shared" si="1"/>
        <v>4</v>
      </c>
      <c r="E64" s="5">
        <f t="shared" si="2"/>
        <v>17</v>
      </c>
      <c r="F64" s="9">
        <v>28.76</v>
      </c>
      <c r="G64" s="9">
        <v>50882.400000000001</v>
      </c>
      <c r="H64" s="36">
        <f t="shared" si="3"/>
        <v>1463377.824</v>
      </c>
      <c r="I64" s="9">
        <v>0</v>
      </c>
      <c r="J64" s="9">
        <v>0</v>
      </c>
      <c r="K64" s="9">
        <v>0</v>
      </c>
      <c r="L64" s="9">
        <v>0</v>
      </c>
      <c r="M64" s="9">
        <f t="shared" si="4"/>
        <v>1463377.824</v>
      </c>
      <c r="N64" s="9">
        <f>M64*2%</f>
        <v>29267.556479999999</v>
      </c>
      <c r="O64" s="9">
        <v>0</v>
      </c>
      <c r="P64" s="9">
        <f t="shared" si="5"/>
        <v>1492645.3804800001</v>
      </c>
      <c r="Q64" s="9">
        <v>28.76</v>
      </c>
    </row>
    <row r="65" spans="1:19" x14ac:dyDescent="0.2">
      <c r="A65" s="5" t="s">
        <v>28</v>
      </c>
      <c r="B65" s="5" t="s">
        <v>20</v>
      </c>
      <c r="C65" s="6">
        <v>42478</v>
      </c>
      <c r="D65" s="5">
        <f t="shared" si="1"/>
        <v>4</v>
      </c>
      <c r="E65" s="5">
        <f t="shared" si="2"/>
        <v>17</v>
      </c>
      <c r="F65" s="9">
        <v>18.850000000000001</v>
      </c>
      <c r="G65" s="9">
        <v>74400</v>
      </c>
      <c r="H65" s="36">
        <f t="shared" si="3"/>
        <v>1402440</v>
      </c>
      <c r="I65" s="9">
        <v>0</v>
      </c>
      <c r="J65" s="9">
        <v>0</v>
      </c>
      <c r="K65" s="9">
        <v>0</v>
      </c>
      <c r="L65" s="9">
        <v>0</v>
      </c>
      <c r="M65" s="9">
        <f t="shared" si="4"/>
        <v>1402440</v>
      </c>
      <c r="N65" s="9">
        <v>28420.799999999999</v>
      </c>
      <c r="O65" s="9">
        <v>5605</v>
      </c>
      <c r="P65" s="9">
        <f t="shared" si="5"/>
        <v>1536515.05</v>
      </c>
      <c r="Q65" s="9">
        <v>18.850000000000001</v>
      </c>
      <c r="S65" s="1">
        <f>P65/Q65</f>
        <v>81512.734748010611</v>
      </c>
    </row>
    <row r="66" spans="1:19" x14ac:dyDescent="0.2">
      <c r="A66" s="5" t="s">
        <v>25</v>
      </c>
      <c r="B66" s="5" t="s">
        <v>26</v>
      </c>
      <c r="C66" s="6">
        <v>42478</v>
      </c>
      <c r="D66" s="5">
        <f t="shared" si="1"/>
        <v>4</v>
      </c>
      <c r="E66" s="5">
        <f t="shared" si="2"/>
        <v>17</v>
      </c>
      <c r="F66" s="9">
        <v>21.51</v>
      </c>
      <c r="G66" s="9">
        <v>57883.91</v>
      </c>
      <c r="H66" s="36">
        <f t="shared" si="3"/>
        <v>1245082.9041000002</v>
      </c>
      <c r="I66" s="9">
        <v>0</v>
      </c>
      <c r="J66" s="9">
        <v>0</v>
      </c>
      <c r="K66" s="9">
        <v>0</v>
      </c>
      <c r="L66" s="9">
        <v>0</v>
      </c>
      <c r="M66" s="9">
        <f t="shared" si="4"/>
        <v>1245082.9041000002</v>
      </c>
      <c r="N66" s="9">
        <v>0</v>
      </c>
      <c r="O66" s="9">
        <v>1600</v>
      </c>
      <c r="P66" s="9">
        <f t="shared" si="5"/>
        <v>1279498.9041000002</v>
      </c>
      <c r="Q66" s="9">
        <v>21.51</v>
      </c>
    </row>
    <row r="67" spans="1:19" x14ac:dyDescent="0.2">
      <c r="A67" s="5" t="s">
        <v>25</v>
      </c>
      <c r="B67" s="5" t="s">
        <v>26</v>
      </c>
      <c r="C67" s="6">
        <v>42478</v>
      </c>
      <c r="D67" s="5">
        <f t="shared" ref="D67:D126" si="10">MONTH(C67)</f>
        <v>4</v>
      </c>
      <c r="E67" s="5">
        <f t="shared" ref="E67:E126" si="11">WEEKNUM(C67)</f>
        <v>17</v>
      </c>
      <c r="F67" s="9">
        <v>21.53</v>
      </c>
      <c r="G67" s="9">
        <v>57883.91</v>
      </c>
      <c r="H67" s="36">
        <f t="shared" ref="H67:H126" si="12">G67*F67</f>
        <v>1246240.5823000001</v>
      </c>
      <c r="I67" s="9">
        <v>0</v>
      </c>
      <c r="J67" s="9">
        <v>0</v>
      </c>
      <c r="K67" s="9">
        <v>0</v>
      </c>
      <c r="L67" s="9">
        <v>0</v>
      </c>
      <c r="M67" s="9">
        <f t="shared" ref="M67:M126" si="13">H67+I67+J67+K67+L67</f>
        <v>1246240.5823000001</v>
      </c>
      <c r="N67" s="9">
        <v>0</v>
      </c>
      <c r="O67" s="9">
        <v>1600</v>
      </c>
      <c r="P67" s="9">
        <f t="shared" si="5"/>
        <v>1280688.5823000001</v>
      </c>
      <c r="Q67" s="9">
        <v>21.53</v>
      </c>
    </row>
    <row r="68" spans="1:19" x14ac:dyDescent="0.2">
      <c r="A68" s="5" t="s">
        <v>25</v>
      </c>
      <c r="B68" s="5" t="s">
        <v>26</v>
      </c>
      <c r="C68" s="6">
        <v>42478</v>
      </c>
      <c r="D68" s="5">
        <f t="shared" si="10"/>
        <v>4</v>
      </c>
      <c r="E68" s="5">
        <f t="shared" si="11"/>
        <v>17</v>
      </c>
      <c r="F68" s="9">
        <v>21.49</v>
      </c>
      <c r="G68" s="9">
        <v>57883.91</v>
      </c>
      <c r="H68" s="36">
        <f t="shared" si="12"/>
        <v>1243925.2259</v>
      </c>
      <c r="I68" s="9">
        <v>0</v>
      </c>
      <c r="J68" s="9">
        <v>0</v>
      </c>
      <c r="K68" s="9">
        <v>0</v>
      </c>
      <c r="L68" s="9">
        <v>0</v>
      </c>
      <c r="M68" s="9">
        <f t="shared" si="13"/>
        <v>1243925.2259</v>
      </c>
      <c r="N68" s="9">
        <v>0</v>
      </c>
      <c r="O68" s="9">
        <v>1600</v>
      </c>
      <c r="P68" s="9">
        <f t="shared" si="5"/>
        <v>1278309.2259</v>
      </c>
      <c r="Q68" s="9">
        <v>21.49</v>
      </c>
    </row>
    <row r="69" spans="1:19" x14ac:dyDescent="0.2">
      <c r="A69" s="5" t="s">
        <v>25</v>
      </c>
      <c r="B69" s="5" t="s">
        <v>26</v>
      </c>
      <c r="C69" s="6">
        <v>42478</v>
      </c>
      <c r="D69" s="5">
        <f t="shared" si="10"/>
        <v>4</v>
      </c>
      <c r="E69" s="5">
        <f t="shared" si="11"/>
        <v>17</v>
      </c>
      <c r="F69" s="9">
        <v>21.47</v>
      </c>
      <c r="G69" s="9">
        <v>57883.91</v>
      </c>
      <c r="H69" s="36">
        <f t="shared" si="12"/>
        <v>1242767.5477</v>
      </c>
      <c r="I69" s="9">
        <v>0</v>
      </c>
      <c r="J69" s="9">
        <v>0</v>
      </c>
      <c r="K69" s="9">
        <v>0</v>
      </c>
      <c r="L69" s="9">
        <v>0</v>
      </c>
      <c r="M69" s="9">
        <f t="shared" si="13"/>
        <v>1242767.5477</v>
      </c>
      <c r="N69" s="9">
        <v>0</v>
      </c>
      <c r="O69" s="9">
        <v>1600</v>
      </c>
      <c r="P69" s="9">
        <f t="shared" ref="P69:P126" si="14">M69+N69+O69*Q69</f>
        <v>1277119.5477</v>
      </c>
      <c r="Q69" s="9">
        <v>21.47</v>
      </c>
    </row>
    <row r="70" spans="1:19" x14ac:dyDescent="0.2">
      <c r="A70" s="5" t="s">
        <v>25</v>
      </c>
      <c r="B70" s="5" t="s">
        <v>26</v>
      </c>
      <c r="C70" s="6">
        <v>42478</v>
      </c>
      <c r="D70" s="5">
        <f t="shared" si="10"/>
        <v>4</v>
      </c>
      <c r="E70" s="5">
        <f t="shared" si="11"/>
        <v>17</v>
      </c>
      <c r="F70" s="9">
        <v>21.48</v>
      </c>
      <c r="G70" s="9">
        <v>57883.91</v>
      </c>
      <c r="H70" s="36">
        <f t="shared" si="12"/>
        <v>1243346.3868000002</v>
      </c>
      <c r="I70" s="9">
        <v>0</v>
      </c>
      <c r="J70" s="9">
        <v>0</v>
      </c>
      <c r="K70" s="9">
        <v>0</v>
      </c>
      <c r="L70" s="9">
        <v>0</v>
      </c>
      <c r="M70" s="9">
        <f t="shared" si="13"/>
        <v>1243346.3868000002</v>
      </c>
      <c r="N70" s="9">
        <v>0</v>
      </c>
      <c r="O70" s="9">
        <v>1600</v>
      </c>
      <c r="P70" s="9">
        <f t="shared" si="14"/>
        <v>1277714.3868000002</v>
      </c>
      <c r="Q70" s="9">
        <v>21.48</v>
      </c>
    </row>
    <row r="71" spans="1:19" x14ac:dyDescent="0.2">
      <c r="A71" s="5" t="s">
        <v>25</v>
      </c>
      <c r="B71" s="5" t="s">
        <v>26</v>
      </c>
      <c r="C71" s="6">
        <v>42478</v>
      </c>
      <c r="D71" s="5">
        <f t="shared" si="10"/>
        <v>4</v>
      </c>
      <c r="E71" s="5">
        <f t="shared" si="11"/>
        <v>17</v>
      </c>
      <c r="F71" s="9">
        <v>21.52</v>
      </c>
      <c r="G71" s="9">
        <v>57883.91</v>
      </c>
      <c r="H71" s="36">
        <f t="shared" si="12"/>
        <v>1245661.7432000001</v>
      </c>
      <c r="I71" s="9">
        <v>0</v>
      </c>
      <c r="J71" s="9">
        <v>0</v>
      </c>
      <c r="K71" s="9">
        <v>0</v>
      </c>
      <c r="L71" s="9">
        <v>0</v>
      </c>
      <c r="M71" s="9">
        <f t="shared" si="13"/>
        <v>1245661.7432000001</v>
      </c>
      <c r="N71" s="9">
        <v>0</v>
      </c>
      <c r="O71" s="9">
        <v>1600</v>
      </c>
      <c r="P71" s="9">
        <f t="shared" si="14"/>
        <v>1280093.7432000001</v>
      </c>
      <c r="Q71" s="9">
        <v>21.52</v>
      </c>
    </row>
    <row r="72" spans="1:19" x14ac:dyDescent="0.2">
      <c r="A72" s="5" t="s">
        <v>25</v>
      </c>
      <c r="B72" s="5" t="s">
        <v>26</v>
      </c>
      <c r="C72" s="6">
        <v>42479</v>
      </c>
      <c r="D72" s="5">
        <f t="shared" si="10"/>
        <v>4</v>
      </c>
      <c r="E72" s="5">
        <f t="shared" si="11"/>
        <v>17</v>
      </c>
      <c r="F72" s="9">
        <v>21.35</v>
      </c>
      <c r="G72" s="9">
        <v>57883.91</v>
      </c>
      <c r="H72" s="36">
        <f t="shared" si="12"/>
        <v>1235821.4785000002</v>
      </c>
      <c r="I72" s="9">
        <v>0</v>
      </c>
      <c r="J72" s="9">
        <v>0</v>
      </c>
      <c r="K72" s="9">
        <v>0</v>
      </c>
      <c r="L72" s="9">
        <v>0</v>
      </c>
      <c r="M72" s="9">
        <f t="shared" si="13"/>
        <v>1235821.4785000002</v>
      </c>
      <c r="N72" s="9">
        <v>0</v>
      </c>
      <c r="O72" s="9">
        <v>1600</v>
      </c>
      <c r="P72" s="9">
        <f t="shared" si="14"/>
        <v>1269981.4785000002</v>
      </c>
      <c r="Q72" s="9">
        <v>21.35</v>
      </c>
    </row>
    <row r="73" spans="1:19" x14ac:dyDescent="0.2">
      <c r="A73" s="5" t="s">
        <v>19</v>
      </c>
      <c r="B73" s="5" t="s">
        <v>23</v>
      </c>
      <c r="C73" s="6">
        <v>42479</v>
      </c>
      <c r="D73" s="5">
        <f t="shared" si="10"/>
        <v>4</v>
      </c>
      <c r="E73" s="5">
        <f t="shared" si="11"/>
        <v>17</v>
      </c>
      <c r="F73" s="9">
        <v>19.55</v>
      </c>
      <c r="G73" s="9">
        <v>78770</v>
      </c>
      <c r="H73" s="36">
        <f t="shared" si="12"/>
        <v>1539953.5</v>
      </c>
      <c r="I73" s="9">
        <v>0</v>
      </c>
      <c r="J73" s="9">
        <v>0</v>
      </c>
      <c r="K73" s="9">
        <v>3161</v>
      </c>
      <c r="L73" s="9">
        <v>0</v>
      </c>
      <c r="M73" s="9">
        <f t="shared" si="13"/>
        <v>1543114.5</v>
      </c>
      <c r="N73" s="9">
        <v>30988.118000000002</v>
      </c>
      <c r="O73" s="9">
        <v>0</v>
      </c>
      <c r="P73" s="9">
        <f t="shared" si="14"/>
        <v>1574102.618</v>
      </c>
      <c r="Q73" s="9">
        <v>19.55</v>
      </c>
    </row>
    <row r="74" spans="1:19" x14ac:dyDescent="0.2">
      <c r="A74" s="5" t="s">
        <v>19</v>
      </c>
      <c r="B74" s="5" t="s">
        <v>23</v>
      </c>
      <c r="C74" s="6">
        <v>42479</v>
      </c>
      <c r="D74" s="5">
        <f t="shared" si="10"/>
        <v>4</v>
      </c>
      <c r="E74" s="5">
        <f t="shared" si="11"/>
        <v>17</v>
      </c>
      <c r="F74" s="9">
        <v>27.64</v>
      </c>
      <c r="G74" s="9">
        <v>78770</v>
      </c>
      <c r="H74" s="36">
        <f t="shared" si="12"/>
        <v>2177202.7999999998</v>
      </c>
      <c r="I74" s="9">
        <v>0</v>
      </c>
      <c r="J74" s="9">
        <v>0</v>
      </c>
      <c r="K74" s="9">
        <v>4443</v>
      </c>
      <c r="L74" s="9">
        <v>0</v>
      </c>
      <c r="M74" s="9">
        <f t="shared" si="13"/>
        <v>2181645.7999999998</v>
      </c>
      <c r="N74" s="9">
        <v>43559.81</v>
      </c>
      <c r="O74" s="9">
        <v>0</v>
      </c>
      <c r="P74" s="9">
        <f t="shared" si="14"/>
        <v>2225205.61</v>
      </c>
      <c r="Q74" s="9">
        <v>27.64</v>
      </c>
    </row>
    <row r="75" spans="1:19" x14ac:dyDescent="0.2">
      <c r="A75" s="5" t="s">
        <v>19</v>
      </c>
      <c r="B75" s="5" t="s">
        <v>23</v>
      </c>
      <c r="C75" s="6">
        <v>42479</v>
      </c>
      <c r="D75" s="5">
        <f t="shared" si="10"/>
        <v>4</v>
      </c>
      <c r="E75" s="5">
        <f t="shared" si="11"/>
        <v>17</v>
      </c>
      <c r="F75" s="9">
        <v>26.83</v>
      </c>
      <c r="G75" s="9">
        <v>81780</v>
      </c>
      <c r="H75" s="36">
        <f t="shared" si="12"/>
        <v>2194157.4</v>
      </c>
      <c r="I75" s="9">
        <v>0</v>
      </c>
      <c r="J75" s="9">
        <v>0</v>
      </c>
      <c r="K75" s="9">
        <v>2239</v>
      </c>
      <c r="L75" s="9">
        <v>0</v>
      </c>
      <c r="M75" s="9">
        <f t="shared" si="13"/>
        <v>2196396.4</v>
      </c>
      <c r="N75" s="9">
        <v>43899.504000000008</v>
      </c>
      <c r="O75" s="9">
        <v>0</v>
      </c>
      <c r="P75" s="9">
        <f t="shared" si="14"/>
        <v>2240295.9040000001</v>
      </c>
      <c r="Q75" s="9">
        <v>26.83</v>
      </c>
    </row>
    <row r="76" spans="1:19" x14ac:dyDescent="0.2">
      <c r="A76" s="5" t="s">
        <v>19</v>
      </c>
      <c r="B76" s="5" t="s">
        <v>23</v>
      </c>
      <c r="C76" s="6">
        <v>42479</v>
      </c>
      <c r="D76" s="5">
        <f t="shared" si="10"/>
        <v>4</v>
      </c>
      <c r="E76" s="5">
        <f t="shared" si="11"/>
        <v>17</v>
      </c>
      <c r="F76" s="9">
        <v>20.86</v>
      </c>
      <c r="G76" s="9">
        <v>81780</v>
      </c>
      <c r="H76" s="36">
        <f t="shared" si="12"/>
        <v>1705930.8</v>
      </c>
      <c r="I76" s="9">
        <v>0</v>
      </c>
      <c r="J76" s="9">
        <v>0</v>
      </c>
      <c r="K76" s="9">
        <v>1740</v>
      </c>
      <c r="L76" s="9">
        <v>0</v>
      </c>
      <c r="M76" s="9">
        <f t="shared" si="13"/>
        <v>1707670.8</v>
      </c>
      <c r="N76" s="9">
        <v>34119</v>
      </c>
      <c r="O76" s="9">
        <v>0</v>
      </c>
      <c r="P76" s="9">
        <f t="shared" si="14"/>
        <v>1741789.8</v>
      </c>
      <c r="Q76" s="9">
        <v>20.86</v>
      </c>
    </row>
    <row r="77" spans="1:19" x14ac:dyDescent="0.2">
      <c r="A77" s="5" t="s">
        <v>19</v>
      </c>
      <c r="B77" s="5" t="s">
        <v>23</v>
      </c>
      <c r="C77" s="6">
        <v>42479</v>
      </c>
      <c r="D77" s="5">
        <f t="shared" si="10"/>
        <v>4</v>
      </c>
      <c r="E77" s="5">
        <f t="shared" si="11"/>
        <v>17</v>
      </c>
      <c r="F77" s="9">
        <v>20.9</v>
      </c>
      <c r="G77" s="9">
        <v>81780</v>
      </c>
      <c r="H77" s="36">
        <f t="shared" si="12"/>
        <v>1709202</v>
      </c>
      <c r="I77" s="9">
        <v>0</v>
      </c>
      <c r="J77" s="9">
        <v>0</v>
      </c>
      <c r="K77" s="9">
        <v>1743</v>
      </c>
      <c r="L77" s="9">
        <v>0</v>
      </c>
      <c r="M77" s="9">
        <f t="shared" si="13"/>
        <v>1710945</v>
      </c>
      <c r="N77" s="9">
        <v>34184.04</v>
      </c>
      <c r="O77" s="9">
        <v>0</v>
      </c>
      <c r="P77" s="9">
        <f t="shared" si="14"/>
        <v>1745129.04</v>
      </c>
      <c r="Q77" s="9">
        <v>20.9</v>
      </c>
    </row>
    <row r="78" spans="1:19" x14ac:dyDescent="0.2">
      <c r="A78" s="5" t="s">
        <v>21</v>
      </c>
      <c r="B78" s="5" t="s">
        <v>15</v>
      </c>
      <c r="C78" s="6">
        <v>42479</v>
      </c>
      <c r="D78" s="5">
        <f t="shared" si="10"/>
        <v>4</v>
      </c>
      <c r="E78" s="5">
        <f t="shared" si="11"/>
        <v>17</v>
      </c>
      <c r="F78" s="9">
        <v>27.12</v>
      </c>
      <c r="G78" s="9">
        <v>54128.31</v>
      </c>
      <c r="H78" s="36">
        <f t="shared" si="12"/>
        <v>1467959.7671999999</v>
      </c>
      <c r="I78" s="9">
        <v>0</v>
      </c>
      <c r="J78" s="9">
        <v>0</v>
      </c>
      <c r="K78" s="9">
        <v>0</v>
      </c>
      <c r="L78" s="9">
        <v>0</v>
      </c>
      <c r="M78" s="9">
        <f t="shared" si="13"/>
        <v>1467959.7671999999</v>
      </c>
      <c r="N78" s="9">
        <v>0</v>
      </c>
      <c r="O78" s="9">
        <v>0</v>
      </c>
      <c r="P78" s="9">
        <f t="shared" si="14"/>
        <v>1467959.7671999999</v>
      </c>
      <c r="Q78" s="9">
        <v>27.12</v>
      </c>
    </row>
    <row r="79" spans="1:19" x14ac:dyDescent="0.2">
      <c r="A79" s="5" t="s">
        <v>12</v>
      </c>
      <c r="B79" s="5" t="s">
        <v>13</v>
      </c>
      <c r="C79" s="6">
        <v>42479</v>
      </c>
      <c r="D79" s="5">
        <f t="shared" si="10"/>
        <v>4</v>
      </c>
      <c r="E79" s="5">
        <f t="shared" si="11"/>
        <v>17</v>
      </c>
      <c r="F79" s="9">
        <v>28.5</v>
      </c>
      <c r="G79" s="9">
        <v>50882.400000000001</v>
      </c>
      <c r="H79" s="36">
        <f t="shared" si="12"/>
        <v>1450148.4000000001</v>
      </c>
      <c r="I79" s="9">
        <v>0</v>
      </c>
      <c r="J79" s="9">
        <v>0</v>
      </c>
      <c r="K79" s="9">
        <v>0</v>
      </c>
      <c r="L79" s="9">
        <v>0</v>
      </c>
      <c r="M79" s="9">
        <f t="shared" si="13"/>
        <v>1450148.4000000001</v>
      </c>
      <c r="N79" s="9">
        <f>M79*2%</f>
        <v>29002.968000000004</v>
      </c>
      <c r="O79" s="9">
        <v>0</v>
      </c>
      <c r="P79" s="9">
        <f t="shared" si="14"/>
        <v>1479151.3680000002</v>
      </c>
      <c r="Q79" s="9">
        <v>28.5</v>
      </c>
    </row>
    <row r="80" spans="1:19" x14ac:dyDescent="0.2">
      <c r="A80" s="5" t="s">
        <v>29</v>
      </c>
      <c r="B80" s="8" t="s">
        <v>15</v>
      </c>
      <c r="C80" s="6">
        <v>42480</v>
      </c>
      <c r="D80" s="5">
        <f t="shared" si="10"/>
        <v>4</v>
      </c>
      <c r="E80" s="5">
        <f t="shared" si="11"/>
        <v>17</v>
      </c>
      <c r="F80" s="9">
        <v>20.329999999999998</v>
      </c>
      <c r="G80" s="9">
        <v>30500</v>
      </c>
      <c r="H80" s="36">
        <f t="shared" si="12"/>
        <v>620065</v>
      </c>
      <c r="I80" s="9">
        <v>0</v>
      </c>
      <c r="J80" s="9">
        <f>H80*12.5%</f>
        <v>77508.125</v>
      </c>
      <c r="K80" s="9">
        <v>0</v>
      </c>
      <c r="L80" s="9">
        <v>0</v>
      </c>
      <c r="M80" s="9">
        <f t="shared" si="13"/>
        <v>697573.125</v>
      </c>
      <c r="N80" s="9">
        <f>M80*2%</f>
        <v>13951.4625</v>
      </c>
      <c r="O80" s="9">
        <v>0</v>
      </c>
      <c r="P80" s="9">
        <f t="shared" si="14"/>
        <v>711524.58750000002</v>
      </c>
      <c r="Q80" s="9">
        <v>20.329999999999998</v>
      </c>
    </row>
    <row r="81" spans="1:17" x14ac:dyDescent="0.2">
      <c r="A81" s="5" t="s">
        <v>30</v>
      </c>
      <c r="B81" s="8" t="s">
        <v>15</v>
      </c>
      <c r="C81" s="6">
        <v>42480</v>
      </c>
      <c r="D81" s="5">
        <f t="shared" si="10"/>
        <v>4</v>
      </c>
      <c r="E81" s="5">
        <f t="shared" si="11"/>
        <v>17</v>
      </c>
      <c r="F81" s="9">
        <v>27.2</v>
      </c>
      <c r="G81" s="9">
        <v>45596.36</v>
      </c>
      <c r="H81" s="36">
        <f t="shared" si="12"/>
        <v>1240220.9920000001</v>
      </c>
      <c r="I81" s="9">
        <v>0</v>
      </c>
      <c r="J81" s="9">
        <v>0</v>
      </c>
      <c r="K81" s="9">
        <v>0</v>
      </c>
      <c r="L81" s="9">
        <v>0</v>
      </c>
      <c r="M81" s="9">
        <f t="shared" si="13"/>
        <v>1240220.9920000001</v>
      </c>
      <c r="N81" s="9">
        <v>0</v>
      </c>
      <c r="O81" s="9">
        <v>0</v>
      </c>
      <c r="P81" s="9">
        <f t="shared" si="14"/>
        <v>1240220.9920000001</v>
      </c>
      <c r="Q81" s="9">
        <v>27.2</v>
      </c>
    </row>
    <row r="82" spans="1:17" x14ac:dyDescent="0.2">
      <c r="A82" s="5" t="s">
        <v>30</v>
      </c>
      <c r="B82" s="8" t="s">
        <v>15</v>
      </c>
      <c r="C82" s="6">
        <v>42480</v>
      </c>
      <c r="D82" s="5">
        <f t="shared" si="10"/>
        <v>4</v>
      </c>
      <c r="E82" s="5">
        <f t="shared" si="11"/>
        <v>17</v>
      </c>
      <c r="F82" s="9">
        <v>24.04</v>
      </c>
      <c r="G82" s="9">
        <v>46089.64</v>
      </c>
      <c r="H82" s="36">
        <f t="shared" si="12"/>
        <v>1107994.9456</v>
      </c>
      <c r="I82" s="9">
        <v>0</v>
      </c>
      <c r="J82" s="9">
        <v>0</v>
      </c>
      <c r="K82" s="9">
        <v>0</v>
      </c>
      <c r="L82" s="9">
        <v>0</v>
      </c>
      <c r="M82" s="9">
        <f t="shared" si="13"/>
        <v>1107994.9456</v>
      </c>
      <c r="N82" s="9">
        <v>0</v>
      </c>
      <c r="O82" s="9">
        <v>0</v>
      </c>
      <c r="P82" s="9">
        <f t="shared" si="14"/>
        <v>1107994.9456</v>
      </c>
      <c r="Q82" s="9">
        <v>24.04</v>
      </c>
    </row>
    <row r="83" spans="1:17" x14ac:dyDescent="0.2">
      <c r="A83" s="5" t="s">
        <v>30</v>
      </c>
      <c r="B83" s="8" t="s">
        <v>15</v>
      </c>
      <c r="C83" s="6">
        <v>42480</v>
      </c>
      <c r="D83" s="5">
        <f t="shared" si="10"/>
        <v>4</v>
      </c>
      <c r="E83" s="5">
        <f t="shared" si="11"/>
        <v>17</v>
      </c>
      <c r="F83" s="9">
        <v>20.63</v>
      </c>
      <c r="G83" s="9">
        <v>46200</v>
      </c>
      <c r="H83" s="36">
        <f t="shared" si="12"/>
        <v>953106</v>
      </c>
      <c r="I83" s="9">
        <v>0</v>
      </c>
      <c r="J83" s="9">
        <v>0</v>
      </c>
      <c r="K83" s="9">
        <v>0</v>
      </c>
      <c r="L83" s="9">
        <v>0</v>
      </c>
      <c r="M83" s="9">
        <f t="shared" si="13"/>
        <v>953106</v>
      </c>
      <c r="N83" s="9">
        <v>0</v>
      </c>
      <c r="O83" s="9">
        <v>0</v>
      </c>
      <c r="P83" s="9">
        <f t="shared" si="14"/>
        <v>953106</v>
      </c>
      <c r="Q83" s="9">
        <v>20.63</v>
      </c>
    </row>
    <row r="84" spans="1:17" x14ac:dyDescent="0.2">
      <c r="A84" s="5" t="s">
        <v>29</v>
      </c>
      <c r="B84" s="8" t="s">
        <v>15</v>
      </c>
      <c r="C84" s="6">
        <v>42480</v>
      </c>
      <c r="D84" s="5">
        <f t="shared" si="10"/>
        <v>4</v>
      </c>
      <c r="E84" s="5">
        <f t="shared" si="11"/>
        <v>17</v>
      </c>
      <c r="F84" s="9">
        <v>23.09</v>
      </c>
      <c r="G84" s="9">
        <v>30500</v>
      </c>
      <c r="H84" s="36">
        <f t="shared" si="12"/>
        <v>704245</v>
      </c>
      <c r="I84" s="9">
        <v>0</v>
      </c>
      <c r="J84" s="9">
        <f>H84*12.5%</f>
        <v>88030.625</v>
      </c>
      <c r="K84" s="9">
        <v>0</v>
      </c>
      <c r="L84" s="9">
        <v>0</v>
      </c>
      <c r="M84" s="9">
        <f t="shared" si="13"/>
        <v>792275.625</v>
      </c>
      <c r="N84" s="9">
        <f>M84*2%</f>
        <v>15845.512500000001</v>
      </c>
      <c r="O84" s="9">
        <v>0</v>
      </c>
      <c r="P84" s="9">
        <f t="shared" si="14"/>
        <v>808121.13749999995</v>
      </c>
      <c r="Q84" s="9">
        <v>23.09</v>
      </c>
    </row>
    <row r="85" spans="1:17" x14ac:dyDescent="0.2">
      <c r="A85" s="5" t="s">
        <v>19</v>
      </c>
      <c r="B85" s="5" t="s">
        <v>23</v>
      </c>
      <c r="C85" s="6">
        <v>42480</v>
      </c>
      <c r="D85" s="5">
        <f t="shared" si="10"/>
        <v>4</v>
      </c>
      <c r="E85" s="5">
        <f t="shared" si="11"/>
        <v>17</v>
      </c>
      <c r="F85" s="9">
        <v>26.98</v>
      </c>
      <c r="G85" s="9">
        <v>84800</v>
      </c>
      <c r="H85" s="36">
        <f t="shared" si="12"/>
        <v>2287904</v>
      </c>
      <c r="I85" s="9">
        <v>0</v>
      </c>
      <c r="J85" s="9">
        <v>0</v>
      </c>
      <c r="K85" s="9">
        <v>0</v>
      </c>
      <c r="L85" s="9">
        <v>0</v>
      </c>
      <c r="M85" s="9">
        <f t="shared" si="13"/>
        <v>2287904</v>
      </c>
      <c r="N85" s="9">
        <v>45758.080000000002</v>
      </c>
      <c r="O85" s="9">
        <v>0</v>
      </c>
      <c r="P85" s="9">
        <f t="shared" si="14"/>
        <v>2333662.08</v>
      </c>
      <c r="Q85" s="9">
        <v>26.98</v>
      </c>
    </row>
    <row r="86" spans="1:17" x14ac:dyDescent="0.2">
      <c r="A86" s="5" t="s">
        <v>19</v>
      </c>
      <c r="B86" s="5" t="s">
        <v>23</v>
      </c>
      <c r="C86" s="6">
        <v>42480</v>
      </c>
      <c r="D86" s="5">
        <f t="shared" si="10"/>
        <v>4</v>
      </c>
      <c r="E86" s="5">
        <f t="shared" si="11"/>
        <v>17</v>
      </c>
      <c r="F86" s="9">
        <v>26.72</v>
      </c>
      <c r="G86" s="9">
        <v>84800</v>
      </c>
      <c r="H86" s="36">
        <f t="shared" si="12"/>
        <v>2265856</v>
      </c>
      <c r="I86" s="9">
        <v>0</v>
      </c>
      <c r="J86" s="9">
        <v>0</v>
      </c>
      <c r="K86" s="9">
        <v>0</v>
      </c>
      <c r="L86" s="9">
        <v>0</v>
      </c>
      <c r="M86" s="9">
        <f t="shared" si="13"/>
        <v>2265856</v>
      </c>
      <c r="N86" s="9">
        <v>45317.120000000003</v>
      </c>
      <c r="O86" s="9">
        <v>0</v>
      </c>
      <c r="P86" s="9">
        <f t="shared" si="14"/>
        <v>2311173.1200000001</v>
      </c>
      <c r="Q86" s="9">
        <v>26.72</v>
      </c>
    </row>
    <row r="87" spans="1:17" x14ac:dyDescent="0.2">
      <c r="A87" s="5" t="s">
        <v>19</v>
      </c>
      <c r="B87" s="5" t="s">
        <v>23</v>
      </c>
      <c r="C87" s="6">
        <v>42480</v>
      </c>
      <c r="D87" s="5">
        <f t="shared" si="10"/>
        <v>4</v>
      </c>
      <c r="E87" s="5">
        <f t="shared" si="11"/>
        <v>17</v>
      </c>
      <c r="F87" s="9">
        <v>16.46</v>
      </c>
      <c r="G87" s="9">
        <v>81780</v>
      </c>
      <c r="H87" s="36">
        <f t="shared" si="12"/>
        <v>1346098.8</v>
      </c>
      <c r="I87" s="9">
        <v>0</v>
      </c>
      <c r="J87" s="9">
        <v>0</v>
      </c>
      <c r="K87" s="9">
        <v>1373</v>
      </c>
      <c r="L87" s="9">
        <v>0</v>
      </c>
      <c r="M87" s="9">
        <f t="shared" si="13"/>
        <v>1347471.8</v>
      </c>
      <c r="N87" s="9">
        <v>26921.976000000002</v>
      </c>
      <c r="O87" s="9">
        <v>0</v>
      </c>
      <c r="P87" s="9">
        <f t="shared" si="14"/>
        <v>1374393.7760000001</v>
      </c>
      <c r="Q87" s="9">
        <v>16.46</v>
      </c>
    </row>
    <row r="88" spans="1:17" x14ac:dyDescent="0.2">
      <c r="A88" s="5" t="s">
        <v>12</v>
      </c>
      <c r="B88" s="5" t="s">
        <v>13</v>
      </c>
      <c r="C88" s="6">
        <v>42482</v>
      </c>
      <c r="D88" s="5">
        <f t="shared" si="10"/>
        <v>4</v>
      </c>
      <c r="E88" s="5">
        <f t="shared" si="11"/>
        <v>17</v>
      </c>
      <c r="F88" s="9">
        <v>27.66</v>
      </c>
      <c r="G88" s="9">
        <v>50882.400000000001</v>
      </c>
      <c r="H88" s="36">
        <f t="shared" si="12"/>
        <v>1407407.1840000001</v>
      </c>
      <c r="I88" s="9">
        <v>0</v>
      </c>
      <c r="J88" s="9">
        <v>0</v>
      </c>
      <c r="K88" s="9">
        <v>0</v>
      </c>
      <c r="L88" s="9">
        <v>0</v>
      </c>
      <c r="M88" s="9">
        <f t="shared" si="13"/>
        <v>1407407.1840000001</v>
      </c>
      <c r="N88" s="9">
        <f>M88*2%</f>
        <v>28148.143680000005</v>
      </c>
      <c r="O88" s="9">
        <v>0</v>
      </c>
      <c r="P88" s="9">
        <f t="shared" si="14"/>
        <v>1435555.3276800001</v>
      </c>
      <c r="Q88" s="9">
        <v>27.66</v>
      </c>
    </row>
    <row r="89" spans="1:17" x14ac:dyDescent="0.2">
      <c r="A89" s="5" t="s">
        <v>24</v>
      </c>
      <c r="B89" s="8" t="s">
        <v>15</v>
      </c>
      <c r="C89" s="6">
        <v>42482</v>
      </c>
      <c r="D89" s="5">
        <f t="shared" si="10"/>
        <v>4</v>
      </c>
      <c r="E89" s="5">
        <f t="shared" si="11"/>
        <v>17</v>
      </c>
      <c r="F89" s="9">
        <v>28.9</v>
      </c>
      <c r="G89" s="9">
        <v>55500</v>
      </c>
      <c r="H89" s="36">
        <f t="shared" si="12"/>
        <v>1603950</v>
      </c>
      <c r="I89" s="9">
        <v>0</v>
      </c>
      <c r="J89" s="9">
        <v>0</v>
      </c>
      <c r="K89" s="9">
        <v>0</v>
      </c>
      <c r="L89" s="9">
        <v>0</v>
      </c>
      <c r="M89" s="9">
        <f t="shared" si="13"/>
        <v>1603950</v>
      </c>
      <c r="N89" s="9">
        <v>0</v>
      </c>
      <c r="O89" s="9">
        <v>0</v>
      </c>
      <c r="P89" s="9">
        <f t="shared" si="14"/>
        <v>1603950</v>
      </c>
      <c r="Q89" s="9">
        <v>28.9</v>
      </c>
    </row>
    <row r="90" spans="1:17" x14ac:dyDescent="0.2">
      <c r="A90" s="5" t="s">
        <v>16</v>
      </c>
      <c r="B90" s="5" t="s">
        <v>18</v>
      </c>
      <c r="C90" s="6">
        <v>42482</v>
      </c>
      <c r="D90" s="5">
        <f t="shared" si="10"/>
        <v>4</v>
      </c>
      <c r="E90" s="5">
        <f t="shared" si="11"/>
        <v>17</v>
      </c>
      <c r="F90" s="9">
        <v>30.79</v>
      </c>
      <c r="G90" s="9">
        <v>48500</v>
      </c>
      <c r="H90" s="36">
        <f t="shared" si="12"/>
        <v>1493315</v>
      </c>
      <c r="I90" s="9">
        <v>0</v>
      </c>
      <c r="J90" s="9">
        <v>0</v>
      </c>
      <c r="K90" s="9">
        <v>0</v>
      </c>
      <c r="L90" s="9">
        <v>0</v>
      </c>
      <c r="M90" s="9">
        <f t="shared" si="13"/>
        <v>1493315</v>
      </c>
      <c r="N90" s="9">
        <v>0</v>
      </c>
      <c r="O90" s="9">
        <v>0</v>
      </c>
      <c r="P90" s="9">
        <f t="shared" si="14"/>
        <v>1493315</v>
      </c>
      <c r="Q90" s="9">
        <v>30.79</v>
      </c>
    </row>
    <row r="91" spans="1:17" x14ac:dyDescent="0.2">
      <c r="A91" s="5" t="s">
        <v>21</v>
      </c>
      <c r="B91" s="5" t="s">
        <v>18</v>
      </c>
      <c r="C91" s="6">
        <v>42482</v>
      </c>
      <c r="D91" s="5">
        <f t="shared" si="10"/>
        <v>4</v>
      </c>
      <c r="E91" s="5">
        <f t="shared" si="11"/>
        <v>17</v>
      </c>
      <c r="F91" s="9">
        <v>18.86</v>
      </c>
      <c r="G91" s="9">
        <v>48500</v>
      </c>
      <c r="H91" s="36">
        <f t="shared" si="12"/>
        <v>914710</v>
      </c>
      <c r="I91" s="9">
        <v>0</v>
      </c>
      <c r="J91" s="9">
        <v>0</v>
      </c>
      <c r="K91" s="9">
        <v>0</v>
      </c>
      <c r="L91" s="9">
        <v>0</v>
      </c>
      <c r="M91" s="9">
        <f t="shared" si="13"/>
        <v>914710</v>
      </c>
      <c r="N91" s="9">
        <v>0</v>
      </c>
      <c r="O91" s="9">
        <v>0</v>
      </c>
      <c r="P91" s="9">
        <f t="shared" si="14"/>
        <v>914710</v>
      </c>
      <c r="Q91" s="9">
        <v>18.86</v>
      </c>
    </row>
    <row r="92" spans="1:17" x14ac:dyDescent="0.2">
      <c r="A92" s="5" t="s">
        <v>21</v>
      </c>
      <c r="B92" s="5" t="s">
        <v>18</v>
      </c>
      <c r="C92" s="6">
        <v>42482</v>
      </c>
      <c r="D92" s="5">
        <f t="shared" si="10"/>
        <v>4</v>
      </c>
      <c r="E92" s="5">
        <f t="shared" si="11"/>
        <v>17</v>
      </c>
      <c r="F92" s="9">
        <v>29.1</v>
      </c>
      <c r="G92" s="9">
        <v>48283.5</v>
      </c>
      <c r="H92" s="36">
        <f t="shared" si="12"/>
        <v>1405049.85</v>
      </c>
      <c r="I92" s="9">
        <v>0</v>
      </c>
      <c r="J92" s="9">
        <v>0</v>
      </c>
      <c r="K92" s="9">
        <v>0</v>
      </c>
      <c r="L92" s="9">
        <v>0</v>
      </c>
      <c r="M92" s="9">
        <f t="shared" si="13"/>
        <v>1405049.85</v>
      </c>
      <c r="N92" s="9">
        <v>0</v>
      </c>
      <c r="O92" s="9">
        <v>0</v>
      </c>
      <c r="P92" s="9">
        <f t="shared" si="14"/>
        <v>1405049.85</v>
      </c>
      <c r="Q92" s="9">
        <v>29.1</v>
      </c>
    </row>
    <row r="93" spans="1:17" x14ac:dyDescent="0.2">
      <c r="A93" s="5" t="s">
        <v>12</v>
      </c>
      <c r="B93" s="5" t="s">
        <v>13</v>
      </c>
      <c r="C93" s="6">
        <v>42486</v>
      </c>
      <c r="D93" s="5">
        <f t="shared" si="10"/>
        <v>4</v>
      </c>
      <c r="E93" s="5">
        <f t="shared" si="11"/>
        <v>18</v>
      </c>
      <c r="F93" s="9">
        <v>29.59</v>
      </c>
      <c r="G93" s="9">
        <v>50000</v>
      </c>
      <c r="H93" s="36">
        <f t="shared" si="12"/>
        <v>1479500</v>
      </c>
      <c r="I93" s="9">
        <v>0</v>
      </c>
      <c r="J93" s="9">
        <v>0</v>
      </c>
      <c r="K93" s="9">
        <v>0</v>
      </c>
      <c r="L93" s="9">
        <v>0</v>
      </c>
      <c r="M93" s="9">
        <f t="shared" si="13"/>
        <v>1479500</v>
      </c>
      <c r="N93" s="9">
        <f>M93*2%</f>
        <v>29590</v>
      </c>
      <c r="O93" s="9">
        <v>0</v>
      </c>
      <c r="P93" s="9">
        <f t="shared" si="14"/>
        <v>1509090</v>
      </c>
      <c r="Q93" s="9">
        <v>29.59</v>
      </c>
    </row>
    <row r="94" spans="1:17" x14ac:dyDescent="0.2">
      <c r="A94" s="5" t="s">
        <v>24</v>
      </c>
      <c r="B94" s="8" t="s">
        <v>15</v>
      </c>
      <c r="C94" s="6">
        <v>42486</v>
      </c>
      <c r="D94" s="5">
        <f t="shared" si="10"/>
        <v>4</v>
      </c>
      <c r="E94" s="5">
        <f t="shared" si="11"/>
        <v>18</v>
      </c>
      <c r="F94" s="9">
        <v>20.079999999999998</v>
      </c>
      <c r="G94" s="9">
        <v>55500</v>
      </c>
      <c r="H94" s="36">
        <f t="shared" si="12"/>
        <v>1114440</v>
      </c>
      <c r="I94" s="9">
        <v>0</v>
      </c>
      <c r="J94" s="9">
        <v>0</v>
      </c>
      <c r="K94" s="9">
        <v>0</v>
      </c>
      <c r="L94" s="9">
        <v>0</v>
      </c>
      <c r="M94" s="9">
        <f t="shared" si="13"/>
        <v>1114440</v>
      </c>
      <c r="N94" s="9">
        <v>0</v>
      </c>
      <c r="O94" s="9">
        <v>0</v>
      </c>
      <c r="P94" s="9">
        <f t="shared" si="14"/>
        <v>1114440</v>
      </c>
      <c r="Q94" s="9">
        <v>20.079999999999998</v>
      </c>
    </row>
    <row r="95" spans="1:17" x14ac:dyDescent="0.2">
      <c r="A95" s="5" t="s">
        <v>31</v>
      </c>
      <c r="B95" s="8" t="s">
        <v>15</v>
      </c>
      <c r="C95" s="6">
        <v>42486</v>
      </c>
      <c r="D95" s="5">
        <f t="shared" si="10"/>
        <v>4</v>
      </c>
      <c r="E95" s="5">
        <f t="shared" si="11"/>
        <v>18</v>
      </c>
      <c r="F95" s="9">
        <v>27.98</v>
      </c>
      <c r="G95" s="9">
        <v>54665.47</v>
      </c>
      <c r="H95" s="36">
        <f t="shared" si="12"/>
        <v>1529539.8506</v>
      </c>
      <c r="I95" s="9">
        <v>0</v>
      </c>
      <c r="J95" s="9">
        <v>0</v>
      </c>
      <c r="K95" s="9">
        <v>0</v>
      </c>
      <c r="L95" s="9">
        <v>0</v>
      </c>
      <c r="M95" s="9">
        <f t="shared" si="13"/>
        <v>1529539.8506</v>
      </c>
      <c r="N95" s="9">
        <v>0</v>
      </c>
      <c r="O95" s="9">
        <v>0</v>
      </c>
      <c r="P95" s="9">
        <f t="shared" si="14"/>
        <v>1529539.8506</v>
      </c>
      <c r="Q95" s="9">
        <v>27.98</v>
      </c>
    </row>
    <row r="96" spans="1:17" x14ac:dyDescent="0.2">
      <c r="A96" s="5" t="s">
        <v>32</v>
      </c>
      <c r="B96" s="8" t="s">
        <v>15</v>
      </c>
      <c r="C96" s="6">
        <v>42487</v>
      </c>
      <c r="D96" s="5">
        <f t="shared" si="10"/>
        <v>4</v>
      </c>
      <c r="E96" s="5">
        <f t="shared" si="11"/>
        <v>18</v>
      </c>
      <c r="F96" s="9">
        <v>28.23</v>
      </c>
      <c r="G96" s="9">
        <v>53447.6</v>
      </c>
      <c r="H96" s="36">
        <f t="shared" si="12"/>
        <v>1508825.7479999999</v>
      </c>
      <c r="I96" s="9">
        <v>0</v>
      </c>
      <c r="J96" s="9">
        <v>0</v>
      </c>
      <c r="K96" s="9">
        <v>0</v>
      </c>
      <c r="L96" s="9">
        <v>0</v>
      </c>
      <c r="M96" s="9">
        <f t="shared" si="13"/>
        <v>1508825.7479999999</v>
      </c>
      <c r="N96" s="9">
        <v>0</v>
      </c>
      <c r="O96" s="9">
        <v>0</v>
      </c>
      <c r="P96" s="9">
        <f t="shared" si="14"/>
        <v>1508825.7479999999</v>
      </c>
      <c r="Q96" s="9">
        <v>28.23</v>
      </c>
    </row>
    <row r="97" spans="1:17" x14ac:dyDescent="0.2">
      <c r="A97" s="5" t="s">
        <v>25</v>
      </c>
      <c r="B97" s="5" t="s">
        <v>26</v>
      </c>
      <c r="C97" s="6">
        <v>42488</v>
      </c>
      <c r="D97" s="5">
        <f t="shared" si="10"/>
        <v>4</v>
      </c>
      <c r="E97" s="5">
        <f t="shared" si="11"/>
        <v>18</v>
      </c>
      <c r="F97" s="9">
        <v>21.48</v>
      </c>
      <c r="G97" s="9">
        <v>56924.6</v>
      </c>
      <c r="H97" s="36">
        <f t="shared" si="12"/>
        <v>1222740.4080000001</v>
      </c>
      <c r="I97" s="9">
        <v>0</v>
      </c>
      <c r="J97" s="9">
        <v>0</v>
      </c>
      <c r="K97" s="9">
        <v>0</v>
      </c>
      <c r="L97" s="9">
        <v>0</v>
      </c>
      <c r="M97" s="9">
        <f t="shared" si="13"/>
        <v>1222740.4080000001</v>
      </c>
      <c r="N97" s="9">
        <v>0</v>
      </c>
      <c r="O97" s="9">
        <v>1600</v>
      </c>
      <c r="P97" s="9">
        <f t="shared" si="14"/>
        <v>1257108.4080000001</v>
      </c>
      <c r="Q97" s="9">
        <v>21.48</v>
      </c>
    </row>
    <row r="98" spans="1:17" x14ac:dyDescent="0.2">
      <c r="A98" s="5" t="s">
        <v>25</v>
      </c>
      <c r="B98" s="5" t="s">
        <v>26</v>
      </c>
      <c r="C98" s="6">
        <v>42488</v>
      </c>
      <c r="D98" s="5">
        <f t="shared" si="10"/>
        <v>4</v>
      </c>
      <c r="E98" s="5">
        <f t="shared" si="11"/>
        <v>18</v>
      </c>
      <c r="F98" s="9">
        <v>21.45</v>
      </c>
      <c r="G98" s="9">
        <v>56924.6</v>
      </c>
      <c r="H98" s="36">
        <f t="shared" si="12"/>
        <v>1221032.67</v>
      </c>
      <c r="I98" s="9">
        <v>0</v>
      </c>
      <c r="J98" s="9">
        <v>0</v>
      </c>
      <c r="K98" s="9">
        <v>0</v>
      </c>
      <c r="L98" s="9">
        <v>0</v>
      </c>
      <c r="M98" s="9">
        <f t="shared" si="13"/>
        <v>1221032.67</v>
      </c>
      <c r="N98" s="9">
        <v>0</v>
      </c>
      <c r="O98" s="9">
        <v>1600</v>
      </c>
      <c r="P98" s="9">
        <f t="shared" si="14"/>
        <v>1255352.67</v>
      </c>
      <c r="Q98" s="9">
        <v>21.45</v>
      </c>
    </row>
    <row r="99" spans="1:17" x14ac:dyDescent="0.2">
      <c r="A99" s="5" t="s">
        <v>25</v>
      </c>
      <c r="B99" s="5" t="s">
        <v>26</v>
      </c>
      <c r="C99" s="6">
        <v>42488</v>
      </c>
      <c r="D99" s="5">
        <f t="shared" si="10"/>
        <v>4</v>
      </c>
      <c r="E99" s="5">
        <f t="shared" si="11"/>
        <v>18</v>
      </c>
      <c r="F99" s="9">
        <v>21.46</v>
      </c>
      <c r="G99" s="9">
        <v>56924.6</v>
      </c>
      <c r="H99" s="36">
        <f t="shared" si="12"/>
        <v>1221601.916</v>
      </c>
      <c r="I99" s="9">
        <v>0</v>
      </c>
      <c r="J99" s="9">
        <v>0</v>
      </c>
      <c r="K99" s="9">
        <v>0</v>
      </c>
      <c r="L99" s="9">
        <v>0</v>
      </c>
      <c r="M99" s="9">
        <f t="shared" si="13"/>
        <v>1221601.916</v>
      </c>
      <c r="N99" s="9">
        <v>0</v>
      </c>
      <c r="O99" s="9">
        <v>1600</v>
      </c>
      <c r="P99" s="9">
        <f t="shared" si="14"/>
        <v>1255937.916</v>
      </c>
      <c r="Q99" s="9">
        <v>21.46</v>
      </c>
    </row>
    <row r="100" spans="1:17" x14ac:dyDescent="0.2">
      <c r="A100" s="5" t="s">
        <v>25</v>
      </c>
      <c r="B100" s="5" t="s">
        <v>26</v>
      </c>
      <c r="C100" s="6">
        <v>42488</v>
      </c>
      <c r="D100" s="5">
        <f t="shared" si="10"/>
        <v>4</v>
      </c>
      <c r="E100" s="5">
        <f t="shared" si="11"/>
        <v>18</v>
      </c>
      <c r="F100" s="9">
        <v>21.46</v>
      </c>
      <c r="G100" s="9">
        <v>56924.6</v>
      </c>
      <c r="H100" s="36">
        <f t="shared" si="12"/>
        <v>1221601.916</v>
      </c>
      <c r="I100" s="9">
        <v>0</v>
      </c>
      <c r="J100" s="9">
        <v>0</v>
      </c>
      <c r="K100" s="9">
        <v>0</v>
      </c>
      <c r="L100" s="9">
        <v>0</v>
      </c>
      <c r="M100" s="9">
        <f t="shared" si="13"/>
        <v>1221601.916</v>
      </c>
      <c r="N100" s="9">
        <v>0</v>
      </c>
      <c r="O100" s="9">
        <v>1600</v>
      </c>
      <c r="P100" s="9">
        <f t="shared" si="14"/>
        <v>1255937.916</v>
      </c>
      <c r="Q100" s="9">
        <v>21.46</v>
      </c>
    </row>
    <row r="101" spans="1:17" x14ac:dyDescent="0.2">
      <c r="A101" s="5" t="s">
        <v>22</v>
      </c>
      <c r="B101" s="8" t="s">
        <v>15</v>
      </c>
      <c r="C101" s="6">
        <v>42488</v>
      </c>
      <c r="D101" s="5">
        <f t="shared" si="10"/>
        <v>4</v>
      </c>
      <c r="E101" s="5">
        <f t="shared" si="11"/>
        <v>18</v>
      </c>
      <c r="F101" s="9">
        <v>30.89</v>
      </c>
      <c r="G101" s="9">
        <v>49204.84</v>
      </c>
      <c r="H101" s="36">
        <f t="shared" si="12"/>
        <v>1519937.5075999999</v>
      </c>
      <c r="I101" s="9">
        <v>0</v>
      </c>
      <c r="J101" s="9">
        <v>0</v>
      </c>
      <c r="K101" s="9">
        <v>0</v>
      </c>
      <c r="L101" s="9">
        <v>0</v>
      </c>
      <c r="M101" s="9">
        <f t="shared" si="13"/>
        <v>1519937.5075999999</v>
      </c>
      <c r="N101" s="9">
        <v>0</v>
      </c>
      <c r="O101" s="9">
        <v>0</v>
      </c>
      <c r="P101" s="9">
        <f t="shared" si="14"/>
        <v>1519937.5075999999</v>
      </c>
      <c r="Q101" s="9">
        <v>30.89</v>
      </c>
    </row>
    <row r="102" spans="1:17" x14ac:dyDescent="0.2">
      <c r="A102" s="5" t="s">
        <v>33</v>
      </c>
      <c r="B102" s="5" t="s">
        <v>18</v>
      </c>
      <c r="C102" s="6">
        <v>42488</v>
      </c>
      <c r="D102" s="5">
        <f t="shared" si="10"/>
        <v>4</v>
      </c>
      <c r="E102" s="5">
        <f t="shared" si="11"/>
        <v>18</v>
      </c>
      <c r="F102" s="9">
        <v>24.08</v>
      </c>
      <c r="G102" s="9">
        <v>48500</v>
      </c>
      <c r="H102" s="36">
        <f t="shared" si="12"/>
        <v>1167880</v>
      </c>
      <c r="I102" s="9">
        <v>0</v>
      </c>
      <c r="J102" s="9">
        <v>0</v>
      </c>
      <c r="K102" s="9">
        <v>0</v>
      </c>
      <c r="L102" s="9">
        <v>0</v>
      </c>
      <c r="M102" s="9">
        <f t="shared" si="13"/>
        <v>1167880</v>
      </c>
      <c r="N102" s="9">
        <v>0</v>
      </c>
      <c r="O102" s="9">
        <v>0</v>
      </c>
      <c r="P102" s="9">
        <f t="shared" si="14"/>
        <v>1167880</v>
      </c>
      <c r="Q102" s="9">
        <v>24.08</v>
      </c>
    </row>
    <row r="103" spans="1:17" x14ac:dyDescent="0.2">
      <c r="A103" s="5" t="s">
        <v>25</v>
      </c>
      <c r="B103" s="5" t="s">
        <v>26</v>
      </c>
      <c r="C103" s="6">
        <v>42489</v>
      </c>
      <c r="D103" s="5">
        <f t="shared" si="10"/>
        <v>4</v>
      </c>
      <c r="E103" s="5">
        <f t="shared" si="11"/>
        <v>18</v>
      </c>
      <c r="F103" s="9">
        <v>21.47</v>
      </c>
      <c r="G103" s="9">
        <v>56924.6</v>
      </c>
      <c r="H103" s="36">
        <f t="shared" si="12"/>
        <v>1222171.162</v>
      </c>
      <c r="I103" s="9">
        <v>0</v>
      </c>
      <c r="J103" s="9">
        <v>0</v>
      </c>
      <c r="K103" s="9">
        <v>0</v>
      </c>
      <c r="L103" s="9">
        <v>0</v>
      </c>
      <c r="M103" s="9">
        <f t="shared" si="13"/>
        <v>1222171.162</v>
      </c>
      <c r="N103" s="9">
        <v>0</v>
      </c>
      <c r="O103" s="9">
        <v>1600</v>
      </c>
      <c r="P103" s="9">
        <f t="shared" si="14"/>
        <v>1256523.162</v>
      </c>
      <c r="Q103" s="9">
        <v>21.47</v>
      </c>
    </row>
    <row r="104" spans="1:17" x14ac:dyDescent="0.2">
      <c r="A104" s="5" t="s">
        <v>25</v>
      </c>
      <c r="B104" s="5" t="s">
        <v>26</v>
      </c>
      <c r="C104" s="6">
        <v>42489</v>
      </c>
      <c r="D104" s="5">
        <f t="shared" si="10"/>
        <v>4</v>
      </c>
      <c r="E104" s="5">
        <f t="shared" si="11"/>
        <v>18</v>
      </c>
      <c r="F104" s="9">
        <v>21.49</v>
      </c>
      <c r="G104" s="9">
        <v>56924.6</v>
      </c>
      <c r="H104" s="36">
        <f t="shared" si="12"/>
        <v>1223309.6539999999</v>
      </c>
      <c r="I104" s="9">
        <v>0</v>
      </c>
      <c r="J104" s="9">
        <v>0</v>
      </c>
      <c r="K104" s="9">
        <v>0</v>
      </c>
      <c r="L104" s="9">
        <v>0</v>
      </c>
      <c r="M104" s="9">
        <f t="shared" si="13"/>
        <v>1223309.6539999999</v>
      </c>
      <c r="N104" s="9">
        <v>0</v>
      </c>
      <c r="O104" s="9">
        <v>1600</v>
      </c>
      <c r="P104" s="9">
        <f t="shared" si="14"/>
        <v>1257693.6539999999</v>
      </c>
      <c r="Q104" s="9">
        <v>21.49</v>
      </c>
    </row>
    <row r="105" spans="1:17" x14ac:dyDescent="0.2">
      <c r="A105" s="5" t="s">
        <v>25</v>
      </c>
      <c r="B105" s="5" t="s">
        <v>26</v>
      </c>
      <c r="C105" s="6">
        <v>42489</v>
      </c>
      <c r="D105" s="5">
        <f t="shared" si="10"/>
        <v>4</v>
      </c>
      <c r="E105" s="5">
        <f t="shared" si="11"/>
        <v>18</v>
      </c>
      <c r="F105" s="9">
        <v>21.47</v>
      </c>
      <c r="G105" s="9">
        <v>56924.6</v>
      </c>
      <c r="H105" s="36">
        <f t="shared" si="12"/>
        <v>1222171.162</v>
      </c>
      <c r="I105" s="9">
        <v>0</v>
      </c>
      <c r="J105" s="9">
        <v>0</v>
      </c>
      <c r="K105" s="9">
        <v>0</v>
      </c>
      <c r="L105" s="9">
        <v>0</v>
      </c>
      <c r="M105" s="9">
        <f t="shared" si="13"/>
        <v>1222171.162</v>
      </c>
      <c r="N105" s="9">
        <v>0</v>
      </c>
      <c r="O105" s="9">
        <v>1600</v>
      </c>
      <c r="P105" s="9">
        <f t="shared" si="14"/>
        <v>1256523.162</v>
      </c>
      <c r="Q105" s="9">
        <v>21.47</v>
      </c>
    </row>
    <row r="106" spans="1:17" x14ac:dyDescent="0.2">
      <c r="A106" s="5" t="s">
        <v>25</v>
      </c>
      <c r="B106" s="5" t="s">
        <v>26</v>
      </c>
      <c r="C106" s="6">
        <v>42489</v>
      </c>
      <c r="D106" s="5">
        <f t="shared" si="10"/>
        <v>4</v>
      </c>
      <c r="E106" s="5">
        <f t="shared" si="11"/>
        <v>18</v>
      </c>
      <c r="F106" s="9">
        <v>21.42</v>
      </c>
      <c r="G106" s="9">
        <v>56924.6</v>
      </c>
      <c r="H106" s="36">
        <f t="shared" si="12"/>
        <v>1219324.932</v>
      </c>
      <c r="I106" s="9">
        <v>0</v>
      </c>
      <c r="J106" s="9">
        <v>0</v>
      </c>
      <c r="K106" s="9">
        <v>0</v>
      </c>
      <c r="L106" s="9">
        <v>0</v>
      </c>
      <c r="M106" s="9">
        <f t="shared" si="13"/>
        <v>1219324.932</v>
      </c>
      <c r="N106" s="9">
        <v>0</v>
      </c>
      <c r="O106" s="9">
        <v>1600</v>
      </c>
      <c r="P106" s="9">
        <f t="shared" si="14"/>
        <v>1253596.932</v>
      </c>
      <c r="Q106" s="9">
        <v>21.42</v>
      </c>
    </row>
    <row r="107" spans="1:17" x14ac:dyDescent="0.2">
      <c r="A107" s="5" t="s">
        <v>25</v>
      </c>
      <c r="B107" s="5" t="s">
        <v>26</v>
      </c>
      <c r="C107" s="6">
        <v>42489</v>
      </c>
      <c r="D107" s="5">
        <f t="shared" si="10"/>
        <v>4</v>
      </c>
      <c r="E107" s="5">
        <f t="shared" si="11"/>
        <v>18</v>
      </c>
      <c r="F107" s="9">
        <v>21.49</v>
      </c>
      <c r="G107" s="9">
        <v>56924.6</v>
      </c>
      <c r="H107" s="36">
        <f t="shared" si="12"/>
        <v>1223309.6539999999</v>
      </c>
      <c r="I107" s="9">
        <v>0</v>
      </c>
      <c r="J107" s="9">
        <v>0</v>
      </c>
      <c r="K107" s="9">
        <v>0</v>
      </c>
      <c r="L107" s="9">
        <v>0</v>
      </c>
      <c r="M107" s="9">
        <f t="shared" si="13"/>
        <v>1223309.6539999999</v>
      </c>
      <c r="N107" s="9">
        <v>0</v>
      </c>
      <c r="O107" s="9">
        <v>1600</v>
      </c>
      <c r="P107" s="9">
        <f t="shared" si="14"/>
        <v>1257693.6539999999</v>
      </c>
      <c r="Q107" s="9">
        <v>21.49</v>
      </c>
    </row>
    <row r="108" spans="1:17" x14ac:dyDescent="0.2">
      <c r="A108" s="5" t="s">
        <v>25</v>
      </c>
      <c r="B108" s="5" t="s">
        <v>26</v>
      </c>
      <c r="C108" s="6">
        <v>42489</v>
      </c>
      <c r="D108" s="5">
        <f t="shared" si="10"/>
        <v>4</v>
      </c>
      <c r="E108" s="5">
        <f t="shared" si="11"/>
        <v>18</v>
      </c>
      <c r="F108" s="9">
        <v>21.49</v>
      </c>
      <c r="G108" s="9">
        <v>56924.6</v>
      </c>
      <c r="H108" s="36">
        <f t="shared" si="12"/>
        <v>1223309.6539999999</v>
      </c>
      <c r="I108" s="9">
        <v>0</v>
      </c>
      <c r="J108" s="9">
        <v>0</v>
      </c>
      <c r="K108" s="9">
        <v>0</v>
      </c>
      <c r="L108" s="9">
        <v>0</v>
      </c>
      <c r="M108" s="9">
        <f t="shared" si="13"/>
        <v>1223309.6539999999</v>
      </c>
      <c r="N108" s="9">
        <v>0</v>
      </c>
      <c r="O108" s="9">
        <v>1600</v>
      </c>
      <c r="P108" s="9">
        <f t="shared" si="14"/>
        <v>1257693.6539999999</v>
      </c>
      <c r="Q108" s="9">
        <v>21.49</v>
      </c>
    </row>
    <row r="109" spans="1:17" x14ac:dyDescent="0.2">
      <c r="A109" s="5" t="s">
        <v>25</v>
      </c>
      <c r="B109" s="5" t="s">
        <v>26</v>
      </c>
      <c r="C109" s="6">
        <v>42489</v>
      </c>
      <c r="D109" s="5">
        <f t="shared" si="10"/>
        <v>4</v>
      </c>
      <c r="E109" s="5">
        <f t="shared" si="11"/>
        <v>18</v>
      </c>
      <c r="F109" s="9">
        <v>21.45</v>
      </c>
      <c r="G109" s="9">
        <v>56924.6</v>
      </c>
      <c r="H109" s="36">
        <f t="shared" si="12"/>
        <v>1221032.67</v>
      </c>
      <c r="I109" s="9">
        <v>0</v>
      </c>
      <c r="J109" s="9">
        <v>0</v>
      </c>
      <c r="K109" s="9">
        <v>0</v>
      </c>
      <c r="L109" s="9">
        <v>0</v>
      </c>
      <c r="M109" s="9">
        <f t="shared" si="13"/>
        <v>1221032.67</v>
      </c>
      <c r="N109" s="9">
        <v>0</v>
      </c>
      <c r="O109" s="9">
        <v>1600</v>
      </c>
      <c r="P109" s="9">
        <f t="shared" si="14"/>
        <v>1255352.67</v>
      </c>
      <c r="Q109" s="9">
        <v>21.45</v>
      </c>
    </row>
    <row r="110" spans="1:17" x14ac:dyDescent="0.2">
      <c r="A110" s="5" t="s">
        <v>25</v>
      </c>
      <c r="B110" s="5" t="s">
        <v>26</v>
      </c>
      <c r="C110" s="6">
        <v>42489</v>
      </c>
      <c r="D110" s="5">
        <f t="shared" si="10"/>
        <v>4</v>
      </c>
      <c r="E110" s="5">
        <f t="shared" si="11"/>
        <v>18</v>
      </c>
      <c r="F110" s="9">
        <v>21.47</v>
      </c>
      <c r="G110" s="9">
        <v>56924.52</v>
      </c>
      <c r="H110" s="36">
        <f t="shared" si="12"/>
        <v>1222169.4443999999</v>
      </c>
      <c r="I110" s="9">
        <v>0</v>
      </c>
      <c r="J110" s="9">
        <v>0</v>
      </c>
      <c r="K110" s="9">
        <v>0</v>
      </c>
      <c r="L110" s="9">
        <v>0</v>
      </c>
      <c r="M110" s="9">
        <f t="shared" si="13"/>
        <v>1222169.4443999999</v>
      </c>
      <c r="N110" s="9">
        <v>0</v>
      </c>
      <c r="O110" s="9">
        <v>1600</v>
      </c>
      <c r="P110" s="9">
        <f t="shared" si="14"/>
        <v>1256521.4443999999</v>
      </c>
      <c r="Q110" s="9">
        <v>21.47</v>
      </c>
    </row>
    <row r="111" spans="1:17" x14ac:dyDescent="0.2">
      <c r="A111" s="5" t="s">
        <v>25</v>
      </c>
      <c r="B111" s="5" t="s">
        <v>26</v>
      </c>
      <c r="C111" s="6">
        <v>42489</v>
      </c>
      <c r="D111" s="5">
        <f t="shared" si="10"/>
        <v>4</v>
      </c>
      <c r="E111" s="5">
        <f t="shared" si="11"/>
        <v>18</v>
      </c>
      <c r="F111" s="9">
        <v>21.46</v>
      </c>
      <c r="G111" s="9">
        <v>56924.52</v>
      </c>
      <c r="H111" s="36">
        <f t="shared" si="12"/>
        <v>1221600.1991999999</v>
      </c>
      <c r="I111" s="9">
        <v>0</v>
      </c>
      <c r="J111" s="9">
        <v>0</v>
      </c>
      <c r="K111" s="9">
        <v>0</v>
      </c>
      <c r="L111" s="9">
        <v>0</v>
      </c>
      <c r="M111" s="9">
        <f t="shared" si="13"/>
        <v>1221600.1991999999</v>
      </c>
      <c r="N111" s="9">
        <v>0</v>
      </c>
      <c r="O111" s="9">
        <v>1600</v>
      </c>
      <c r="P111" s="9">
        <f t="shared" si="14"/>
        <v>1255936.1991999999</v>
      </c>
      <c r="Q111" s="9">
        <v>21.46</v>
      </c>
    </row>
    <row r="112" spans="1:17" x14ac:dyDescent="0.2">
      <c r="A112" s="5" t="s">
        <v>25</v>
      </c>
      <c r="B112" s="5" t="s">
        <v>26</v>
      </c>
      <c r="C112" s="6">
        <v>42489</v>
      </c>
      <c r="D112" s="5">
        <f t="shared" si="10"/>
        <v>4</v>
      </c>
      <c r="E112" s="5">
        <f t="shared" si="11"/>
        <v>18</v>
      </c>
      <c r="F112" s="9">
        <v>21.46</v>
      </c>
      <c r="G112" s="9">
        <v>56924.52</v>
      </c>
      <c r="H112" s="36">
        <f t="shared" si="12"/>
        <v>1221600.1991999999</v>
      </c>
      <c r="I112" s="9">
        <v>0</v>
      </c>
      <c r="J112" s="9">
        <v>0</v>
      </c>
      <c r="K112" s="9">
        <v>0</v>
      </c>
      <c r="L112" s="9">
        <v>0</v>
      </c>
      <c r="M112" s="9">
        <f t="shared" si="13"/>
        <v>1221600.1991999999</v>
      </c>
      <c r="N112" s="9">
        <v>0</v>
      </c>
      <c r="O112" s="9">
        <v>1600</v>
      </c>
      <c r="P112" s="9">
        <f t="shared" si="14"/>
        <v>1255936.1991999999</v>
      </c>
      <c r="Q112" s="9">
        <v>21.46</v>
      </c>
    </row>
    <row r="113" spans="1:19" x14ac:dyDescent="0.2">
      <c r="A113" s="5" t="s">
        <v>25</v>
      </c>
      <c r="B113" s="5" t="s">
        <v>26</v>
      </c>
      <c r="C113" s="6">
        <v>42489</v>
      </c>
      <c r="D113" s="5">
        <f t="shared" si="10"/>
        <v>4</v>
      </c>
      <c r="E113" s="5">
        <f t="shared" si="11"/>
        <v>18</v>
      </c>
      <c r="F113" s="9">
        <v>21.5</v>
      </c>
      <c r="G113" s="9">
        <v>56924.52</v>
      </c>
      <c r="H113" s="36">
        <f t="shared" si="12"/>
        <v>1223877.18</v>
      </c>
      <c r="I113" s="9">
        <v>0</v>
      </c>
      <c r="J113" s="9">
        <v>0</v>
      </c>
      <c r="K113" s="9">
        <v>0</v>
      </c>
      <c r="L113" s="9">
        <v>0</v>
      </c>
      <c r="M113" s="9">
        <f t="shared" si="13"/>
        <v>1223877.18</v>
      </c>
      <c r="N113" s="9">
        <v>0</v>
      </c>
      <c r="O113" s="9">
        <v>1600</v>
      </c>
      <c r="P113" s="9">
        <f t="shared" si="14"/>
        <v>1258277.18</v>
      </c>
      <c r="Q113" s="9">
        <v>21.5</v>
      </c>
    </row>
    <row r="114" spans="1:19" x14ac:dyDescent="0.2">
      <c r="A114" s="5" t="s">
        <v>25</v>
      </c>
      <c r="B114" s="5" t="s">
        <v>26</v>
      </c>
      <c r="C114" s="6">
        <v>42489</v>
      </c>
      <c r="D114" s="5">
        <f t="shared" si="10"/>
        <v>4</v>
      </c>
      <c r="E114" s="5">
        <f t="shared" si="11"/>
        <v>18</v>
      </c>
      <c r="F114" s="9">
        <v>21.44</v>
      </c>
      <c r="G114" s="9">
        <v>56924.52</v>
      </c>
      <c r="H114" s="36">
        <f t="shared" si="12"/>
        <v>1220461.7087999999</v>
      </c>
      <c r="I114" s="9">
        <v>0</v>
      </c>
      <c r="J114" s="9">
        <v>0</v>
      </c>
      <c r="K114" s="9">
        <v>0</v>
      </c>
      <c r="L114" s="9">
        <v>0</v>
      </c>
      <c r="M114" s="9">
        <f t="shared" si="13"/>
        <v>1220461.7087999999</v>
      </c>
      <c r="N114" s="9">
        <v>0</v>
      </c>
      <c r="O114" s="9">
        <v>1600</v>
      </c>
      <c r="P114" s="9">
        <f t="shared" si="14"/>
        <v>1254765.7087999999</v>
      </c>
      <c r="Q114" s="9">
        <v>21.44</v>
      </c>
    </row>
    <row r="115" spans="1:19" x14ac:dyDescent="0.2">
      <c r="A115" s="5" t="s">
        <v>19</v>
      </c>
      <c r="B115" s="5" t="s">
        <v>23</v>
      </c>
      <c r="C115" s="6">
        <v>42489</v>
      </c>
      <c r="D115" s="5">
        <f t="shared" si="10"/>
        <v>4</v>
      </c>
      <c r="E115" s="5">
        <f t="shared" si="11"/>
        <v>18</v>
      </c>
      <c r="F115" s="9">
        <v>16.100000000000001</v>
      </c>
      <c r="G115" s="9">
        <v>81780</v>
      </c>
      <c r="H115" s="36">
        <f t="shared" si="12"/>
        <v>1316658</v>
      </c>
      <c r="I115" s="9">
        <v>0</v>
      </c>
      <c r="J115" s="9">
        <v>0</v>
      </c>
      <c r="K115" s="9">
        <v>1345</v>
      </c>
      <c r="L115" s="9">
        <v>0</v>
      </c>
      <c r="M115" s="9">
        <f t="shared" si="13"/>
        <v>1318003</v>
      </c>
      <c r="N115" s="9">
        <v>26365.872000000003</v>
      </c>
      <c r="O115" s="9">
        <v>0</v>
      </c>
      <c r="P115" s="9">
        <f t="shared" si="14"/>
        <v>1344368.872</v>
      </c>
      <c r="Q115" s="9">
        <v>16.100000000000001</v>
      </c>
    </row>
    <row r="116" spans="1:19" x14ac:dyDescent="0.2">
      <c r="A116" s="5" t="s">
        <v>19</v>
      </c>
      <c r="B116" s="5" t="s">
        <v>23</v>
      </c>
      <c r="C116" s="6">
        <v>42489</v>
      </c>
      <c r="D116" s="5">
        <f t="shared" si="10"/>
        <v>4</v>
      </c>
      <c r="E116" s="5">
        <f t="shared" si="11"/>
        <v>18</v>
      </c>
      <c r="F116" s="9">
        <v>27.66</v>
      </c>
      <c r="G116" s="9">
        <v>84800</v>
      </c>
      <c r="H116" s="36">
        <f t="shared" si="12"/>
        <v>2345568</v>
      </c>
      <c r="I116" s="9">
        <v>0</v>
      </c>
      <c r="J116" s="9">
        <v>0</v>
      </c>
      <c r="K116" s="9">
        <v>0</v>
      </c>
      <c r="L116" s="9">
        <v>0</v>
      </c>
      <c r="M116" s="9">
        <f t="shared" si="13"/>
        <v>2345568</v>
      </c>
      <c r="N116" s="9">
        <v>46911.360000000001</v>
      </c>
      <c r="O116" s="9">
        <v>0</v>
      </c>
      <c r="P116" s="9">
        <f t="shared" si="14"/>
        <v>2392479.36</v>
      </c>
      <c r="Q116" s="9">
        <v>27.66</v>
      </c>
    </row>
    <row r="117" spans="1:19" x14ac:dyDescent="0.2">
      <c r="A117" s="5" t="s">
        <v>19</v>
      </c>
      <c r="B117" s="5" t="s">
        <v>23</v>
      </c>
      <c r="C117" s="6">
        <v>42489</v>
      </c>
      <c r="D117" s="5">
        <f t="shared" si="10"/>
        <v>4</v>
      </c>
      <c r="E117" s="5">
        <f t="shared" si="11"/>
        <v>18</v>
      </c>
      <c r="F117" s="9">
        <v>19.95</v>
      </c>
      <c r="G117" s="9">
        <v>85290</v>
      </c>
      <c r="H117" s="36">
        <f t="shared" si="12"/>
        <v>1701535.5</v>
      </c>
      <c r="I117" s="9">
        <v>0</v>
      </c>
      <c r="J117" s="9">
        <v>0</v>
      </c>
      <c r="K117" s="9">
        <v>0</v>
      </c>
      <c r="L117" s="9">
        <v>0</v>
      </c>
      <c r="M117" s="9">
        <f t="shared" si="13"/>
        <v>1701535.5</v>
      </c>
      <c r="N117" s="9">
        <v>34124.529000000002</v>
      </c>
      <c r="O117" s="9">
        <v>0</v>
      </c>
      <c r="P117" s="9">
        <f t="shared" si="14"/>
        <v>1735660.0290000001</v>
      </c>
      <c r="Q117" s="9">
        <v>19.95</v>
      </c>
    </row>
    <row r="118" spans="1:19" x14ac:dyDescent="0.2">
      <c r="A118" s="5" t="s">
        <v>19</v>
      </c>
      <c r="B118" s="5" t="s">
        <v>23</v>
      </c>
      <c r="C118" s="6">
        <v>42489</v>
      </c>
      <c r="D118" s="5">
        <f t="shared" si="10"/>
        <v>4</v>
      </c>
      <c r="E118" s="5">
        <f t="shared" si="11"/>
        <v>18</v>
      </c>
      <c r="F118" s="9">
        <v>23.88</v>
      </c>
      <c r="G118" s="9">
        <v>84908.15</v>
      </c>
      <c r="H118" s="36">
        <f t="shared" si="12"/>
        <v>2027606.6219999997</v>
      </c>
      <c r="I118" s="9">
        <v>0</v>
      </c>
      <c r="J118" s="9">
        <v>0</v>
      </c>
      <c r="K118" s="9">
        <v>0</v>
      </c>
      <c r="L118" s="9">
        <v>0</v>
      </c>
      <c r="M118" s="9">
        <f t="shared" si="13"/>
        <v>2027606.6219999997</v>
      </c>
      <c r="N118" s="9">
        <v>40620.058960000002</v>
      </c>
      <c r="O118" s="9">
        <v>0</v>
      </c>
      <c r="P118" s="9">
        <f t="shared" si="14"/>
        <v>2068226.6809599998</v>
      </c>
      <c r="Q118" s="9">
        <v>23.88</v>
      </c>
    </row>
    <row r="119" spans="1:19" x14ac:dyDescent="0.2">
      <c r="A119" s="5" t="s">
        <v>34</v>
      </c>
      <c r="B119" s="8" t="s">
        <v>15</v>
      </c>
      <c r="C119" s="6">
        <v>42490</v>
      </c>
      <c r="D119" s="5">
        <f t="shared" si="10"/>
        <v>4</v>
      </c>
      <c r="E119" s="5">
        <f t="shared" si="11"/>
        <v>18</v>
      </c>
      <c r="F119" s="9">
        <v>27.62</v>
      </c>
      <c r="G119" s="9">
        <v>45700</v>
      </c>
      <c r="H119" s="36">
        <f t="shared" si="12"/>
        <v>1262234</v>
      </c>
      <c r="I119" s="9">
        <v>0</v>
      </c>
      <c r="J119" s="9">
        <v>0</v>
      </c>
      <c r="K119" s="9">
        <v>0</v>
      </c>
      <c r="L119" s="9">
        <v>0</v>
      </c>
      <c r="M119" s="9">
        <f t="shared" si="13"/>
        <v>1262234</v>
      </c>
      <c r="N119" s="9">
        <v>0</v>
      </c>
      <c r="O119" s="9">
        <v>0</v>
      </c>
      <c r="P119" s="9">
        <f t="shared" si="14"/>
        <v>1262234</v>
      </c>
      <c r="Q119" s="9">
        <v>27.62</v>
      </c>
    </row>
    <row r="120" spans="1:19" x14ac:dyDescent="0.2">
      <c r="A120" s="5" t="s">
        <v>33</v>
      </c>
      <c r="B120" s="5" t="s">
        <v>18</v>
      </c>
      <c r="C120" s="6">
        <v>42490</v>
      </c>
      <c r="D120" s="5">
        <f t="shared" si="10"/>
        <v>4</v>
      </c>
      <c r="E120" s="5">
        <f t="shared" si="11"/>
        <v>18</v>
      </c>
      <c r="F120" s="9">
        <v>17.164999999999999</v>
      </c>
      <c r="G120" s="9">
        <v>48500</v>
      </c>
      <c r="H120" s="36">
        <f t="shared" si="12"/>
        <v>832502.5</v>
      </c>
      <c r="I120" s="9">
        <v>0</v>
      </c>
      <c r="J120" s="9">
        <v>0</v>
      </c>
      <c r="K120" s="9">
        <v>0</v>
      </c>
      <c r="L120" s="9">
        <v>0</v>
      </c>
      <c r="M120" s="9">
        <f t="shared" si="13"/>
        <v>832502.5</v>
      </c>
      <c r="N120" s="9">
        <v>0</v>
      </c>
      <c r="O120" s="9">
        <v>0</v>
      </c>
      <c r="P120" s="9">
        <f t="shared" si="14"/>
        <v>832502.5</v>
      </c>
      <c r="Q120" s="9">
        <v>17.164999999999999</v>
      </c>
    </row>
    <row r="121" spans="1:19" x14ac:dyDescent="0.2">
      <c r="A121" s="5" t="s">
        <v>32</v>
      </c>
      <c r="B121" s="5" t="s">
        <v>18</v>
      </c>
      <c r="C121" s="6">
        <v>42490</v>
      </c>
      <c r="D121" s="5">
        <f t="shared" si="10"/>
        <v>4</v>
      </c>
      <c r="E121" s="5">
        <f t="shared" si="11"/>
        <v>18</v>
      </c>
      <c r="F121" s="9">
        <v>29.31</v>
      </c>
      <c r="G121" s="9">
        <v>51340.6</v>
      </c>
      <c r="H121" s="36">
        <f t="shared" si="12"/>
        <v>1504792.9859999998</v>
      </c>
      <c r="I121" s="9">
        <v>0</v>
      </c>
      <c r="J121" s="9">
        <v>0</v>
      </c>
      <c r="K121" s="9">
        <v>0</v>
      </c>
      <c r="L121" s="9">
        <v>0</v>
      </c>
      <c r="M121" s="9">
        <f t="shared" si="13"/>
        <v>1504792.9859999998</v>
      </c>
      <c r="N121" s="9">
        <v>0</v>
      </c>
      <c r="O121" s="9">
        <v>0</v>
      </c>
      <c r="P121" s="9">
        <f t="shared" si="14"/>
        <v>1504792.9859999998</v>
      </c>
      <c r="Q121" s="9">
        <v>29.31</v>
      </c>
    </row>
    <row r="122" spans="1:19" x14ac:dyDescent="0.2">
      <c r="A122" s="5" t="s">
        <v>19</v>
      </c>
      <c r="B122" s="5" t="s">
        <v>23</v>
      </c>
      <c r="C122" s="6">
        <v>42490</v>
      </c>
      <c r="D122" s="5">
        <f t="shared" si="10"/>
        <v>4</v>
      </c>
      <c r="E122" s="5">
        <f t="shared" si="11"/>
        <v>18</v>
      </c>
      <c r="F122" s="9">
        <v>19.920000000000002</v>
      </c>
      <c r="G122" s="9">
        <v>85290</v>
      </c>
      <c r="H122" s="36">
        <f t="shared" si="12"/>
        <v>1698976.8</v>
      </c>
      <c r="I122" s="9">
        <v>0</v>
      </c>
      <c r="J122" s="9">
        <v>0</v>
      </c>
      <c r="K122" s="9">
        <v>0</v>
      </c>
      <c r="L122" s="9">
        <v>0</v>
      </c>
      <c r="M122" s="9">
        <f t="shared" si="13"/>
        <v>1698976.8</v>
      </c>
      <c r="N122" s="9">
        <v>34056.297000000006</v>
      </c>
      <c r="O122" s="9">
        <v>0</v>
      </c>
      <c r="P122" s="9">
        <f t="shared" si="14"/>
        <v>1733033.0970000001</v>
      </c>
      <c r="Q122" s="9">
        <v>19.920000000000002</v>
      </c>
    </row>
    <row r="123" spans="1:19" x14ac:dyDescent="0.2">
      <c r="A123" s="5" t="s">
        <v>19</v>
      </c>
      <c r="B123" s="5" t="s">
        <v>23</v>
      </c>
      <c r="C123" s="6">
        <v>42490</v>
      </c>
      <c r="D123" s="5">
        <f t="shared" si="10"/>
        <v>4</v>
      </c>
      <c r="E123" s="5">
        <f t="shared" si="11"/>
        <v>18</v>
      </c>
      <c r="F123" s="9">
        <v>20.21</v>
      </c>
      <c r="G123" s="9">
        <v>85290</v>
      </c>
      <c r="H123" s="36">
        <f t="shared" si="12"/>
        <v>1723710.9000000001</v>
      </c>
      <c r="I123" s="9">
        <v>0</v>
      </c>
      <c r="J123" s="9">
        <v>0</v>
      </c>
      <c r="K123" s="9">
        <v>0</v>
      </c>
      <c r="L123" s="9">
        <v>0</v>
      </c>
      <c r="M123" s="9">
        <f t="shared" si="13"/>
        <v>1723710.9000000001</v>
      </c>
      <c r="N123" s="9">
        <v>34482.747000000003</v>
      </c>
      <c r="O123" s="9">
        <v>0</v>
      </c>
      <c r="P123" s="9">
        <f t="shared" si="14"/>
        <v>1758193.6470000001</v>
      </c>
      <c r="Q123" s="9">
        <v>20.21</v>
      </c>
    </row>
    <row r="124" spans="1:19" x14ac:dyDescent="0.2">
      <c r="A124" s="5" t="s">
        <v>19</v>
      </c>
      <c r="B124" s="5" t="s">
        <v>23</v>
      </c>
      <c r="C124" s="6">
        <v>42490</v>
      </c>
      <c r="D124" s="5">
        <f t="shared" si="10"/>
        <v>4</v>
      </c>
      <c r="E124" s="5">
        <f t="shared" si="11"/>
        <v>18</v>
      </c>
      <c r="F124" s="9">
        <v>20.59</v>
      </c>
      <c r="G124" s="9">
        <v>85290</v>
      </c>
      <c r="H124" s="36">
        <f t="shared" si="12"/>
        <v>1756121.1</v>
      </c>
      <c r="I124" s="9">
        <v>0</v>
      </c>
      <c r="J124" s="9">
        <v>0</v>
      </c>
      <c r="K124" s="9">
        <v>0</v>
      </c>
      <c r="L124" s="9">
        <v>0</v>
      </c>
      <c r="M124" s="9">
        <f t="shared" si="13"/>
        <v>1756121.1</v>
      </c>
      <c r="N124" s="9">
        <v>35122.422000000006</v>
      </c>
      <c r="O124" s="9">
        <v>0</v>
      </c>
      <c r="P124" s="9">
        <f t="shared" si="14"/>
        <v>1791243.5220000001</v>
      </c>
      <c r="Q124" s="9">
        <v>20.59</v>
      </c>
    </row>
    <row r="125" spans="1:19" x14ac:dyDescent="0.2">
      <c r="A125" s="5" t="s">
        <v>19</v>
      </c>
      <c r="B125" s="5" t="s">
        <v>23</v>
      </c>
      <c r="C125" s="6">
        <v>42490</v>
      </c>
      <c r="D125" s="5">
        <f t="shared" si="10"/>
        <v>4</v>
      </c>
      <c r="E125" s="5">
        <f t="shared" si="11"/>
        <v>18</v>
      </c>
      <c r="F125" s="9">
        <v>20.190000000000001</v>
      </c>
      <c r="G125" s="9">
        <v>85290</v>
      </c>
      <c r="H125" s="36">
        <f t="shared" si="12"/>
        <v>1722005.1</v>
      </c>
      <c r="I125" s="9">
        <v>0</v>
      </c>
      <c r="J125" s="9">
        <v>0</v>
      </c>
      <c r="K125" s="9">
        <v>0</v>
      </c>
      <c r="L125" s="9">
        <v>0</v>
      </c>
      <c r="M125" s="9">
        <f t="shared" si="13"/>
        <v>1722005.1</v>
      </c>
      <c r="N125" s="9">
        <v>34440.101999999999</v>
      </c>
      <c r="O125" s="9">
        <v>0</v>
      </c>
      <c r="P125" s="9">
        <f t="shared" si="14"/>
        <v>1756445.202</v>
      </c>
      <c r="Q125" s="9">
        <v>20.190000000000001</v>
      </c>
    </row>
    <row r="126" spans="1:19" x14ac:dyDescent="0.2">
      <c r="A126" s="5" t="s">
        <v>12</v>
      </c>
      <c r="B126" s="5" t="s">
        <v>13</v>
      </c>
      <c r="C126" s="6">
        <v>42490</v>
      </c>
      <c r="D126" s="5">
        <f t="shared" si="10"/>
        <v>4</v>
      </c>
      <c r="E126" s="5">
        <f t="shared" si="11"/>
        <v>18</v>
      </c>
      <c r="F126" s="9">
        <v>28.84</v>
      </c>
      <c r="G126" s="9">
        <v>50000</v>
      </c>
      <c r="H126" s="36">
        <f t="shared" si="12"/>
        <v>1442000</v>
      </c>
      <c r="I126" s="9">
        <v>0</v>
      </c>
      <c r="J126" s="9">
        <v>0</v>
      </c>
      <c r="K126" s="9">
        <v>0</v>
      </c>
      <c r="L126" s="9">
        <v>0</v>
      </c>
      <c r="M126" s="9">
        <f t="shared" si="13"/>
        <v>1442000</v>
      </c>
      <c r="N126" s="9">
        <f>M126*2%</f>
        <v>28840</v>
      </c>
      <c r="O126" s="9">
        <v>0</v>
      </c>
      <c r="P126" s="9">
        <f t="shared" si="14"/>
        <v>1470840</v>
      </c>
      <c r="Q126" s="9">
        <v>28.84</v>
      </c>
    </row>
    <row r="127" spans="1:19" x14ac:dyDescent="0.2">
      <c r="S127" s="10"/>
    </row>
    <row r="128" spans="1:19" x14ac:dyDescent="0.2">
      <c r="S128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C1" workbookViewId="0">
      <selection activeCell="D2" sqref="D2:E2"/>
    </sheetView>
  </sheetViews>
  <sheetFormatPr defaultRowHeight="15" customHeight="1" x14ac:dyDescent="0.2"/>
  <cols>
    <col min="1" max="1" width="50.42578125" style="14" bestFit="1" customWidth="1"/>
    <col min="2" max="2" width="39.42578125" style="14" bestFit="1" customWidth="1"/>
    <col min="3" max="3" width="10.140625" style="14" bestFit="1" customWidth="1"/>
    <col min="4" max="5" width="9.140625" style="14"/>
    <col min="6" max="6" width="9.42578125" style="14" bestFit="1" customWidth="1"/>
    <col min="7" max="7" width="9.7109375" style="14" bestFit="1" customWidth="1"/>
    <col min="8" max="8" width="12.140625" style="14" bestFit="1" customWidth="1"/>
    <col min="9" max="9" width="9.42578125" style="14" bestFit="1" customWidth="1"/>
    <col min="10" max="10" width="9.7109375" style="14" bestFit="1" customWidth="1"/>
    <col min="11" max="12" width="9.42578125" style="14" bestFit="1" customWidth="1"/>
    <col min="13" max="13" width="12.140625" style="14" bestFit="1" customWidth="1"/>
    <col min="14" max="14" width="9.7109375" style="14" bestFit="1" customWidth="1"/>
    <col min="15" max="15" width="9.42578125" style="14" bestFit="1" customWidth="1"/>
    <col min="16" max="16" width="12.140625" style="14" bestFit="1" customWidth="1"/>
    <col min="17" max="17" width="9.42578125" style="14" bestFit="1" customWidth="1"/>
    <col min="18" max="16384" width="9.140625" style="14"/>
  </cols>
  <sheetData>
    <row r="1" spans="1:17" s="37" customFormat="1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s="37" customFormat="1" ht="15" customHeight="1" x14ac:dyDescent="0.2">
      <c r="A2" s="5" t="s">
        <v>25</v>
      </c>
      <c r="B2" s="5" t="s">
        <v>26</v>
      </c>
      <c r="C2" s="6">
        <v>42492</v>
      </c>
      <c r="D2" s="5">
        <f>MONTH(C2)</f>
        <v>5</v>
      </c>
      <c r="E2" s="5">
        <f>WEEKNUM(C2)</f>
        <v>19</v>
      </c>
      <c r="F2" s="5">
        <v>21.49</v>
      </c>
      <c r="G2" s="40">
        <v>56924.52</v>
      </c>
      <c r="H2" s="41">
        <f t="shared" ref="H2:H65" si="0">+F2*G2</f>
        <v>1223307.9347999999</v>
      </c>
      <c r="I2" s="42">
        <v>0</v>
      </c>
      <c r="J2" s="43">
        <v>0</v>
      </c>
      <c r="K2" s="44">
        <v>0</v>
      </c>
      <c r="L2" s="44">
        <v>0</v>
      </c>
      <c r="M2" s="41">
        <f t="shared" ref="M2:M33" si="1">+H2+J2</f>
        <v>1223307.9347999999</v>
      </c>
      <c r="N2" s="41">
        <v>0</v>
      </c>
      <c r="O2" s="40">
        <f>1600*Q2</f>
        <v>34384</v>
      </c>
      <c r="P2" s="42">
        <f t="shared" ref="P2:P65" si="2">+M2+N2+O2</f>
        <v>1257691.9347999999</v>
      </c>
      <c r="Q2" s="5">
        <v>21.49</v>
      </c>
    </row>
    <row r="3" spans="1:17" s="37" customFormat="1" ht="15" customHeight="1" x14ac:dyDescent="0.2">
      <c r="A3" s="5" t="s">
        <v>25</v>
      </c>
      <c r="B3" s="5" t="s">
        <v>26</v>
      </c>
      <c r="C3" s="6">
        <v>42492</v>
      </c>
      <c r="D3" s="5">
        <f t="shared" ref="D3:D66" si="3">MONTH(C3)</f>
        <v>5</v>
      </c>
      <c r="E3" s="5">
        <f t="shared" ref="E3:E66" si="4">WEEKNUM(C3)</f>
        <v>19</v>
      </c>
      <c r="F3" s="5">
        <v>21.45</v>
      </c>
      <c r="G3" s="40">
        <v>56924.52</v>
      </c>
      <c r="H3" s="41">
        <f t="shared" si="0"/>
        <v>1221030.9539999999</v>
      </c>
      <c r="I3" s="42">
        <v>0</v>
      </c>
      <c r="J3" s="43">
        <v>0</v>
      </c>
      <c r="K3" s="44">
        <v>0</v>
      </c>
      <c r="L3" s="44">
        <v>0</v>
      </c>
      <c r="M3" s="41">
        <f t="shared" si="1"/>
        <v>1221030.9539999999</v>
      </c>
      <c r="N3" s="41">
        <v>0</v>
      </c>
      <c r="O3" s="40">
        <f t="shared" ref="O3:O6" si="5">1600*Q3</f>
        <v>34320</v>
      </c>
      <c r="P3" s="42">
        <f t="shared" si="2"/>
        <v>1255350.9539999999</v>
      </c>
      <c r="Q3" s="5">
        <v>21.45</v>
      </c>
    </row>
    <row r="4" spans="1:17" s="37" customFormat="1" ht="15" customHeight="1" x14ac:dyDescent="0.2">
      <c r="A4" s="5" t="s">
        <v>25</v>
      </c>
      <c r="B4" s="5" t="s">
        <v>26</v>
      </c>
      <c r="C4" s="6">
        <v>42492</v>
      </c>
      <c r="D4" s="5">
        <f t="shared" si="3"/>
        <v>5</v>
      </c>
      <c r="E4" s="5">
        <f t="shared" si="4"/>
        <v>19</v>
      </c>
      <c r="F4" s="5">
        <v>21.49</v>
      </c>
      <c r="G4" s="40">
        <v>56924.52</v>
      </c>
      <c r="H4" s="41">
        <f t="shared" si="0"/>
        <v>1223307.9347999999</v>
      </c>
      <c r="I4" s="42">
        <v>0</v>
      </c>
      <c r="J4" s="43">
        <v>0</v>
      </c>
      <c r="K4" s="44">
        <v>0</v>
      </c>
      <c r="L4" s="44">
        <v>0</v>
      </c>
      <c r="M4" s="41">
        <f t="shared" si="1"/>
        <v>1223307.9347999999</v>
      </c>
      <c r="N4" s="41">
        <v>0</v>
      </c>
      <c r="O4" s="40">
        <f t="shared" si="5"/>
        <v>34384</v>
      </c>
      <c r="P4" s="42">
        <f t="shared" si="2"/>
        <v>1257691.9347999999</v>
      </c>
      <c r="Q4" s="5">
        <v>21.49</v>
      </c>
    </row>
    <row r="5" spans="1:17" s="37" customFormat="1" ht="15" customHeight="1" x14ac:dyDescent="0.2">
      <c r="A5" s="5" t="s">
        <v>25</v>
      </c>
      <c r="B5" s="5" t="s">
        <v>26</v>
      </c>
      <c r="C5" s="6">
        <v>42492</v>
      </c>
      <c r="D5" s="5">
        <f t="shared" si="3"/>
        <v>5</v>
      </c>
      <c r="E5" s="5">
        <f t="shared" si="4"/>
        <v>19</v>
      </c>
      <c r="F5" s="5">
        <v>21.48</v>
      </c>
      <c r="G5" s="40">
        <v>56924.52</v>
      </c>
      <c r="H5" s="41">
        <f t="shared" si="0"/>
        <v>1222738.6895999999</v>
      </c>
      <c r="I5" s="42">
        <v>0</v>
      </c>
      <c r="J5" s="43">
        <v>0</v>
      </c>
      <c r="K5" s="44">
        <v>0</v>
      </c>
      <c r="L5" s="44">
        <v>0</v>
      </c>
      <c r="M5" s="41">
        <f t="shared" si="1"/>
        <v>1222738.6895999999</v>
      </c>
      <c r="N5" s="41">
        <v>0</v>
      </c>
      <c r="O5" s="40">
        <f t="shared" si="5"/>
        <v>34368</v>
      </c>
      <c r="P5" s="42">
        <f t="shared" si="2"/>
        <v>1257106.6895999999</v>
      </c>
      <c r="Q5" s="5">
        <v>21.48</v>
      </c>
    </row>
    <row r="6" spans="1:17" s="37" customFormat="1" ht="15" customHeight="1" x14ac:dyDescent="0.2">
      <c r="A6" s="5" t="s">
        <v>25</v>
      </c>
      <c r="B6" s="5" t="s">
        <v>26</v>
      </c>
      <c r="C6" s="6">
        <v>42492</v>
      </c>
      <c r="D6" s="5">
        <f t="shared" si="3"/>
        <v>5</v>
      </c>
      <c r="E6" s="5">
        <f t="shared" si="4"/>
        <v>19</v>
      </c>
      <c r="F6" s="5">
        <v>21.44</v>
      </c>
      <c r="G6" s="40">
        <v>56924.52</v>
      </c>
      <c r="H6" s="41">
        <f t="shared" si="0"/>
        <v>1220461.7087999999</v>
      </c>
      <c r="I6" s="42">
        <v>0</v>
      </c>
      <c r="J6" s="43">
        <v>0</v>
      </c>
      <c r="K6" s="44">
        <v>0</v>
      </c>
      <c r="L6" s="44">
        <v>0</v>
      </c>
      <c r="M6" s="41">
        <f t="shared" si="1"/>
        <v>1220461.7087999999</v>
      </c>
      <c r="N6" s="41">
        <v>0</v>
      </c>
      <c r="O6" s="40">
        <f t="shared" si="5"/>
        <v>34304</v>
      </c>
      <c r="P6" s="42">
        <f t="shared" si="2"/>
        <v>1254765.7087999999</v>
      </c>
      <c r="Q6" s="5">
        <v>21.44</v>
      </c>
    </row>
    <row r="7" spans="1:17" s="37" customFormat="1" ht="15" customHeight="1" x14ac:dyDescent="0.2">
      <c r="A7" s="5" t="s">
        <v>31</v>
      </c>
      <c r="B7" s="8" t="s">
        <v>15</v>
      </c>
      <c r="C7" s="6">
        <v>42492</v>
      </c>
      <c r="D7" s="5">
        <f t="shared" si="3"/>
        <v>5</v>
      </c>
      <c r="E7" s="5">
        <f t="shared" si="4"/>
        <v>19</v>
      </c>
      <c r="F7" s="5">
        <v>24.2</v>
      </c>
      <c r="G7" s="40">
        <v>55800</v>
      </c>
      <c r="H7" s="41">
        <f t="shared" si="0"/>
        <v>1350360</v>
      </c>
      <c r="I7" s="42">
        <v>0</v>
      </c>
      <c r="J7" s="43">
        <v>0</v>
      </c>
      <c r="K7" s="44">
        <v>0</v>
      </c>
      <c r="L7" s="44">
        <v>0</v>
      </c>
      <c r="M7" s="41">
        <f t="shared" si="1"/>
        <v>1350360</v>
      </c>
      <c r="N7" s="41">
        <v>0</v>
      </c>
      <c r="O7" s="40">
        <v>0</v>
      </c>
      <c r="P7" s="42">
        <f t="shared" si="2"/>
        <v>1350360</v>
      </c>
      <c r="Q7" s="5">
        <v>24.2</v>
      </c>
    </row>
    <row r="8" spans="1:17" s="37" customFormat="1" ht="15" customHeight="1" x14ac:dyDescent="0.2">
      <c r="A8" s="5" t="s">
        <v>31</v>
      </c>
      <c r="B8" s="8" t="s">
        <v>15</v>
      </c>
      <c r="C8" s="6">
        <v>42492</v>
      </c>
      <c r="D8" s="5">
        <f t="shared" si="3"/>
        <v>5</v>
      </c>
      <c r="E8" s="5">
        <f t="shared" si="4"/>
        <v>19</v>
      </c>
      <c r="F8" s="5">
        <v>19.899999999999999</v>
      </c>
      <c r="G8" s="40">
        <v>54500</v>
      </c>
      <c r="H8" s="41">
        <f t="shared" si="0"/>
        <v>1084550</v>
      </c>
      <c r="I8" s="42">
        <v>0</v>
      </c>
      <c r="J8" s="43">
        <v>0</v>
      </c>
      <c r="K8" s="44">
        <v>0</v>
      </c>
      <c r="L8" s="44">
        <v>0</v>
      </c>
      <c r="M8" s="41">
        <f t="shared" si="1"/>
        <v>1084550</v>
      </c>
      <c r="N8" s="41">
        <v>0</v>
      </c>
      <c r="O8" s="40">
        <v>0</v>
      </c>
      <c r="P8" s="42">
        <f t="shared" si="2"/>
        <v>1084550</v>
      </c>
      <c r="Q8" s="5">
        <v>19.899999999999999</v>
      </c>
    </row>
    <row r="9" spans="1:17" s="37" customFormat="1" ht="15" customHeight="1" x14ac:dyDescent="0.2">
      <c r="A9" s="5" t="s">
        <v>31</v>
      </c>
      <c r="B9" s="8" t="s">
        <v>15</v>
      </c>
      <c r="C9" s="6">
        <v>42492</v>
      </c>
      <c r="D9" s="5">
        <f t="shared" si="3"/>
        <v>5</v>
      </c>
      <c r="E9" s="5">
        <f t="shared" si="4"/>
        <v>19</v>
      </c>
      <c r="F9" s="5">
        <v>19.2</v>
      </c>
      <c r="G9" s="40">
        <v>54500</v>
      </c>
      <c r="H9" s="41">
        <f t="shared" si="0"/>
        <v>1046400</v>
      </c>
      <c r="I9" s="42">
        <v>0</v>
      </c>
      <c r="J9" s="43">
        <v>0</v>
      </c>
      <c r="K9" s="44">
        <v>0</v>
      </c>
      <c r="L9" s="44">
        <v>0</v>
      </c>
      <c r="M9" s="41">
        <f t="shared" si="1"/>
        <v>1046400</v>
      </c>
      <c r="N9" s="41">
        <v>0</v>
      </c>
      <c r="O9" s="40">
        <v>0</v>
      </c>
      <c r="P9" s="42">
        <f t="shared" si="2"/>
        <v>1046400</v>
      </c>
      <c r="Q9" s="5">
        <v>19.2</v>
      </c>
    </row>
    <row r="10" spans="1:17" s="38" customFormat="1" ht="15" customHeight="1" x14ac:dyDescent="0.2">
      <c r="A10" s="45" t="s">
        <v>22</v>
      </c>
      <c r="B10" s="46" t="s">
        <v>15</v>
      </c>
      <c r="C10" s="52">
        <v>42494</v>
      </c>
      <c r="D10" s="5">
        <f t="shared" si="3"/>
        <v>5</v>
      </c>
      <c r="E10" s="5">
        <f t="shared" si="4"/>
        <v>19</v>
      </c>
      <c r="F10" s="45">
        <v>27.36</v>
      </c>
      <c r="G10" s="45">
        <v>55500</v>
      </c>
      <c r="H10" s="47">
        <f t="shared" si="0"/>
        <v>1518480</v>
      </c>
      <c r="I10" s="48">
        <v>0</v>
      </c>
      <c r="J10" s="47">
        <v>0</v>
      </c>
      <c r="K10" s="48">
        <v>0</v>
      </c>
      <c r="L10" s="48">
        <v>0</v>
      </c>
      <c r="M10" s="47">
        <f t="shared" si="1"/>
        <v>1518480</v>
      </c>
      <c r="N10" s="47">
        <v>0</v>
      </c>
      <c r="O10" s="45">
        <v>0</v>
      </c>
      <c r="P10" s="48">
        <f t="shared" si="2"/>
        <v>1518480</v>
      </c>
      <c r="Q10" s="45">
        <v>27.19</v>
      </c>
    </row>
    <row r="11" spans="1:17" s="38" customFormat="1" ht="15" customHeight="1" x14ac:dyDescent="0.2">
      <c r="A11" s="45" t="s">
        <v>21</v>
      </c>
      <c r="B11" s="46" t="s">
        <v>15</v>
      </c>
      <c r="C11" s="52">
        <v>42494</v>
      </c>
      <c r="D11" s="5">
        <f t="shared" si="3"/>
        <v>5</v>
      </c>
      <c r="E11" s="5">
        <f t="shared" si="4"/>
        <v>19</v>
      </c>
      <c r="F11" s="45">
        <v>31.56</v>
      </c>
      <c r="G11" s="45">
        <v>55661.59</v>
      </c>
      <c r="H11" s="47">
        <f t="shared" si="0"/>
        <v>1756679.7803999998</v>
      </c>
      <c r="I11" s="48">
        <v>0</v>
      </c>
      <c r="J11" s="47">
        <v>0</v>
      </c>
      <c r="K11" s="48">
        <v>0</v>
      </c>
      <c r="L11" s="48">
        <v>0</v>
      </c>
      <c r="M11" s="47">
        <f t="shared" si="1"/>
        <v>1756679.7803999998</v>
      </c>
      <c r="N11" s="47">
        <v>0</v>
      </c>
      <c r="O11" s="45">
        <v>0</v>
      </c>
      <c r="P11" s="48">
        <f t="shared" si="2"/>
        <v>1756679.7803999998</v>
      </c>
      <c r="Q11" s="45">
        <v>31.5</v>
      </c>
    </row>
    <row r="12" spans="1:17" s="37" customFormat="1" ht="15" customHeight="1" x14ac:dyDescent="0.2">
      <c r="A12" s="5" t="s">
        <v>33</v>
      </c>
      <c r="B12" s="8" t="s">
        <v>15</v>
      </c>
      <c r="C12" s="6">
        <v>42496</v>
      </c>
      <c r="D12" s="5">
        <f t="shared" si="3"/>
        <v>5</v>
      </c>
      <c r="E12" s="5">
        <f t="shared" si="4"/>
        <v>19</v>
      </c>
      <c r="F12" s="5">
        <v>29.12</v>
      </c>
      <c r="G12" s="40">
        <v>44900</v>
      </c>
      <c r="H12" s="41">
        <f t="shared" si="0"/>
        <v>1307488</v>
      </c>
      <c r="I12" s="42">
        <v>0</v>
      </c>
      <c r="J12" s="43">
        <v>0</v>
      </c>
      <c r="K12" s="44">
        <v>0</v>
      </c>
      <c r="L12" s="44">
        <v>0</v>
      </c>
      <c r="M12" s="41">
        <f t="shared" si="1"/>
        <v>1307488</v>
      </c>
      <c r="N12" s="41">
        <v>0</v>
      </c>
      <c r="O12" s="40">
        <v>0</v>
      </c>
      <c r="P12" s="42">
        <f t="shared" si="2"/>
        <v>1307488</v>
      </c>
      <c r="Q12" s="5">
        <v>28.95</v>
      </c>
    </row>
    <row r="13" spans="1:17" s="37" customFormat="1" ht="15" customHeight="1" x14ac:dyDescent="0.2">
      <c r="A13" s="5" t="s">
        <v>16</v>
      </c>
      <c r="B13" s="8" t="s">
        <v>15</v>
      </c>
      <c r="C13" s="6">
        <v>42497</v>
      </c>
      <c r="D13" s="5">
        <f t="shared" si="3"/>
        <v>5</v>
      </c>
      <c r="E13" s="5">
        <f t="shared" si="4"/>
        <v>19</v>
      </c>
      <c r="F13" s="5">
        <v>28.024999999999999</v>
      </c>
      <c r="G13" s="40">
        <v>46200</v>
      </c>
      <c r="H13" s="41">
        <f t="shared" si="0"/>
        <v>1294755</v>
      </c>
      <c r="I13" s="42">
        <v>0</v>
      </c>
      <c r="J13" s="43">
        <v>0</v>
      </c>
      <c r="K13" s="44">
        <v>0</v>
      </c>
      <c r="L13" s="44">
        <v>0</v>
      </c>
      <c r="M13" s="41">
        <f t="shared" si="1"/>
        <v>1294755</v>
      </c>
      <c r="N13" s="41">
        <v>0</v>
      </c>
      <c r="O13" s="40">
        <v>0</v>
      </c>
      <c r="P13" s="42">
        <f t="shared" si="2"/>
        <v>1294755</v>
      </c>
      <c r="Q13" s="5">
        <v>27.98</v>
      </c>
    </row>
    <row r="14" spans="1:17" s="38" customFormat="1" ht="15" customHeight="1" x14ac:dyDescent="0.2">
      <c r="A14" s="45" t="s">
        <v>16</v>
      </c>
      <c r="B14" s="45" t="s">
        <v>18</v>
      </c>
      <c r="C14" s="52">
        <v>42498</v>
      </c>
      <c r="D14" s="5">
        <f t="shared" si="3"/>
        <v>5</v>
      </c>
      <c r="E14" s="5">
        <f t="shared" si="4"/>
        <v>20</v>
      </c>
      <c r="F14" s="45">
        <v>30.46</v>
      </c>
      <c r="G14" s="45">
        <v>48384.76</v>
      </c>
      <c r="H14" s="47">
        <f t="shared" si="0"/>
        <v>1473799.7896</v>
      </c>
      <c r="I14" s="48">
        <v>0</v>
      </c>
      <c r="J14" s="47">
        <v>0</v>
      </c>
      <c r="K14" s="48">
        <v>0</v>
      </c>
      <c r="L14" s="48">
        <v>0</v>
      </c>
      <c r="M14" s="47">
        <f t="shared" si="1"/>
        <v>1473799.7896</v>
      </c>
      <c r="N14" s="47">
        <v>0</v>
      </c>
      <c r="O14" s="45">
        <v>0</v>
      </c>
      <c r="P14" s="48">
        <f t="shared" si="2"/>
        <v>1473799.7896</v>
      </c>
      <c r="Q14" s="45">
        <v>30.44</v>
      </c>
    </row>
    <row r="15" spans="1:17" s="37" customFormat="1" ht="15" customHeight="1" x14ac:dyDescent="0.2">
      <c r="A15" s="5" t="s">
        <v>21</v>
      </c>
      <c r="B15" s="5" t="s">
        <v>18</v>
      </c>
      <c r="C15" s="6">
        <v>42498</v>
      </c>
      <c r="D15" s="5">
        <f t="shared" si="3"/>
        <v>5</v>
      </c>
      <c r="E15" s="5">
        <f t="shared" si="4"/>
        <v>20</v>
      </c>
      <c r="F15" s="5">
        <v>20.04</v>
      </c>
      <c r="G15" s="40">
        <v>48998</v>
      </c>
      <c r="H15" s="41">
        <f t="shared" si="0"/>
        <v>981919.91999999993</v>
      </c>
      <c r="I15" s="42">
        <v>0</v>
      </c>
      <c r="J15" s="43">
        <v>0</v>
      </c>
      <c r="K15" s="44">
        <v>0</v>
      </c>
      <c r="L15" s="44">
        <v>0</v>
      </c>
      <c r="M15" s="41">
        <f t="shared" si="1"/>
        <v>981919.91999999993</v>
      </c>
      <c r="N15" s="41">
        <v>0</v>
      </c>
      <c r="O15" s="40">
        <v>0</v>
      </c>
      <c r="P15" s="42">
        <f t="shared" si="2"/>
        <v>981919.91999999993</v>
      </c>
      <c r="Q15" s="5">
        <v>19.940000000000001</v>
      </c>
    </row>
    <row r="16" spans="1:17" s="37" customFormat="1" ht="15" customHeight="1" x14ac:dyDescent="0.2">
      <c r="A16" s="5" t="s">
        <v>12</v>
      </c>
      <c r="B16" s="5" t="s">
        <v>13</v>
      </c>
      <c r="C16" s="6">
        <v>42498</v>
      </c>
      <c r="D16" s="5">
        <f t="shared" si="3"/>
        <v>5</v>
      </c>
      <c r="E16" s="5">
        <f t="shared" si="4"/>
        <v>20</v>
      </c>
      <c r="F16" s="5">
        <v>29.07</v>
      </c>
      <c r="G16" s="40">
        <v>50000</v>
      </c>
      <c r="H16" s="41">
        <f t="shared" si="0"/>
        <v>1453500</v>
      </c>
      <c r="I16" s="42">
        <v>0</v>
      </c>
      <c r="J16" s="43">
        <v>0</v>
      </c>
      <c r="K16" s="44">
        <v>0</v>
      </c>
      <c r="L16" s="44">
        <v>0</v>
      </c>
      <c r="M16" s="41">
        <f t="shared" si="1"/>
        <v>1453500</v>
      </c>
      <c r="N16" s="41">
        <f t="shared" ref="N16:N40" si="6">M16*2%</f>
        <v>29070</v>
      </c>
      <c r="O16" s="40">
        <v>0</v>
      </c>
      <c r="P16" s="42">
        <f t="shared" si="2"/>
        <v>1482570</v>
      </c>
      <c r="Q16" s="5">
        <v>28.94</v>
      </c>
    </row>
    <row r="17" spans="1:17" s="37" customFormat="1" ht="15" customHeight="1" x14ac:dyDescent="0.2">
      <c r="A17" s="5" t="s">
        <v>65</v>
      </c>
      <c r="B17" s="5" t="s">
        <v>66</v>
      </c>
      <c r="C17" s="6">
        <v>42498</v>
      </c>
      <c r="D17" s="5">
        <f t="shared" si="3"/>
        <v>5</v>
      </c>
      <c r="E17" s="5">
        <f t="shared" si="4"/>
        <v>20</v>
      </c>
      <c r="F17" s="5">
        <v>21.05</v>
      </c>
      <c r="G17" s="40">
        <v>42230.62</v>
      </c>
      <c r="H17" s="41">
        <f t="shared" si="0"/>
        <v>888954.55100000009</v>
      </c>
      <c r="I17" s="42">
        <v>0</v>
      </c>
      <c r="J17" s="40">
        <f t="shared" ref="J17:J26" si="7">H17*12.5%</f>
        <v>111119.31887500001</v>
      </c>
      <c r="K17" s="44">
        <f t="shared" ref="K17:K26" si="8">(I17+J17)*2%</f>
        <v>2222.3863775000004</v>
      </c>
      <c r="L17" s="44">
        <f t="shared" ref="L17:L26" si="9">(I17+J17)*1%</f>
        <v>1111.1931887500002</v>
      </c>
      <c r="M17" s="5">
        <f t="shared" si="1"/>
        <v>1000073.8698750001</v>
      </c>
      <c r="N17" s="5">
        <v>0</v>
      </c>
      <c r="O17" s="40">
        <f t="shared" ref="O17:O26" si="10">(H17+J17+K17+L17)*4/100</f>
        <v>40136.29797765</v>
      </c>
      <c r="P17" s="42">
        <f t="shared" si="2"/>
        <v>1040210.16785265</v>
      </c>
      <c r="Q17" s="5">
        <v>20.88</v>
      </c>
    </row>
    <row r="18" spans="1:17" s="37" customFormat="1" ht="15" customHeight="1" x14ac:dyDescent="0.2">
      <c r="A18" s="5" t="s">
        <v>65</v>
      </c>
      <c r="B18" s="5" t="s">
        <v>66</v>
      </c>
      <c r="C18" s="6">
        <v>42498</v>
      </c>
      <c r="D18" s="5">
        <f t="shared" si="3"/>
        <v>5</v>
      </c>
      <c r="E18" s="5">
        <f t="shared" si="4"/>
        <v>20</v>
      </c>
      <c r="F18" s="5">
        <v>21.03</v>
      </c>
      <c r="G18" s="40">
        <v>42230.62</v>
      </c>
      <c r="H18" s="41">
        <f t="shared" si="0"/>
        <v>888109.93860000011</v>
      </c>
      <c r="I18" s="42">
        <v>0</v>
      </c>
      <c r="J18" s="40">
        <f t="shared" si="7"/>
        <v>111013.74232500001</v>
      </c>
      <c r="K18" s="44">
        <f t="shared" si="8"/>
        <v>2220.2748465000004</v>
      </c>
      <c r="L18" s="44">
        <f t="shared" si="9"/>
        <v>1110.1374232500002</v>
      </c>
      <c r="M18" s="5">
        <f t="shared" si="1"/>
        <v>999123.68092500011</v>
      </c>
      <c r="N18" s="5">
        <v>0</v>
      </c>
      <c r="O18" s="40">
        <f t="shared" si="10"/>
        <v>40098.163727790008</v>
      </c>
      <c r="P18" s="42">
        <f t="shared" si="2"/>
        <v>1039221.8446527901</v>
      </c>
      <c r="Q18" s="5">
        <v>20.95</v>
      </c>
    </row>
    <row r="19" spans="1:17" s="37" customFormat="1" ht="15" customHeight="1" x14ac:dyDescent="0.2">
      <c r="A19" s="5" t="s">
        <v>65</v>
      </c>
      <c r="B19" s="5" t="s">
        <v>66</v>
      </c>
      <c r="C19" s="6">
        <v>42498</v>
      </c>
      <c r="D19" s="5">
        <f t="shared" si="3"/>
        <v>5</v>
      </c>
      <c r="E19" s="5">
        <f t="shared" si="4"/>
        <v>20</v>
      </c>
      <c r="F19" s="5">
        <v>21.04</v>
      </c>
      <c r="G19" s="40">
        <v>42230.62</v>
      </c>
      <c r="H19" s="41">
        <f t="shared" si="0"/>
        <v>888532.24479999999</v>
      </c>
      <c r="I19" s="42">
        <v>0</v>
      </c>
      <c r="J19" s="40">
        <f t="shared" si="7"/>
        <v>111066.5306</v>
      </c>
      <c r="K19" s="44">
        <f t="shared" si="8"/>
        <v>2221.3306120000002</v>
      </c>
      <c r="L19" s="44">
        <f t="shared" si="9"/>
        <v>1110.6653060000001</v>
      </c>
      <c r="M19" s="5">
        <f t="shared" si="1"/>
        <v>999598.77539999993</v>
      </c>
      <c r="N19" s="5">
        <v>0</v>
      </c>
      <c r="O19" s="40">
        <f t="shared" si="10"/>
        <v>40117.23085272</v>
      </c>
      <c r="P19" s="42">
        <f t="shared" si="2"/>
        <v>1039716.0062527199</v>
      </c>
      <c r="Q19" s="5">
        <v>20.91</v>
      </c>
    </row>
    <row r="20" spans="1:17" s="37" customFormat="1" ht="15" customHeight="1" x14ac:dyDescent="0.2">
      <c r="A20" s="5" t="s">
        <v>65</v>
      </c>
      <c r="B20" s="5" t="s">
        <v>66</v>
      </c>
      <c r="C20" s="6">
        <v>42498</v>
      </c>
      <c r="D20" s="5">
        <f t="shared" si="3"/>
        <v>5</v>
      </c>
      <c r="E20" s="5">
        <f t="shared" si="4"/>
        <v>20</v>
      </c>
      <c r="F20" s="5">
        <v>21.02</v>
      </c>
      <c r="G20" s="40">
        <v>42230.62</v>
      </c>
      <c r="H20" s="41">
        <f t="shared" si="0"/>
        <v>887687.6324</v>
      </c>
      <c r="I20" s="42">
        <v>0</v>
      </c>
      <c r="J20" s="40">
        <f t="shared" si="7"/>
        <v>110960.95405</v>
      </c>
      <c r="K20" s="44">
        <f t="shared" si="8"/>
        <v>2219.2190810000002</v>
      </c>
      <c r="L20" s="44">
        <f t="shared" si="9"/>
        <v>1109.6095405000001</v>
      </c>
      <c r="M20" s="5">
        <f t="shared" si="1"/>
        <v>998648.58645000006</v>
      </c>
      <c r="N20" s="5">
        <v>0</v>
      </c>
      <c r="O20" s="40">
        <f t="shared" si="10"/>
        <v>40079.096602860001</v>
      </c>
      <c r="P20" s="42">
        <f t="shared" si="2"/>
        <v>1038727.6830528601</v>
      </c>
      <c r="Q20" s="5">
        <v>20.92</v>
      </c>
    </row>
    <row r="21" spans="1:17" s="37" customFormat="1" ht="15" customHeight="1" x14ac:dyDescent="0.2">
      <c r="A21" s="5" t="s">
        <v>65</v>
      </c>
      <c r="B21" s="5" t="s">
        <v>66</v>
      </c>
      <c r="C21" s="6">
        <v>42498</v>
      </c>
      <c r="D21" s="5">
        <f t="shared" si="3"/>
        <v>5</v>
      </c>
      <c r="E21" s="5">
        <f t="shared" si="4"/>
        <v>20</v>
      </c>
      <c r="F21" s="5">
        <v>21.01</v>
      </c>
      <c r="G21" s="40">
        <v>42230.62</v>
      </c>
      <c r="H21" s="41">
        <f t="shared" si="0"/>
        <v>887265.32620000013</v>
      </c>
      <c r="I21" s="42">
        <v>0</v>
      </c>
      <c r="J21" s="40">
        <f t="shared" si="7"/>
        <v>110908.16577500002</v>
      </c>
      <c r="K21" s="44">
        <f t="shared" si="8"/>
        <v>2218.1633155000004</v>
      </c>
      <c r="L21" s="44">
        <f t="shared" si="9"/>
        <v>1109.0816577500002</v>
      </c>
      <c r="M21" s="5">
        <f t="shared" si="1"/>
        <v>998173.49197500013</v>
      </c>
      <c r="N21" s="5">
        <v>0</v>
      </c>
      <c r="O21" s="40">
        <f t="shared" si="10"/>
        <v>40060.029477930002</v>
      </c>
      <c r="P21" s="42">
        <f t="shared" si="2"/>
        <v>1038233.5214529302</v>
      </c>
      <c r="Q21" s="5">
        <v>20.85</v>
      </c>
    </row>
    <row r="22" spans="1:17" s="37" customFormat="1" ht="15" customHeight="1" x14ac:dyDescent="0.2">
      <c r="A22" s="5" t="s">
        <v>65</v>
      </c>
      <c r="B22" s="5" t="s">
        <v>66</v>
      </c>
      <c r="C22" s="6">
        <v>42498</v>
      </c>
      <c r="D22" s="5">
        <f t="shared" si="3"/>
        <v>5</v>
      </c>
      <c r="E22" s="5">
        <f t="shared" si="4"/>
        <v>20</v>
      </c>
      <c r="F22" s="5">
        <v>21.01</v>
      </c>
      <c r="G22" s="40">
        <v>42230.62</v>
      </c>
      <c r="H22" s="41">
        <f t="shared" si="0"/>
        <v>887265.32620000013</v>
      </c>
      <c r="I22" s="42">
        <v>0</v>
      </c>
      <c r="J22" s="40">
        <f t="shared" si="7"/>
        <v>110908.16577500002</v>
      </c>
      <c r="K22" s="44">
        <f t="shared" si="8"/>
        <v>2218.1633155000004</v>
      </c>
      <c r="L22" s="44">
        <f t="shared" si="9"/>
        <v>1109.0816577500002</v>
      </c>
      <c r="M22" s="5">
        <f t="shared" si="1"/>
        <v>998173.49197500013</v>
      </c>
      <c r="N22" s="5">
        <v>0</v>
      </c>
      <c r="O22" s="40">
        <f t="shared" si="10"/>
        <v>40060.029477930002</v>
      </c>
      <c r="P22" s="42">
        <f t="shared" si="2"/>
        <v>1038233.5214529302</v>
      </c>
      <c r="Q22" s="5">
        <v>20.87</v>
      </c>
    </row>
    <row r="23" spans="1:17" s="37" customFormat="1" ht="15" customHeight="1" x14ac:dyDescent="0.2">
      <c r="A23" s="5" t="s">
        <v>65</v>
      </c>
      <c r="B23" s="5" t="s">
        <v>66</v>
      </c>
      <c r="C23" s="6">
        <v>42498</v>
      </c>
      <c r="D23" s="5">
        <f t="shared" si="3"/>
        <v>5</v>
      </c>
      <c r="E23" s="5">
        <f t="shared" si="4"/>
        <v>20</v>
      </c>
      <c r="F23" s="5">
        <v>21.03</v>
      </c>
      <c r="G23" s="40">
        <v>42230.62</v>
      </c>
      <c r="H23" s="41">
        <f t="shared" si="0"/>
        <v>888109.93860000011</v>
      </c>
      <c r="I23" s="42">
        <v>0</v>
      </c>
      <c r="J23" s="40">
        <f t="shared" si="7"/>
        <v>111013.74232500001</v>
      </c>
      <c r="K23" s="44">
        <f t="shared" si="8"/>
        <v>2220.2748465000004</v>
      </c>
      <c r="L23" s="44">
        <f t="shared" si="9"/>
        <v>1110.1374232500002</v>
      </c>
      <c r="M23" s="5">
        <f t="shared" si="1"/>
        <v>999123.68092500011</v>
      </c>
      <c r="N23" s="5">
        <v>0</v>
      </c>
      <c r="O23" s="40">
        <f t="shared" si="10"/>
        <v>40098.163727790008</v>
      </c>
      <c r="P23" s="42">
        <f t="shared" si="2"/>
        <v>1039221.8446527901</v>
      </c>
      <c r="Q23" s="5">
        <v>21.03</v>
      </c>
    </row>
    <row r="24" spans="1:17" s="37" customFormat="1" ht="15" customHeight="1" x14ac:dyDescent="0.2">
      <c r="A24" s="5" t="s">
        <v>65</v>
      </c>
      <c r="B24" s="5" t="s">
        <v>66</v>
      </c>
      <c r="C24" s="6">
        <v>42498</v>
      </c>
      <c r="D24" s="5">
        <f t="shared" si="3"/>
        <v>5</v>
      </c>
      <c r="E24" s="5">
        <f t="shared" si="4"/>
        <v>20</v>
      </c>
      <c r="F24" s="5">
        <v>21.01</v>
      </c>
      <c r="G24" s="40">
        <v>42230.62</v>
      </c>
      <c r="H24" s="41">
        <f t="shared" si="0"/>
        <v>887265.32620000013</v>
      </c>
      <c r="I24" s="42">
        <v>0</v>
      </c>
      <c r="J24" s="40">
        <f t="shared" si="7"/>
        <v>110908.16577500002</v>
      </c>
      <c r="K24" s="44">
        <f t="shared" si="8"/>
        <v>2218.1633155000004</v>
      </c>
      <c r="L24" s="44">
        <f t="shared" si="9"/>
        <v>1109.0816577500002</v>
      </c>
      <c r="M24" s="5">
        <f t="shared" si="1"/>
        <v>998173.49197500013</v>
      </c>
      <c r="N24" s="5">
        <v>0</v>
      </c>
      <c r="O24" s="40">
        <f t="shared" si="10"/>
        <v>40060.029477930002</v>
      </c>
      <c r="P24" s="42">
        <f t="shared" si="2"/>
        <v>1038233.5214529302</v>
      </c>
      <c r="Q24" s="5">
        <v>20.059999999999999</v>
      </c>
    </row>
    <row r="25" spans="1:17" s="37" customFormat="1" ht="15" customHeight="1" x14ac:dyDescent="0.2">
      <c r="A25" s="5" t="s">
        <v>65</v>
      </c>
      <c r="B25" s="5" t="s">
        <v>66</v>
      </c>
      <c r="C25" s="6">
        <v>42498</v>
      </c>
      <c r="D25" s="5">
        <f t="shared" si="3"/>
        <v>5</v>
      </c>
      <c r="E25" s="5">
        <f t="shared" si="4"/>
        <v>20</v>
      </c>
      <c r="F25" s="5">
        <v>21.05</v>
      </c>
      <c r="G25" s="40">
        <v>42230.62</v>
      </c>
      <c r="H25" s="41">
        <f t="shared" si="0"/>
        <v>888954.55100000009</v>
      </c>
      <c r="I25" s="42">
        <v>0</v>
      </c>
      <c r="J25" s="40">
        <f t="shared" si="7"/>
        <v>111119.31887500001</v>
      </c>
      <c r="K25" s="44">
        <f t="shared" si="8"/>
        <v>2222.3863775000004</v>
      </c>
      <c r="L25" s="44">
        <f t="shared" si="9"/>
        <v>1111.1931887500002</v>
      </c>
      <c r="M25" s="5">
        <f t="shared" si="1"/>
        <v>1000073.8698750001</v>
      </c>
      <c r="N25" s="5">
        <v>0</v>
      </c>
      <c r="O25" s="40">
        <f t="shared" si="10"/>
        <v>40136.29797765</v>
      </c>
      <c r="P25" s="42">
        <f t="shared" si="2"/>
        <v>1040210.16785265</v>
      </c>
      <c r="Q25" s="5">
        <v>21.05</v>
      </c>
    </row>
    <row r="26" spans="1:17" s="37" customFormat="1" ht="15" customHeight="1" x14ac:dyDescent="0.2">
      <c r="A26" s="5" t="s">
        <v>65</v>
      </c>
      <c r="B26" s="5" t="s">
        <v>66</v>
      </c>
      <c r="C26" s="6">
        <v>42498</v>
      </c>
      <c r="D26" s="5">
        <f t="shared" si="3"/>
        <v>5</v>
      </c>
      <c r="E26" s="5">
        <f t="shared" si="4"/>
        <v>20</v>
      </c>
      <c r="F26" s="5">
        <v>21.01</v>
      </c>
      <c r="G26" s="40">
        <v>42230.62</v>
      </c>
      <c r="H26" s="41">
        <f t="shared" si="0"/>
        <v>887265.32620000013</v>
      </c>
      <c r="I26" s="42">
        <v>0</v>
      </c>
      <c r="J26" s="40">
        <f t="shared" si="7"/>
        <v>110908.16577500002</v>
      </c>
      <c r="K26" s="44">
        <f t="shared" si="8"/>
        <v>2218.1633155000004</v>
      </c>
      <c r="L26" s="44">
        <f t="shared" si="9"/>
        <v>1109.0816577500002</v>
      </c>
      <c r="M26" s="5">
        <f t="shared" si="1"/>
        <v>998173.49197500013</v>
      </c>
      <c r="N26" s="5">
        <v>0</v>
      </c>
      <c r="O26" s="40">
        <f t="shared" si="10"/>
        <v>40060.029477930002</v>
      </c>
      <c r="P26" s="42">
        <f t="shared" si="2"/>
        <v>1038233.5214529302</v>
      </c>
      <c r="Q26" s="5">
        <v>21.01</v>
      </c>
    </row>
    <row r="27" spans="1:17" s="37" customFormat="1" ht="15" customHeight="1" x14ac:dyDescent="0.2">
      <c r="A27" s="5" t="s">
        <v>33</v>
      </c>
      <c r="B27" s="8" t="s">
        <v>15</v>
      </c>
      <c r="C27" s="6">
        <v>42499</v>
      </c>
      <c r="D27" s="5">
        <f t="shared" si="3"/>
        <v>5</v>
      </c>
      <c r="E27" s="5">
        <f t="shared" si="4"/>
        <v>20</v>
      </c>
      <c r="F27" s="5">
        <v>31.06</v>
      </c>
      <c r="G27" s="40">
        <v>45653.38</v>
      </c>
      <c r="H27" s="41">
        <f t="shared" si="0"/>
        <v>1417993.9827999999</v>
      </c>
      <c r="I27" s="42">
        <v>0</v>
      </c>
      <c r="J27" s="43">
        <v>0</v>
      </c>
      <c r="K27" s="44">
        <v>0</v>
      </c>
      <c r="L27" s="44">
        <v>0</v>
      </c>
      <c r="M27" s="41">
        <f t="shared" si="1"/>
        <v>1417993.9827999999</v>
      </c>
      <c r="N27" s="41">
        <v>0</v>
      </c>
      <c r="O27" s="40">
        <v>0</v>
      </c>
      <c r="P27" s="42">
        <f t="shared" si="2"/>
        <v>1417993.9827999999</v>
      </c>
      <c r="Q27" s="5">
        <v>31</v>
      </c>
    </row>
    <row r="28" spans="1:17" s="37" customFormat="1" ht="15" customHeight="1" x14ac:dyDescent="0.2">
      <c r="A28" s="5" t="s">
        <v>22</v>
      </c>
      <c r="B28" s="8" t="s">
        <v>15</v>
      </c>
      <c r="C28" s="6">
        <v>42499</v>
      </c>
      <c r="D28" s="5">
        <f t="shared" si="3"/>
        <v>5</v>
      </c>
      <c r="E28" s="5">
        <f t="shared" si="4"/>
        <v>20</v>
      </c>
      <c r="F28" s="5">
        <v>29.234999999999999</v>
      </c>
      <c r="G28" s="40">
        <v>55500</v>
      </c>
      <c r="H28" s="41">
        <f t="shared" si="0"/>
        <v>1622542.5</v>
      </c>
      <c r="I28" s="42">
        <v>0</v>
      </c>
      <c r="J28" s="43">
        <v>0</v>
      </c>
      <c r="K28" s="44">
        <v>0</v>
      </c>
      <c r="L28" s="44">
        <v>0</v>
      </c>
      <c r="M28" s="41">
        <f t="shared" si="1"/>
        <v>1622542.5</v>
      </c>
      <c r="N28" s="41">
        <v>0</v>
      </c>
      <c r="O28" s="40">
        <v>0</v>
      </c>
      <c r="P28" s="42">
        <f t="shared" si="2"/>
        <v>1622542.5</v>
      </c>
      <c r="Q28" s="5">
        <v>29.17</v>
      </c>
    </row>
    <row r="29" spans="1:17" s="37" customFormat="1" ht="15" customHeight="1" x14ac:dyDescent="0.2">
      <c r="A29" s="5" t="s">
        <v>25</v>
      </c>
      <c r="B29" s="5" t="s">
        <v>26</v>
      </c>
      <c r="C29" s="6">
        <v>42500</v>
      </c>
      <c r="D29" s="5">
        <f t="shared" si="3"/>
        <v>5</v>
      </c>
      <c r="E29" s="5">
        <f t="shared" si="4"/>
        <v>20</v>
      </c>
      <c r="F29" s="5">
        <v>21.48</v>
      </c>
      <c r="G29" s="40">
        <v>77289.149999999994</v>
      </c>
      <c r="H29" s="41">
        <f t="shared" si="0"/>
        <v>1660170.9419999998</v>
      </c>
      <c r="I29" s="42">
        <v>0</v>
      </c>
      <c r="J29" s="43">
        <v>0</v>
      </c>
      <c r="K29" s="44">
        <v>0</v>
      </c>
      <c r="L29" s="44">
        <v>0</v>
      </c>
      <c r="M29" s="41">
        <f t="shared" si="1"/>
        <v>1660170.9419999998</v>
      </c>
      <c r="N29" s="41">
        <v>0</v>
      </c>
      <c r="O29" s="40">
        <f t="shared" ref="O29:O35" si="11">1600*Q29</f>
        <v>34368</v>
      </c>
      <c r="P29" s="42">
        <f t="shared" si="2"/>
        <v>1694538.9419999998</v>
      </c>
      <c r="Q29" s="5">
        <v>21.48</v>
      </c>
    </row>
    <row r="30" spans="1:17" s="37" customFormat="1" ht="15" customHeight="1" x14ac:dyDescent="0.2">
      <c r="A30" s="5" t="s">
        <v>25</v>
      </c>
      <c r="B30" s="5" t="s">
        <v>26</v>
      </c>
      <c r="C30" s="6">
        <v>42500</v>
      </c>
      <c r="D30" s="5">
        <f t="shared" si="3"/>
        <v>5</v>
      </c>
      <c r="E30" s="5">
        <f t="shared" si="4"/>
        <v>20</v>
      </c>
      <c r="F30" s="5">
        <v>21.5</v>
      </c>
      <c r="G30" s="40">
        <v>77289.149999999994</v>
      </c>
      <c r="H30" s="41">
        <f t="shared" si="0"/>
        <v>1661716.7249999999</v>
      </c>
      <c r="I30" s="42">
        <v>0</v>
      </c>
      <c r="J30" s="43">
        <v>0</v>
      </c>
      <c r="K30" s="44">
        <v>0</v>
      </c>
      <c r="L30" s="44">
        <v>0</v>
      </c>
      <c r="M30" s="41">
        <f t="shared" si="1"/>
        <v>1661716.7249999999</v>
      </c>
      <c r="N30" s="41">
        <v>0</v>
      </c>
      <c r="O30" s="40">
        <f t="shared" si="11"/>
        <v>34400</v>
      </c>
      <c r="P30" s="42">
        <f t="shared" si="2"/>
        <v>1696116.7249999999</v>
      </c>
      <c r="Q30" s="5">
        <v>21.5</v>
      </c>
    </row>
    <row r="31" spans="1:17" s="37" customFormat="1" ht="15" customHeight="1" x14ac:dyDescent="0.2">
      <c r="A31" s="5" t="s">
        <v>25</v>
      </c>
      <c r="B31" s="5" t="s">
        <v>26</v>
      </c>
      <c r="C31" s="6">
        <v>42500</v>
      </c>
      <c r="D31" s="5">
        <f t="shared" si="3"/>
        <v>5</v>
      </c>
      <c r="E31" s="5">
        <f t="shared" si="4"/>
        <v>20</v>
      </c>
      <c r="F31" s="5">
        <v>21.46</v>
      </c>
      <c r="G31" s="40">
        <v>77289.149999999994</v>
      </c>
      <c r="H31" s="41">
        <f t="shared" si="0"/>
        <v>1658625.159</v>
      </c>
      <c r="I31" s="42">
        <v>0</v>
      </c>
      <c r="J31" s="43">
        <v>0</v>
      </c>
      <c r="K31" s="44">
        <v>0</v>
      </c>
      <c r="L31" s="44">
        <v>0</v>
      </c>
      <c r="M31" s="41">
        <f t="shared" si="1"/>
        <v>1658625.159</v>
      </c>
      <c r="N31" s="41">
        <v>0</v>
      </c>
      <c r="O31" s="40">
        <f t="shared" si="11"/>
        <v>34336</v>
      </c>
      <c r="P31" s="42">
        <f t="shared" si="2"/>
        <v>1692961.159</v>
      </c>
      <c r="Q31" s="5">
        <v>21.46</v>
      </c>
    </row>
    <row r="32" spans="1:17" s="37" customFormat="1" ht="15" customHeight="1" x14ac:dyDescent="0.2">
      <c r="A32" s="5" t="s">
        <v>25</v>
      </c>
      <c r="B32" s="5" t="s">
        <v>26</v>
      </c>
      <c r="C32" s="6">
        <v>42500</v>
      </c>
      <c r="D32" s="5">
        <f t="shared" si="3"/>
        <v>5</v>
      </c>
      <c r="E32" s="5">
        <f t="shared" si="4"/>
        <v>20</v>
      </c>
      <c r="F32" s="5">
        <v>21.5</v>
      </c>
      <c r="G32" s="40">
        <v>77289.149999999994</v>
      </c>
      <c r="H32" s="41">
        <f t="shared" si="0"/>
        <v>1661716.7249999999</v>
      </c>
      <c r="I32" s="42">
        <v>0</v>
      </c>
      <c r="J32" s="43">
        <v>0</v>
      </c>
      <c r="K32" s="44">
        <v>0</v>
      </c>
      <c r="L32" s="44">
        <v>0</v>
      </c>
      <c r="M32" s="41">
        <f t="shared" si="1"/>
        <v>1661716.7249999999</v>
      </c>
      <c r="N32" s="41">
        <v>0</v>
      </c>
      <c r="O32" s="40">
        <f t="shared" si="11"/>
        <v>34400</v>
      </c>
      <c r="P32" s="42">
        <f t="shared" si="2"/>
        <v>1696116.7249999999</v>
      </c>
      <c r="Q32" s="5">
        <v>21.5</v>
      </c>
    </row>
    <row r="33" spans="1:17" s="37" customFormat="1" ht="15" customHeight="1" x14ac:dyDescent="0.2">
      <c r="A33" s="5" t="s">
        <v>25</v>
      </c>
      <c r="B33" s="5" t="s">
        <v>26</v>
      </c>
      <c r="C33" s="6">
        <v>42500</v>
      </c>
      <c r="D33" s="5">
        <f t="shared" si="3"/>
        <v>5</v>
      </c>
      <c r="E33" s="5">
        <f t="shared" si="4"/>
        <v>20</v>
      </c>
      <c r="F33" s="5">
        <v>21.57</v>
      </c>
      <c r="G33" s="40">
        <v>77289.149999999994</v>
      </c>
      <c r="H33" s="41">
        <f t="shared" si="0"/>
        <v>1667126.9654999999</v>
      </c>
      <c r="I33" s="42">
        <v>0</v>
      </c>
      <c r="J33" s="43">
        <v>0</v>
      </c>
      <c r="K33" s="44">
        <v>0</v>
      </c>
      <c r="L33" s="44">
        <v>0</v>
      </c>
      <c r="M33" s="41">
        <f t="shared" si="1"/>
        <v>1667126.9654999999</v>
      </c>
      <c r="N33" s="41">
        <v>0</v>
      </c>
      <c r="O33" s="40">
        <f t="shared" si="11"/>
        <v>34512</v>
      </c>
      <c r="P33" s="42">
        <f t="shared" si="2"/>
        <v>1701638.9654999999</v>
      </c>
      <c r="Q33" s="5">
        <v>21.57</v>
      </c>
    </row>
    <row r="34" spans="1:17" s="37" customFormat="1" ht="15" customHeight="1" x14ac:dyDescent="0.2">
      <c r="A34" s="5" t="s">
        <v>25</v>
      </c>
      <c r="B34" s="5" t="s">
        <v>26</v>
      </c>
      <c r="C34" s="6">
        <v>42500</v>
      </c>
      <c r="D34" s="5">
        <f t="shared" si="3"/>
        <v>5</v>
      </c>
      <c r="E34" s="5">
        <f t="shared" si="4"/>
        <v>20</v>
      </c>
      <c r="F34" s="5">
        <v>21.46</v>
      </c>
      <c r="G34" s="40">
        <v>77289.149999999994</v>
      </c>
      <c r="H34" s="41">
        <f t="shared" si="0"/>
        <v>1658625.159</v>
      </c>
      <c r="I34" s="42">
        <v>0</v>
      </c>
      <c r="J34" s="43">
        <v>0</v>
      </c>
      <c r="K34" s="44">
        <v>0</v>
      </c>
      <c r="L34" s="44">
        <v>0</v>
      </c>
      <c r="M34" s="41">
        <f t="shared" ref="M34:M65" si="12">+H34+J34</f>
        <v>1658625.159</v>
      </c>
      <c r="N34" s="41">
        <v>0</v>
      </c>
      <c r="O34" s="40">
        <f t="shared" si="11"/>
        <v>34336</v>
      </c>
      <c r="P34" s="42">
        <f t="shared" si="2"/>
        <v>1692961.159</v>
      </c>
      <c r="Q34" s="5">
        <v>21.46</v>
      </c>
    </row>
    <row r="35" spans="1:17" s="37" customFormat="1" ht="15" customHeight="1" x14ac:dyDescent="0.2">
      <c r="A35" s="5" t="s">
        <v>25</v>
      </c>
      <c r="B35" s="5" t="s">
        <v>26</v>
      </c>
      <c r="C35" s="6">
        <v>42500</v>
      </c>
      <c r="D35" s="5">
        <f t="shared" si="3"/>
        <v>5</v>
      </c>
      <c r="E35" s="5">
        <f t="shared" si="4"/>
        <v>20</v>
      </c>
      <c r="F35" s="5">
        <v>21.45</v>
      </c>
      <c r="G35" s="40">
        <v>77289.149999999994</v>
      </c>
      <c r="H35" s="41">
        <f t="shared" si="0"/>
        <v>1657852.2674999998</v>
      </c>
      <c r="I35" s="42">
        <v>0</v>
      </c>
      <c r="J35" s="43">
        <v>0</v>
      </c>
      <c r="K35" s="44">
        <v>0</v>
      </c>
      <c r="L35" s="44">
        <v>0</v>
      </c>
      <c r="M35" s="41">
        <f t="shared" si="12"/>
        <v>1657852.2674999998</v>
      </c>
      <c r="N35" s="41">
        <v>0</v>
      </c>
      <c r="O35" s="40">
        <f t="shared" si="11"/>
        <v>34320</v>
      </c>
      <c r="P35" s="42">
        <f t="shared" si="2"/>
        <v>1692172.2674999998</v>
      </c>
      <c r="Q35" s="5">
        <v>21.45</v>
      </c>
    </row>
    <row r="36" spans="1:17" s="38" customFormat="1" ht="15" customHeight="1" x14ac:dyDescent="0.2">
      <c r="A36" s="45" t="s">
        <v>16</v>
      </c>
      <c r="B36" s="46" t="s">
        <v>15</v>
      </c>
      <c r="C36" s="52">
        <v>42500</v>
      </c>
      <c r="D36" s="5">
        <f t="shared" si="3"/>
        <v>5</v>
      </c>
      <c r="E36" s="5">
        <f t="shared" si="4"/>
        <v>20</v>
      </c>
      <c r="F36" s="45">
        <v>29.425000000000001</v>
      </c>
      <c r="G36" s="45">
        <v>46104.84</v>
      </c>
      <c r="H36" s="47">
        <f t="shared" si="0"/>
        <v>1356634.9169999999</v>
      </c>
      <c r="I36" s="48">
        <v>0</v>
      </c>
      <c r="J36" s="47">
        <v>0</v>
      </c>
      <c r="K36" s="48">
        <v>0</v>
      </c>
      <c r="L36" s="48">
        <v>0</v>
      </c>
      <c r="M36" s="47">
        <f t="shared" si="12"/>
        <v>1356634.9169999999</v>
      </c>
      <c r="N36" s="47">
        <v>0</v>
      </c>
      <c r="O36" s="45">
        <v>0</v>
      </c>
      <c r="P36" s="48">
        <f t="shared" si="2"/>
        <v>1356634.9169999999</v>
      </c>
      <c r="Q36" s="45">
        <v>29.24</v>
      </c>
    </row>
    <row r="37" spans="1:17" s="37" customFormat="1" ht="15" customHeight="1" x14ac:dyDescent="0.2">
      <c r="A37" s="5" t="s">
        <v>34</v>
      </c>
      <c r="B37" s="8" t="s">
        <v>15</v>
      </c>
      <c r="C37" s="6">
        <v>42500</v>
      </c>
      <c r="D37" s="5">
        <f t="shared" si="3"/>
        <v>5</v>
      </c>
      <c r="E37" s="5">
        <f t="shared" si="4"/>
        <v>20</v>
      </c>
      <c r="F37" s="5">
        <v>33.14</v>
      </c>
      <c r="G37" s="40">
        <v>45700</v>
      </c>
      <c r="H37" s="41">
        <f t="shared" si="0"/>
        <v>1514498</v>
      </c>
      <c r="I37" s="42">
        <v>0</v>
      </c>
      <c r="J37" s="43">
        <v>0</v>
      </c>
      <c r="K37" s="44">
        <v>0</v>
      </c>
      <c r="L37" s="44">
        <v>0</v>
      </c>
      <c r="M37" s="41">
        <f t="shared" si="12"/>
        <v>1514498</v>
      </c>
      <c r="N37" s="41">
        <v>0</v>
      </c>
      <c r="O37" s="40">
        <v>0</v>
      </c>
      <c r="P37" s="42">
        <f t="shared" si="2"/>
        <v>1514498</v>
      </c>
      <c r="Q37" s="5">
        <v>32.99</v>
      </c>
    </row>
    <row r="38" spans="1:17" s="37" customFormat="1" ht="15" customHeight="1" x14ac:dyDescent="0.2">
      <c r="A38" s="5" t="s">
        <v>30</v>
      </c>
      <c r="B38" s="8" t="s">
        <v>15</v>
      </c>
      <c r="C38" s="6">
        <v>42501</v>
      </c>
      <c r="D38" s="5">
        <f t="shared" si="3"/>
        <v>5</v>
      </c>
      <c r="E38" s="5">
        <f t="shared" si="4"/>
        <v>20</v>
      </c>
      <c r="F38" s="5">
        <v>29.78</v>
      </c>
      <c r="G38" s="40">
        <v>45500</v>
      </c>
      <c r="H38" s="41">
        <f t="shared" si="0"/>
        <v>1354990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12"/>
        <v>1354990</v>
      </c>
      <c r="N38" s="41">
        <v>0</v>
      </c>
      <c r="O38" s="40">
        <v>0</v>
      </c>
      <c r="P38" s="42">
        <f t="shared" si="2"/>
        <v>1354990</v>
      </c>
      <c r="Q38" s="5">
        <v>29.63</v>
      </c>
    </row>
    <row r="39" spans="1:17" s="37" customFormat="1" ht="15" customHeight="1" x14ac:dyDescent="0.2">
      <c r="A39" s="5" t="s">
        <v>21</v>
      </c>
      <c r="B39" s="8" t="s">
        <v>15</v>
      </c>
      <c r="C39" s="6">
        <v>42501</v>
      </c>
      <c r="D39" s="5">
        <f t="shared" si="3"/>
        <v>5</v>
      </c>
      <c r="E39" s="5">
        <f t="shared" si="4"/>
        <v>20</v>
      </c>
      <c r="F39" s="5">
        <v>27.22</v>
      </c>
      <c r="G39" s="40">
        <v>55800</v>
      </c>
      <c r="H39" s="41">
        <f t="shared" si="0"/>
        <v>1518876</v>
      </c>
      <c r="I39" s="42">
        <v>0</v>
      </c>
      <c r="J39" s="43">
        <v>0</v>
      </c>
      <c r="K39" s="44">
        <v>0</v>
      </c>
      <c r="L39" s="44">
        <v>0</v>
      </c>
      <c r="M39" s="41">
        <f t="shared" si="12"/>
        <v>1518876</v>
      </c>
      <c r="N39" s="41">
        <v>0</v>
      </c>
      <c r="O39" s="40">
        <v>0</v>
      </c>
      <c r="P39" s="42">
        <f t="shared" si="2"/>
        <v>1518876</v>
      </c>
      <c r="Q39" s="5">
        <v>27.13</v>
      </c>
    </row>
    <row r="40" spans="1:17" s="37" customFormat="1" ht="15" customHeight="1" x14ac:dyDescent="0.2">
      <c r="A40" s="5" t="s">
        <v>12</v>
      </c>
      <c r="B40" s="5" t="s">
        <v>13</v>
      </c>
      <c r="C40" s="6">
        <v>42501</v>
      </c>
      <c r="D40" s="5">
        <f t="shared" si="3"/>
        <v>5</v>
      </c>
      <c r="E40" s="5">
        <f t="shared" si="4"/>
        <v>20</v>
      </c>
      <c r="F40" s="5">
        <v>27.31</v>
      </c>
      <c r="G40" s="40">
        <v>50000</v>
      </c>
      <c r="H40" s="41">
        <f t="shared" si="0"/>
        <v>1365500</v>
      </c>
      <c r="I40" s="42">
        <v>0</v>
      </c>
      <c r="J40" s="43">
        <v>0</v>
      </c>
      <c r="K40" s="44">
        <v>0</v>
      </c>
      <c r="L40" s="44">
        <v>0</v>
      </c>
      <c r="M40" s="41">
        <f t="shared" si="12"/>
        <v>1365500</v>
      </c>
      <c r="N40" s="41">
        <f t="shared" si="6"/>
        <v>27310</v>
      </c>
      <c r="O40" s="40">
        <v>0</v>
      </c>
      <c r="P40" s="42">
        <f t="shared" si="2"/>
        <v>1392810</v>
      </c>
      <c r="Q40" s="5">
        <v>27.22</v>
      </c>
    </row>
    <row r="41" spans="1:17" s="37" customFormat="1" ht="15" customHeight="1" x14ac:dyDescent="0.2">
      <c r="A41" s="5" t="s">
        <v>25</v>
      </c>
      <c r="B41" s="5" t="s">
        <v>26</v>
      </c>
      <c r="C41" s="6">
        <v>42501</v>
      </c>
      <c r="D41" s="5">
        <f t="shared" si="3"/>
        <v>5</v>
      </c>
      <c r="E41" s="5">
        <f t="shared" si="4"/>
        <v>20</v>
      </c>
      <c r="F41" s="5">
        <v>21.44</v>
      </c>
      <c r="G41" s="40">
        <v>77289.149999999994</v>
      </c>
      <c r="H41" s="41">
        <f t="shared" si="0"/>
        <v>1657079.3759999999</v>
      </c>
      <c r="I41" s="42">
        <v>0</v>
      </c>
      <c r="J41" s="43">
        <v>0</v>
      </c>
      <c r="K41" s="44">
        <v>0</v>
      </c>
      <c r="L41" s="44">
        <v>0</v>
      </c>
      <c r="M41" s="41">
        <f t="shared" si="12"/>
        <v>1657079.3759999999</v>
      </c>
      <c r="N41" s="41">
        <v>0</v>
      </c>
      <c r="O41" s="40">
        <f t="shared" ref="O41:O47" si="13">1600*Q41</f>
        <v>34304</v>
      </c>
      <c r="P41" s="42">
        <f t="shared" si="2"/>
        <v>1691383.3759999999</v>
      </c>
      <c r="Q41" s="5">
        <v>21.44</v>
      </c>
    </row>
    <row r="42" spans="1:17" s="37" customFormat="1" ht="15" customHeight="1" x14ac:dyDescent="0.2">
      <c r="A42" s="5" t="s">
        <v>25</v>
      </c>
      <c r="B42" s="5" t="s">
        <v>26</v>
      </c>
      <c r="C42" s="6">
        <v>42501</v>
      </c>
      <c r="D42" s="5">
        <f t="shared" si="3"/>
        <v>5</v>
      </c>
      <c r="E42" s="5">
        <f t="shared" si="4"/>
        <v>20</v>
      </c>
      <c r="F42" s="5">
        <v>21.46</v>
      </c>
      <c r="G42" s="40">
        <v>77289.149999999994</v>
      </c>
      <c r="H42" s="41">
        <f t="shared" si="0"/>
        <v>1658625.159</v>
      </c>
      <c r="I42" s="42">
        <v>0</v>
      </c>
      <c r="J42" s="43">
        <v>0</v>
      </c>
      <c r="K42" s="44">
        <v>0</v>
      </c>
      <c r="L42" s="44">
        <v>0</v>
      </c>
      <c r="M42" s="41">
        <f t="shared" si="12"/>
        <v>1658625.159</v>
      </c>
      <c r="N42" s="41">
        <v>0</v>
      </c>
      <c r="O42" s="40">
        <f t="shared" si="13"/>
        <v>34336</v>
      </c>
      <c r="P42" s="42">
        <f t="shared" si="2"/>
        <v>1692961.159</v>
      </c>
      <c r="Q42" s="5">
        <v>21.46</v>
      </c>
    </row>
    <row r="43" spans="1:17" s="37" customFormat="1" ht="15" customHeight="1" x14ac:dyDescent="0.2">
      <c r="A43" s="5" t="s">
        <v>25</v>
      </c>
      <c r="B43" s="5" t="s">
        <v>26</v>
      </c>
      <c r="C43" s="6">
        <v>42501</v>
      </c>
      <c r="D43" s="5">
        <f t="shared" si="3"/>
        <v>5</v>
      </c>
      <c r="E43" s="5">
        <f t="shared" si="4"/>
        <v>20</v>
      </c>
      <c r="F43" s="5">
        <v>21.46</v>
      </c>
      <c r="G43" s="40">
        <v>77289.149999999994</v>
      </c>
      <c r="H43" s="41">
        <f t="shared" si="0"/>
        <v>1658625.159</v>
      </c>
      <c r="I43" s="42">
        <v>0</v>
      </c>
      <c r="J43" s="43">
        <v>0</v>
      </c>
      <c r="K43" s="44">
        <v>0</v>
      </c>
      <c r="L43" s="44">
        <v>0</v>
      </c>
      <c r="M43" s="41">
        <f t="shared" si="12"/>
        <v>1658625.159</v>
      </c>
      <c r="N43" s="41">
        <v>0</v>
      </c>
      <c r="O43" s="40">
        <f t="shared" si="13"/>
        <v>34336</v>
      </c>
      <c r="P43" s="42">
        <f t="shared" si="2"/>
        <v>1692961.159</v>
      </c>
      <c r="Q43" s="5">
        <v>21.46</v>
      </c>
    </row>
    <row r="44" spans="1:17" s="37" customFormat="1" ht="15" customHeight="1" x14ac:dyDescent="0.2">
      <c r="A44" s="5" t="s">
        <v>25</v>
      </c>
      <c r="B44" s="5" t="s">
        <v>26</v>
      </c>
      <c r="C44" s="6">
        <v>42501</v>
      </c>
      <c r="D44" s="5">
        <f t="shared" si="3"/>
        <v>5</v>
      </c>
      <c r="E44" s="5">
        <f t="shared" si="4"/>
        <v>20</v>
      </c>
      <c r="F44" s="5">
        <v>21.48</v>
      </c>
      <c r="G44" s="40">
        <v>77289.149999999994</v>
      </c>
      <c r="H44" s="41">
        <f t="shared" si="0"/>
        <v>1660170.9419999998</v>
      </c>
      <c r="I44" s="42">
        <v>0</v>
      </c>
      <c r="J44" s="43">
        <v>0</v>
      </c>
      <c r="K44" s="44">
        <v>0</v>
      </c>
      <c r="L44" s="44">
        <v>0</v>
      </c>
      <c r="M44" s="41">
        <f t="shared" si="12"/>
        <v>1660170.9419999998</v>
      </c>
      <c r="N44" s="41">
        <v>0</v>
      </c>
      <c r="O44" s="40">
        <f t="shared" si="13"/>
        <v>34368</v>
      </c>
      <c r="P44" s="42">
        <f t="shared" si="2"/>
        <v>1694538.9419999998</v>
      </c>
      <c r="Q44" s="5">
        <v>21.48</v>
      </c>
    </row>
    <row r="45" spans="1:17" s="37" customFormat="1" ht="15" customHeight="1" x14ac:dyDescent="0.2">
      <c r="A45" s="5" t="s">
        <v>25</v>
      </c>
      <c r="B45" s="5" t="s">
        <v>26</v>
      </c>
      <c r="C45" s="6">
        <v>42502</v>
      </c>
      <c r="D45" s="5">
        <f t="shared" si="3"/>
        <v>5</v>
      </c>
      <c r="E45" s="5">
        <f t="shared" si="4"/>
        <v>20</v>
      </c>
      <c r="F45" s="5">
        <v>21.48</v>
      </c>
      <c r="G45" s="40">
        <v>77289.149999999994</v>
      </c>
      <c r="H45" s="41">
        <f t="shared" si="0"/>
        <v>1660170.9419999998</v>
      </c>
      <c r="I45" s="42">
        <v>0</v>
      </c>
      <c r="J45" s="43">
        <v>0</v>
      </c>
      <c r="K45" s="44">
        <v>0</v>
      </c>
      <c r="L45" s="44">
        <v>0</v>
      </c>
      <c r="M45" s="41">
        <f t="shared" si="12"/>
        <v>1660170.9419999998</v>
      </c>
      <c r="N45" s="41">
        <v>0</v>
      </c>
      <c r="O45" s="40">
        <f t="shared" si="13"/>
        <v>34368</v>
      </c>
      <c r="P45" s="42">
        <f t="shared" si="2"/>
        <v>1694538.9419999998</v>
      </c>
      <c r="Q45" s="5">
        <v>21.48</v>
      </c>
    </row>
    <row r="46" spans="1:17" s="37" customFormat="1" ht="15" customHeight="1" x14ac:dyDescent="0.2">
      <c r="A46" s="5" t="s">
        <v>25</v>
      </c>
      <c r="B46" s="5" t="s">
        <v>26</v>
      </c>
      <c r="C46" s="6">
        <v>42502</v>
      </c>
      <c r="D46" s="5">
        <f t="shared" si="3"/>
        <v>5</v>
      </c>
      <c r="E46" s="5">
        <f t="shared" si="4"/>
        <v>20</v>
      </c>
      <c r="F46" s="5">
        <v>21.49</v>
      </c>
      <c r="G46" s="40">
        <v>77289.149999999994</v>
      </c>
      <c r="H46" s="41">
        <f t="shared" si="0"/>
        <v>1660943.8334999997</v>
      </c>
      <c r="I46" s="42">
        <v>0</v>
      </c>
      <c r="J46" s="43">
        <v>0</v>
      </c>
      <c r="K46" s="44">
        <v>0</v>
      </c>
      <c r="L46" s="44">
        <v>0</v>
      </c>
      <c r="M46" s="41">
        <f t="shared" si="12"/>
        <v>1660943.8334999997</v>
      </c>
      <c r="N46" s="41">
        <v>0</v>
      </c>
      <c r="O46" s="40">
        <f t="shared" si="13"/>
        <v>34384</v>
      </c>
      <c r="P46" s="42">
        <f t="shared" si="2"/>
        <v>1695327.8334999997</v>
      </c>
      <c r="Q46" s="5">
        <v>21.49</v>
      </c>
    </row>
    <row r="47" spans="1:17" s="37" customFormat="1" ht="15" customHeight="1" x14ac:dyDescent="0.2">
      <c r="A47" s="5" t="s">
        <v>25</v>
      </c>
      <c r="B47" s="5" t="s">
        <v>26</v>
      </c>
      <c r="C47" s="6">
        <v>42502</v>
      </c>
      <c r="D47" s="5">
        <f t="shared" si="3"/>
        <v>5</v>
      </c>
      <c r="E47" s="5">
        <f t="shared" si="4"/>
        <v>20</v>
      </c>
      <c r="F47" s="5">
        <v>21.5</v>
      </c>
      <c r="G47" s="40">
        <v>77289.149999999994</v>
      </c>
      <c r="H47" s="41">
        <f t="shared" si="0"/>
        <v>1661716.7249999999</v>
      </c>
      <c r="I47" s="42">
        <v>0</v>
      </c>
      <c r="J47" s="43">
        <v>0</v>
      </c>
      <c r="K47" s="44">
        <v>0</v>
      </c>
      <c r="L47" s="44">
        <v>0</v>
      </c>
      <c r="M47" s="41">
        <f t="shared" si="12"/>
        <v>1661716.7249999999</v>
      </c>
      <c r="N47" s="41">
        <v>0</v>
      </c>
      <c r="O47" s="40">
        <f t="shared" si="13"/>
        <v>34400</v>
      </c>
      <c r="P47" s="42">
        <f t="shared" si="2"/>
        <v>1696116.7249999999</v>
      </c>
      <c r="Q47" s="5">
        <v>21.5</v>
      </c>
    </row>
    <row r="48" spans="1:17" s="38" customFormat="1" ht="15" customHeight="1" x14ac:dyDescent="0.2">
      <c r="A48" s="45" t="s">
        <v>16</v>
      </c>
      <c r="B48" s="45" t="s">
        <v>18</v>
      </c>
      <c r="C48" s="52">
        <v>42502</v>
      </c>
      <c r="D48" s="5">
        <f t="shared" si="3"/>
        <v>5</v>
      </c>
      <c r="E48" s="5">
        <f t="shared" si="4"/>
        <v>20</v>
      </c>
      <c r="F48" s="45">
        <v>28.38</v>
      </c>
      <c r="G48" s="45">
        <v>48000</v>
      </c>
      <c r="H48" s="47">
        <f t="shared" si="0"/>
        <v>1362240</v>
      </c>
      <c r="I48" s="48">
        <v>0</v>
      </c>
      <c r="J48" s="47">
        <v>0</v>
      </c>
      <c r="K48" s="48">
        <v>0</v>
      </c>
      <c r="L48" s="48">
        <v>0</v>
      </c>
      <c r="M48" s="47">
        <f t="shared" si="12"/>
        <v>1362240</v>
      </c>
      <c r="N48" s="47">
        <v>0</v>
      </c>
      <c r="O48" s="45">
        <v>0</v>
      </c>
      <c r="P48" s="48">
        <f t="shared" si="2"/>
        <v>1362240</v>
      </c>
      <c r="Q48" s="45">
        <v>28.29</v>
      </c>
    </row>
    <row r="49" spans="1:17" s="37" customFormat="1" ht="15" customHeight="1" x14ac:dyDescent="0.2">
      <c r="A49" s="5" t="s">
        <v>25</v>
      </c>
      <c r="B49" s="5" t="s">
        <v>26</v>
      </c>
      <c r="C49" s="6">
        <v>42503</v>
      </c>
      <c r="D49" s="5">
        <f t="shared" si="3"/>
        <v>5</v>
      </c>
      <c r="E49" s="5">
        <f t="shared" si="4"/>
        <v>20</v>
      </c>
      <c r="F49" s="5">
        <v>21.46</v>
      </c>
      <c r="G49" s="40">
        <v>77289.149999999994</v>
      </c>
      <c r="H49" s="41">
        <f t="shared" si="0"/>
        <v>1658625.159</v>
      </c>
      <c r="I49" s="42">
        <v>0</v>
      </c>
      <c r="J49" s="43">
        <v>0</v>
      </c>
      <c r="K49" s="44">
        <v>0</v>
      </c>
      <c r="L49" s="44">
        <v>0</v>
      </c>
      <c r="M49" s="41">
        <f t="shared" si="12"/>
        <v>1658625.159</v>
      </c>
      <c r="N49" s="41">
        <v>0</v>
      </c>
      <c r="O49" s="40">
        <f t="shared" ref="O49:O51" si="14">1600*Q49</f>
        <v>34336</v>
      </c>
      <c r="P49" s="42">
        <f t="shared" si="2"/>
        <v>1692961.159</v>
      </c>
      <c r="Q49" s="5">
        <v>21.46</v>
      </c>
    </row>
    <row r="50" spans="1:17" s="37" customFormat="1" ht="15" customHeight="1" x14ac:dyDescent="0.2">
      <c r="A50" s="5" t="s">
        <v>25</v>
      </c>
      <c r="B50" s="5" t="s">
        <v>26</v>
      </c>
      <c r="C50" s="6">
        <v>42503</v>
      </c>
      <c r="D50" s="5">
        <f t="shared" si="3"/>
        <v>5</v>
      </c>
      <c r="E50" s="5">
        <f t="shared" si="4"/>
        <v>20</v>
      </c>
      <c r="F50" s="5">
        <v>21.52</v>
      </c>
      <c r="G50" s="40">
        <v>77289.149999999994</v>
      </c>
      <c r="H50" s="41">
        <f t="shared" si="0"/>
        <v>1663262.5079999999</v>
      </c>
      <c r="I50" s="42">
        <v>0</v>
      </c>
      <c r="J50" s="43">
        <v>0</v>
      </c>
      <c r="K50" s="44">
        <v>0</v>
      </c>
      <c r="L50" s="44">
        <v>0</v>
      </c>
      <c r="M50" s="41">
        <f t="shared" si="12"/>
        <v>1663262.5079999999</v>
      </c>
      <c r="N50" s="41">
        <v>0</v>
      </c>
      <c r="O50" s="40">
        <f t="shared" si="14"/>
        <v>34432</v>
      </c>
      <c r="P50" s="42">
        <f t="shared" si="2"/>
        <v>1697694.5079999999</v>
      </c>
      <c r="Q50" s="5">
        <v>21.52</v>
      </c>
    </row>
    <row r="51" spans="1:17" s="37" customFormat="1" ht="15" customHeight="1" x14ac:dyDescent="0.2">
      <c r="A51" s="5" t="s">
        <v>25</v>
      </c>
      <c r="B51" s="5" t="s">
        <v>26</v>
      </c>
      <c r="C51" s="6">
        <v>42503</v>
      </c>
      <c r="D51" s="5">
        <f t="shared" si="3"/>
        <v>5</v>
      </c>
      <c r="E51" s="5">
        <f t="shared" si="4"/>
        <v>20</v>
      </c>
      <c r="F51" s="5">
        <v>21.45</v>
      </c>
      <c r="G51" s="40">
        <v>77289.149999999994</v>
      </c>
      <c r="H51" s="41">
        <f t="shared" si="0"/>
        <v>1657852.2674999998</v>
      </c>
      <c r="I51" s="42">
        <v>0</v>
      </c>
      <c r="J51" s="43">
        <v>0</v>
      </c>
      <c r="K51" s="44">
        <v>0</v>
      </c>
      <c r="L51" s="44">
        <v>0</v>
      </c>
      <c r="M51" s="41">
        <f t="shared" si="12"/>
        <v>1657852.2674999998</v>
      </c>
      <c r="N51" s="41">
        <v>0</v>
      </c>
      <c r="O51" s="40">
        <f t="shared" si="14"/>
        <v>34320</v>
      </c>
      <c r="P51" s="42">
        <f t="shared" si="2"/>
        <v>1692172.2674999998</v>
      </c>
      <c r="Q51" s="5">
        <v>21.45</v>
      </c>
    </row>
    <row r="52" spans="1:17" s="37" customFormat="1" ht="15" customHeight="1" x14ac:dyDescent="0.2">
      <c r="A52" s="5" t="s">
        <v>14</v>
      </c>
      <c r="B52" s="8" t="s">
        <v>15</v>
      </c>
      <c r="C52" s="6">
        <v>42503</v>
      </c>
      <c r="D52" s="5">
        <f t="shared" si="3"/>
        <v>5</v>
      </c>
      <c r="E52" s="5">
        <f t="shared" si="4"/>
        <v>20</v>
      </c>
      <c r="F52" s="5">
        <v>29.41</v>
      </c>
      <c r="G52" s="40">
        <v>56000</v>
      </c>
      <c r="H52" s="41">
        <f t="shared" si="0"/>
        <v>1646960</v>
      </c>
      <c r="I52" s="42">
        <v>0</v>
      </c>
      <c r="J52" s="43">
        <v>0</v>
      </c>
      <c r="K52" s="44">
        <v>0</v>
      </c>
      <c r="L52" s="44">
        <v>0</v>
      </c>
      <c r="M52" s="41">
        <f t="shared" si="12"/>
        <v>1646960</v>
      </c>
      <c r="N52" s="41">
        <v>0</v>
      </c>
      <c r="O52" s="40">
        <v>0</v>
      </c>
      <c r="P52" s="42">
        <f t="shared" si="2"/>
        <v>1646960</v>
      </c>
      <c r="Q52" s="5">
        <v>29.4</v>
      </c>
    </row>
    <row r="53" spans="1:17" s="37" customFormat="1" ht="15" customHeight="1" x14ac:dyDescent="0.2">
      <c r="A53" s="5" t="s">
        <v>31</v>
      </c>
      <c r="B53" s="8" t="s">
        <v>15</v>
      </c>
      <c r="C53" s="6">
        <v>42503</v>
      </c>
      <c r="D53" s="5">
        <f t="shared" si="3"/>
        <v>5</v>
      </c>
      <c r="E53" s="5">
        <f t="shared" si="4"/>
        <v>20</v>
      </c>
      <c r="F53" s="5">
        <v>33.340000000000003</v>
      </c>
      <c r="G53" s="40">
        <v>55084.88</v>
      </c>
      <c r="H53" s="41">
        <f t="shared" si="0"/>
        <v>1836529.8992000001</v>
      </c>
      <c r="I53" s="42">
        <v>0</v>
      </c>
      <c r="J53" s="43">
        <v>0</v>
      </c>
      <c r="K53" s="44">
        <v>0</v>
      </c>
      <c r="L53" s="44">
        <v>0</v>
      </c>
      <c r="M53" s="41">
        <f t="shared" si="12"/>
        <v>1836529.8992000001</v>
      </c>
      <c r="N53" s="41">
        <v>0</v>
      </c>
      <c r="O53" s="40">
        <v>0</v>
      </c>
      <c r="P53" s="42">
        <f t="shared" si="2"/>
        <v>1836529.8992000001</v>
      </c>
      <c r="Q53" s="5">
        <v>33.340000000000003</v>
      </c>
    </row>
    <row r="54" spans="1:17" s="37" customFormat="1" ht="15" customHeight="1" x14ac:dyDescent="0.2">
      <c r="A54" s="5" t="s">
        <v>33</v>
      </c>
      <c r="B54" s="8" t="s">
        <v>15</v>
      </c>
      <c r="C54" s="6">
        <v>42503</v>
      </c>
      <c r="D54" s="5">
        <f t="shared" si="3"/>
        <v>5</v>
      </c>
      <c r="E54" s="5">
        <f t="shared" si="4"/>
        <v>20</v>
      </c>
      <c r="F54" s="5">
        <v>28.79</v>
      </c>
      <c r="G54" s="40">
        <v>55500</v>
      </c>
      <c r="H54" s="41">
        <f t="shared" si="0"/>
        <v>1597845</v>
      </c>
      <c r="I54" s="42">
        <v>0</v>
      </c>
      <c r="J54" s="43">
        <v>0</v>
      </c>
      <c r="K54" s="44">
        <v>0</v>
      </c>
      <c r="L54" s="44">
        <v>0</v>
      </c>
      <c r="M54" s="41">
        <f t="shared" si="12"/>
        <v>1597845</v>
      </c>
      <c r="N54" s="41">
        <v>0</v>
      </c>
      <c r="O54" s="40">
        <v>0</v>
      </c>
      <c r="P54" s="42">
        <f t="shared" si="2"/>
        <v>1597845</v>
      </c>
      <c r="Q54" s="5">
        <v>28.69</v>
      </c>
    </row>
    <row r="55" spans="1:17" s="37" customFormat="1" ht="15" customHeight="1" x14ac:dyDescent="0.2">
      <c r="A55" s="5" t="s">
        <v>33</v>
      </c>
      <c r="B55" s="8" t="s">
        <v>15</v>
      </c>
      <c r="C55" s="6">
        <v>42503</v>
      </c>
      <c r="D55" s="5">
        <f t="shared" si="3"/>
        <v>5</v>
      </c>
      <c r="E55" s="5">
        <f t="shared" si="4"/>
        <v>20</v>
      </c>
      <c r="F55" s="5">
        <v>29.24</v>
      </c>
      <c r="G55" s="40">
        <v>46200</v>
      </c>
      <c r="H55" s="41">
        <f t="shared" si="0"/>
        <v>1350888</v>
      </c>
      <c r="I55" s="42">
        <v>0</v>
      </c>
      <c r="J55" s="43">
        <v>0</v>
      </c>
      <c r="K55" s="44">
        <v>0</v>
      </c>
      <c r="L55" s="44">
        <v>0</v>
      </c>
      <c r="M55" s="41">
        <f t="shared" si="12"/>
        <v>1350888</v>
      </c>
      <c r="N55" s="41">
        <v>0</v>
      </c>
      <c r="O55" s="40">
        <v>0</v>
      </c>
      <c r="P55" s="42">
        <f t="shared" si="2"/>
        <v>1350888</v>
      </c>
      <c r="Q55" s="5">
        <v>29.24</v>
      </c>
    </row>
    <row r="56" spans="1:17" s="37" customFormat="1" ht="15" customHeight="1" x14ac:dyDescent="0.2">
      <c r="A56" s="5" t="s">
        <v>34</v>
      </c>
      <c r="B56" s="8" t="s">
        <v>15</v>
      </c>
      <c r="C56" s="6">
        <v>42504</v>
      </c>
      <c r="D56" s="5">
        <f t="shared" si="3"/>
        <v>5</v>
      </c>
      <c r="E56" s="5">
        <f t="shared" si="4"/>
        <v>20</v>
      </c>
      <c r="F56" s="5">
        <v>31.5</v>
      </c>
      <c r="G56" s="40">
        <v>45700</v>
      </c>
      <c r="H56" s="41">
        <f t="shared" si="0"/>
        <v>1439550</v>
      </c>
      <c r="I56" s="42">
        <v>0</v>
      </c>
      <c r="J56" s="43">
        <v>0</v>
      </c>
      <c r="K56" s="44">
        <v>0</v>
      </c>
      <c r="L56" s="44">
        <v>0</v>
      </c>
      <c r="M56" s="41">
        <f t="shared" si="12"/>
        <v>1439550</v>
      </c>
      <c r="N56" s="41">
        <v>0</v>
      </c>
      <c r="O56" s="40">
        <v>0</v>
      </c>
      <c r="P56" s="42">
        <f t="shared" si="2"/>
        <v>1439550</v>
      </c>
      <c r="Q56" s="5">
        <v>31.35</v>
      </c>
    </row>
    <row r="57" spans="1:17" s="37" customFormat="1" ht="15" customHeight="1" x14ac:dyDescent="0.2">
      <c r="A57" s="5" t="s">
        <v>31</v>
      </c>
      <c r="B57" s="8" t="s">
        <v>15</v>
      </c>
      <c r="C57" s="6">
        <v>42504</v>
      </c>
      <c r="D57" s="5">
        <f t="shared" si="3"/>
        <v>5</v>
      </c>
      <c r="E57" s="5">
        <f t="shared" si="4"/>
        <v>20</v>
      </c>
      <c r="F57" s="5">
        <v>27.06</v>
      </c>
      <c r="G57" s="40">
        <v>55800</v>
      </c>
      <c r="H57" s="41">
        <f t="shared" si="0"/>
        <v>1509948</v>
      </c>
      <c r="I57" s="42">
        <v>0</v>
      </c>
      <c r="J57" s="43">
        <v>0</v>
      </c>
      <c r="K57" s="44">
        <v>0</v>
      </c>
      <c r="L57" s="44">
        <v>0</v>
      </c>
      <c r="M57" s="41">
        <f t="shared" si="12"/>
        <v>1509948</v>
      </c>
      <c r="N57" s="41">
        <v>0</v>
      </c>
      <c r="O57" s="40">
        <v>0</v>
      </c>
      <c r="P57" s="42">
        <f t="shared" si="2"/>
        <v>1509948</v>
      </c>
      <c r="Q57" s="5">
        <v>27.03</v>
      </c>
    </row>
    <row r="58" spans="1:17" s="37" customFormat="1" ht="15" customHeight="1" x14ac:dyDescent="0.2">
      <c r="A58" s="5" t="s">
        <v>14</v>
      </c>
      <c r="B58" s="8" t="s">
        <v>15</v>
      </c>
      <c r="C58" s="6">
        <v>42504</v>
      </c>
      <c r="D58" s="5">
        <f t="shared" si="3"/>
        <v>5</v>
      </c>
      <c r="E58" s="5">
        <f t="shared" si="4"/>
        <v>20</v>
      </c>
      <c r="F58" s="5">
        <v>27.49</v>
      </c>
      <c r="G58" s="40">
        <v>56000</v>
      </c>
      <c r="H58" s="41">
        <f t="shared" si="0"/>
        <v>1539440</v>
      </c>
      <c r="I58" s="42">
        <v>0</v>
      </c>
      <c r="J58" s="43">
        <v>0</v>
      </c>
      <c r="K58" s="44">
        <v>0</v>
      </c>
      <c r="L58" s="44">
        <v>0</v>
      </c>
      <c r="M58" s="41">
        <f t="shared" si="12"/>
        <v>1539440</v>
      </c>
      <c r="N58" s="41">
        <v>0</v>
      </c>
      <c r="O58" s="40">
        <v>0</v>
      </c>
      <c r="P58" s="42">
        <f t="shared" si="2"/>
        <v>1539440</v>
      </c>
      <c r="Q58" s="5">
        <v>27.42</v>
      </c>
    </row>
    <row r="59" spans="1:17" s="37" customFormat="1" ht="15" customHeight="1" x14ac:dyDescent="0.2">
      <c r="A59" s="5" t="s">
        <v>32</v>
      </c>
      <c r="B59" s="8" t="s">
        <v>15</v>
      </c>
      <c r="C59" s="6">
        <v>42505</v>
      </c>
      <c r="D59" s="5">
        <f t="shared" si="3"/>
        <v>5</v>
      </c>
      <c r="E59" s="5">
        <f t="shared" si="4"/>
        <v>21</v>
      </c>
      <c r="F59" s="5">
        <v>20.04</v>
      </c>
      <c r="G59" s="40">
        <v>55500</v>
      </c>
      <c r="H59" s="41">
        <f t="shared" si="0"/>
        <v>1112220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12"/>
        <v>1112220</v>
      </c>
      <c r="N59" s="41">
        <v>0</v>
      </c>
      <c r="O59" s="40">
        <v>0</v>
      </c>
      <c r="P59" s="42">
        <f t="shared" si="2"/>
        <v>1112220</v>
      </c>
      <c r="Q59" s="5">
        <v>20.04</v>
      </c>
    </row>
    <row r="60" spans="1:17" s="37" customFormat="1" ht="15" customHeight="1" x14ac:dyDescent="0.2">
      <c r="A60" s="5" t="s">
        <v>32</v>
      </c>
      <c r="B60" s="8" t="s">
        <v>15</v>
      </c>
      <c r="C60" s="6">
        <v>42505</v>
      </c>
      <c r="D60" s="5">
        <f t="shared" si="3"/>
        <v>5</v>
      </c>
      <c r="E60" s="5">
        <f t="shared" si="4"/>
        <v>21</v>
      </c>
      <c r="F60" s="5">
        <v>19.71</v>
      </c>
      <c r="G60" s="40">
        <v>54735.15</v>
      </c>
      <c r="H60" s="41">
        <f t="shared" si="0"/>
        <v>1078829.8065000002</v>
      </c>
      <c r="I60" s="42">
        <v>0</v>
      </c>
      <c r="J60" s="43">
        <v>0</v>
      </c>
      <c r="K60" s="44">
        <v>0</v>
      </c>
      <c r="L60" s="44">
        <v>0</v>
      </c>
      <c r="M60" s="41">
        <f t="shared" si="12"/>
        <v>1078829.8065000002</v>
      </c>
      <c r="N60" s="41">
        <v>0</v>
      </c>
      <c r="O60" s="40">
        <v>0</v>
      </c>
      <c r="P60" s="42">
        <f t="shared" si="2"/>
        <v>1078829.8065000002</v>
      </c>
      <c r="Q60" s="5">
        <v>19.71</v>
      </c>
    </row>
    <row r="61" spans="1:17" s="37" customFormat="1" ht="15" customHeight="1" x14ac:dyDescent="0.2">
      <c r="A61" s="5" t="s">
        <v>25</v>
      </c>
      <c r="B61" s="5" t="s">
        <v>26</v>
      </c>
      <c r="C61" s="6">
        <v>42506</v>
      </c>
      <c r="D61" s="5">
        <f t="shared" si="3"/>
        <v>5</v>
      </c>
      <c r="E61" s="5">
        <f t="shared" si="4"/>
        <v>21</v>
      </c>
      <c r="F61" s="5">
        <v>21.44</v>
      </c>
      <c r="G61" s="40">
        <v>77289.149999999994</v>
      </c>
      <c r="H61" s="41">
        <f t="shared" si="0"/>
        <v>1657079.3759999999</v>
      </c>
      <c r="I61" s="42">
        <v>0</v>
      </c>
      <c r="J61" s="43">
        <v>0</v>
      </c>
      <c r="K61" s="44">
        <v>0</v>
      </c>
      <c r="L61" s="44">
        <v>0</v>
      </c>
      <c r="M61" s="41">
        <f t="shared" si="12"/>
        <v>1657079.3759999999</v>
      </c>
      <c r="N61" s="41">
        <v>0</v>
      </c>
      <c r="O61" s="40">
        <f t="shared" ref="O61:O66" si="15">1600*Q61</f>
        <v>34304</v>
      </c>
      <c r="P61" s="42">
        <f t="shared" si="2"/>
        <v>1691383.3759999999</v>
      </c>
      <c r="Q61" s="5">
        <v>21.44</v>
      </c>
    </row>
    <row r="62" spans="1:17" s="37" customFormat="1" ht="15" customHeight="1" x14ac:dyDescent="0.2">
      <c r="A62" s="5" t="s">
        <v>25</v>
      </c>
      <c r="B62" s="5" t="s">
        <v>26</v>
      </c>
      <c r="C62" s="6">
        <v>42506</v>
      </c>
      <c r="D62" s="5">
        <f t="shared" si="3"/>
        <v>5</v>
      </c>
      <c r="E62" s="5">
        <f t="shared" si="4"/>
        <v>21</v>
      </c>
      <c r="F62" s="5">
        <v>21.49</v>
      </c>
      <c r="G62" s="40">
        <v>77289.149999999994</v>
      </c>
      <c r="H62" s="41">
        <f t="shared" si="0"/>
        <v>1660943.8334999997</v>
      </c>
      <c r="I62" s="42">
        <v>0</v>
      </c>
      <c r="J62" s="43">
        <v>0</v>
      </c>
      <c r="K62" s="44">
        <v>0</v>
      </c>
      <c r="L62" s="44">
        <v>0</v>
      </c>
      <c r="M62" s="41">
        <f t="shared" si="12"/>
        <v>1660943.8334999997</v>
      </c>
      <c r="N62" s="41">
        <v>0</v>
      </c>
      <c r="O62" s="40">
        <f t="shared" si="15"/>
        <v>34384</v>
      </c>
      <c r="P62" s="42">
        <f t="shared" si="2"/>
        <v>1695327.8334999997</v>
      </c>
      <c r="Q62" s="5">
        <v>21.49</v>
      </c>
    </row>
    <row r="63" spans="1:17" s="37" customFormat="1" ht="15" customHeight="1" x14ac:dyDescent="0.2">
      <c r="A63" s="5" t="s">
        <v>25</v>
      </c>
      <c r="B63" s="5" t="s">
        <v>26</v>
      </c>
      <c r="C63" s="6">
        <v>42506</v>
      </c>
      <c r="D63" s="5">
        <f t="shared" si="3"/>
        <v>5</v>
      </c>
      <c r="E63" s="5">
        <f t="shared" si="4"/>
        <v>21</v>
      </c>
      <c r="F63" s="5">
        <v>21.46</v>
      </c>
      <c r="G63" s="40">
        <v>77289.149999999994</v>
      </c>
      <c r="H63" s="41">
        <f t="shared" si="0"/>
        <v>1658625.159</v>
      </c>
      <c r="I63" s="42">
        <v>0</v>
      </c>
      <c r="J63" s="43">
        <v>0</v>
      </c>
      <c r="K63" s="44">
        <v>0</v>
      </c>
      <c r="L63" s="44">
        <v>0</v>
      </c>
      <c r="M63" s="41">
        <f t="shared" si="12"/>
        <v>1658625.159</v>
      </c>
      <c r="N63" s="41">
        <v>0</v>
      </c>
      <c r="O63" s="40">
        <f t="shared" si="15"/>
        <v>34336</v>
      </c>
      <c r="P63" s="42">
        <f t="shared" si="2"/>
        <v>1692961.159</v>
      </c>
      <c r="Q63" s="5">
        <v>21.46</v>
      </c>
    </row>
    <row r="64" spans="1:17" s="37" customFormat="1" ht="15" customHeight="1" x14ac:dyDescent="0.2">
      <c r="A64" s="5" t="s">
        <v>25</v>
      </c>
      <c r="B64" s="5" t="s">
        <v>26</v>
      </c>
      <c r="C64" s="6">
        <v>42506</v>
      </c>
      <c r="D64" s="5">
        <f t="shared" si="3"/>
        <v>5</v>
      </c>
      <c r="E64" s="5">
        <f t="shared" si="4"/>
        <v>21</v>
      </c>
      <c r="F64" s="5">
        <v>21.58</v>
      </c>
      <c r="G64" s="40">
        <v>77289.149999999994</v>
      </c>
      <c r="H64" s="41">
        <f t="shared" si="0"/>
        <v>1667899.8569999998</v>
      </c>
      <c r="I64" s="42">
        <v>0</v>
      </c>
      <c r="J64" s="43">
        <v>0</v>
      </c>
      <c r="K64" s="44">
        <v>0</v>
      </c>
      <c r="L64" s="44">
        <v>0</v>
      </c>
      <c r="M64" s="41">
        <f t="shared" si="12"/>
        <v>1667899.8569999998</v>
      </c>
      <c r="N64" s="41">
        <v>0</v>
      </c>
      <c r="O64" s="40">
        <f t="shared" si="15"/>
        <v>34528</v>
      </c>
      <c r="P64" s="42">
        <f t="shared" si="2"/>
        <v>1702427.8569999998</v>
      </c>
      <c r="Q64" s="5">
        <v>21.58</v>
      </c>
    </row>
    <row r="65" spans="1:17" s="37" customFormat="1" ht="15" customHeight="1" x14ac:dyDescent="0.2">
      <c r="A65" s="5" t="s">
        <v>25</v>
      </c>
      <c r="B65" s="5" t="s">
        <v>26</v>
      </c>
      <c r="C65" s="6">
        <v>42506</v>
      </c>
      <c r="D65" s="5">
        <f t="shared" si="3"/>
        <v>5</v>
      </c>
      <c r="E65" s="5">
        <f t="shared" si="4"/>
        <v>21</v>
      </c>
      <c r="F65" s="5">
        <v>21.5</v>
      </c>
      <c r="G65" s="40">
        <v>77289.149999999994</v>
      </c>
      <c r="H65" s="41">
        <f t="shared" si="0"/>
        <v>1661716.7249999999</v>
      </c>
      <c r="I65" s="42">
        <v>0</v>
      </c>
      <c r="J65" s="43">
        <v>0</v>
      </c>
      <c r="K65" s="44">
        <v>0</v>
      </c>
      <c r="L65" s="44">
        <v>0</v>
      </c>
      <c r="M65" s="41">
        <f t="shared" si="12"/>
        <v>1661716.7249999999</v>
      </c>
      <c r="N65" s="41">
        <v>0</v>
      </c>
      <c r="O65" s="40">
        <f t="shared" si="15"/>
        <v>34400</v>
      </c>
      <c r="P65" s="42">
        <f t="shared" si="2"/>
        <v>1696116.7249999999</v>
      </c>
      <c r="Q65" s="5">
        <v>21.5</v>
      </c>
    </row>
    <row r="66" spans="1:17" s="37" customFormat="1" ht="15" customHeight="1" x14ac:dyDescent="0.2">
      <c r="A66" s="5" t="s">
        <v>25</v>
      </c>
      <c r="B66" s="5" t="s">
        <v>26</v>
      </c>
      <c r="C66" s="6">
        <v>42506</v>
      </c>
      <c r="D66" s="5">
        <f t="shared" si="3"/>
        <v>5</v>
      </c>
      <c r="E66" s="5">
        <f t="shared" si="4"/>
        <v>21</v>
      </c>
      <c r="F66" s="5">
        <v>21.49</v>
      </c>
      <c r="G66" s="40">
        <v>77289.149999999994</v>
      </c>
      <c r="H66" s="41">
        <f t="shared" ref="H66:H110" si="16">+F66*G66</f>
        <v>1660943.8334999997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97" si="17">+H66+J66</f>
        <v>1660943.8334999997</v>
      </c>
      <c r="N66" s="41">
        <v>0</v>
      </c>
      <c r="O66" s="40">
        <f t="shared" si="15"/>
        <v>34384</v>
      </c>
      <c r="P66" s="42">
        <f t="shared" ref="P66:P110" si="18">+M66+N66+O66</f>
        <v>1695327.8334999997</v>
      </c>
      <c r="Q66" s="5">
        <v>21.49</v>
      </c>
    </row>
    <row r="67" spans="1:17" s="37" customFormat="1" ht="15" customHeight="1" x14ac:dyDescent="0.2">
      <c r="A67" s="5" t="s">
        <v>24</v>
      </c>
      <c r="B67" s="8" t="s">
        <v>15</v>
      </c>
      <c r="C67" s="6">
        <v>42506</v>
      </c>
      <c r="D67" s="5">
        <f t="shared" ref="D67:D110" si="19">MONTH(C67)</f>
        <v>5</v>
      </c>
      <c r="E67" s="5">
        <f t="shared" ref="E67:E110" si="20">WEEKNUM(C67)</f>
        <v>21</v>
      </c>
      <c r="F67" s="5">
        <v>27.81</v>
      </c>
      <c r="G67" s="40">
        <v>54600</v>
      </c>
      <c r="H67" s="41">
        <f t="shared" si="16"/>
        <v>1518426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7"/>
        <v>1518426</v>
      </c>
      <c r="N67" s="41">
        <v>0</v>
      </c>
      <c r="O67" s="40">
        <v>0</v>
      </c>
      <c r="P67" s="42">
        <f t="shared" si="18"/>
        <v>1518426</v>
      </c>
      <c r="Q67" s="5">
        <v>27.81</v>
      </c>
    </row>
    <row r="68" spans="1:17" s="37" customFormat="1" ht="15" customHeight="1" x14ac:dyDescent="0.2">
      <c r="A68" s="5" t="s">
        <v>31</v>
      </c>
      <c r="B68" s="8" t="s">
        <v>15</v>
      </c>
      <c r="C68" s="6">
        <v>42507</v>
      </c>
      <c r="D68" s="5">
        <f t="shared" si="19"/>
        <v>5</v>
      </c>
      <c r="E68" s="5">
        <f t="shared" si="20"/>
        <v>21</v>
      </c>
      <c r="F68" s="5">
        <v>30.25</v>
      </c>
      <c r="G68" s="40">
        <v>55800</v>
      </c>
      <c r="H68" s="41">
        <f t="shared" si="16"/>
        <v>1687950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7"/>
        <v>1687950</v>
      </c>
      <c r="N68" s="41">
        <v>0</v>
      </c>
      <c r="O68" s="40">
        <v>0</v>
      </c>
      <c r="P68" s="42">
        <f t="shared" si="18"/>
        <v>1687950</v>
      </c>
      <c r="Q68" s="5">
        <v>30.25</v>
      </c>
    </row>
    <row r="69" spans="1:17" s="37" customFormat="1" ht="15" customHeight="1" x14ac:dyDescent="0.2">
      <c r="A69" s="5" t="s">
        <v>30</v>
      </c>
      <c r="B69" s="8" t="s">
        <v>15</v>
      </c>
      <c r="C69" s="6">
        <v>42508</v>
      </c>
      <c r="D69" s="5">
        <f t="shared" si="19"/>
        <v>5</v>
      </c>
      <c r="E69" s="5">
        <f t="shared" si="20"/>
        <v>21</v>
      </c>
      <c r="F69" s="5">
        <v>23.58</v>
      </c>
      <c r="G69" s="40">
        <v>45500</v>
      </c>
      <c r="H69" s="41">
        <f t="shared" si="16"/>
        <v>1072890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7"/>
        <v>1072890</v>
      </c>
      <c r="N69" s="41">
        <v>0</v>
      </c>
      <c r="O69" s="40">
        <v>0</v>
      </c>
      <c r="P69" s="42">
        <f t="shared" si="18"/>
        <v>1072890</v>
      </c>
      <c r="Q69" s="5">
        <v>23.51</v>
      </c>
    </row>
    <row r="70" spans="1:17" s="38" customFormat="1" ht="15" customHeight="1" x14ac:dyDescent="0.2">
      <c r="A70" s="45" t="s">
        <v>67</v>
      </c>
      <c r="B70" s="46" t="s">
        <v>15</v>
      </c>
      <c r="C70" s="52">
        <v>42508</v>
      </c>
      <c r="D70" s="5">
        <f t="shared" si="19"/>
        <v>5</v>
      </c>
      <c r="E70" s="5">
        <f t="shared" si="20"/>
        <v>21</v>
      </c>
      <c r="F70" s="45">
        <v>22.95</v>
      </c>
      <c r="G70" s="45">
        <v>54500</v>
      </c>
      <c r="H70" s="47">
        <f t="shared" si="16"/>
        <v>1250775</v>
      </c>
      <c r="I70" s="48">
        <v>0</v>
      </c>
      <c r="J70" s="47">
        <v>0</v>
      </c>
      <c r="K70" s="48">
        <v>0</v>
      </c>
      <c r="L70" s="48">
        <v>0</v>
      </c>
      <c r="M70" s="47">
        <f t="shared" si="17"/>
        <v>1250775</v>
      </c>
      <c r="N70" s="47">
        <v>0</v>
      </c>
      <c r="O70" s="45">
        <v>0</v>
      </c>
      <c r="P70" s="48">
        <f t="shared" si="18"/>
        <v>1250775</v>
      </c>
      <c r="Q70" s="45">
        <v>22.9</v>
      </c>
    </row>
    <row r="71" spans="1:17" s="37" customFormat="1" ht="15" customHeight="1" x14ac:dyDescent="0.2">
      <c r="A71" s="5" t="s">
        <v>67</v>
      </c>
      <c r="B71" s="8" t="s">
        <v>15</v>
      </c>
      <c r="C71" s="6">
        <v>42509</v>
      </c>
      <c r="D71" s="5">
        <f t="shared" si="19"/>
        <v>5</v>
      </c>
      <c r="E71" s="5">
        <f t="shared" si="20"/>
        <v>21</v>
      </c>
      <c r="F71" s="5">
        <v>27.45</v>
      </c>
      <c r="G71" s="40">
        <v>54500</v>
      </c>
      <c r="H71" s="41">
        <f t="shared" si="16"/>
        <v>1496025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7"/>
        <v>1496025</v>
      </c>
      <c r="N71" s="41">
        <v>0</v>
      </c>
      <c r="O71" s="40">
        <v>0</v>
      </c>
      <c r="P71" s="42">
        <f t="shared" si="18"/>
        <v>1496025</v>
      </c>
      <c r="Q71" s="5">
        <v>27.4</v>
      </c>
    </row>
    <row r="72" spans="1:17" s="37" customFormat="1" ht="15" customHeight="1" x14ac:dyDescent="0.2">
      <c r="A72" s="5" t="s">
        <v>30</v>
      </c>
      <c r="B72" s="8" t="s">
        <v>15</v>
      </c>
      <c r="C72" s="6">
        <v>42509</v>
      </c>
      <c r="D72" s="5">
        <f t="shared" si="19"/>
        <v>5</v>
      </c>
      <c r="E72" s="5">
        <f t="shared" si="20"/>
        <v>21</v>
      </c>
      <c r="F72" s="5">
        <v>27.434999999999999</v>
      </c>
      <c r="G72" s="40">
        <v>54970.22</v>
      </c>
      <c r="H72" s="41">
        <f t="shared" si="16"/>
        <v>1508107.9857000001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7"/>
        <v>1508107.9857000001</v>
      </c>
      <c r="N72" s="41">
        <v>0</v>
      </c>
      <c r="O72" s="40">
        <v>0</v>
      </c>
      <c r="P72" s="42">
        <f t="shared" si="18"/>
        <v>1508107.9857000001</v>
      </c>
      <c r="Q72" s="5">
        <v>27.29</v>
      </c>
    </row>
    <row r="73" spans="1:17" s="37" customFormat="1" ht="15" customHeight="1" x14ac:dyDescent="0.2">
      <c r="A73" s="5" t="s">
        <v>67</v>
      </c>
      <c r="B73" s="8" t="s">
        <v>15</v>
      </c>
      <c r="C73" s="6">
        <v>42510</v>
      </c>
      <c r="D73" s="5">
        <f t="shared" si="19"/>
        <v>5</v>
      </c>
      <c r="E73" s="5">
        <f t="shared" si="20"/>
        <v>21</v>
      </c>
      <c r="F73" s="5">
        <v>27.01</v>
      </c>
      <c r="G73" s="40">
        <v>55800</v>
      </c>
      <c r="H73" s="41">
        <f t="shared" si="16"/>
        <v>1507158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7"/>
        <v>1507158</v>
      </c>
      <c r="N73" s="41">
        <v>0</v>
      </c>
      <c r="O73" s="40">
        <v>0</v>
      </c>
      <c r="P73" s="42">
        <f t="shared" si="18"/>
        <v>1507158</v>
      </c>
      <c r="Q73" s="5">
        <v>26.97</v>
      </c>
    </row>
    <row r="74" spans="1:17" s="37" customFormat="1" ht="15" customHeight="1" x14ac:dyDescent="0.2">
      <c r="A74" s="5" t="s">
        <v>67</v>
      </c>
      <c r="B74" s="8" t="s">
        <v>15</v>
      </c>
      <c r="C74" s="6">
        <v>42510</v>
      </c>
      <c r="D74" s="5">
        <f t="shared" si="19"/>
        <v>5</v>
      </c>
      <c r="E74" s="5">
        <f t="shared" si="20"/>
        <v>21</v>
      </c>
      <c r="F74" s="5">
        <v>26.51</v>
      </c>
      <c r="G74" s="40">
        <v>55334.13</v>
      </c>
      <c r="H74" s="41">
        <f t="shared" si="16"/>
        <v>1466907.7863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7"/>
        <v>1466907.7863</v>
      </c>
      <c r="N74" s="41">
        <v>0</v>
      </c>
      <c r="O74" s="40">
        <v>0</v>
      </c>
      <c r="P74" s="42">
        <f t="shared" si="18"/>
        <v>1466907.7863</v>
      </c>
      <c r="Q74" s="5">
        <v>26.45</v>
      </c>
    </row>
    <row r="75" spans="1:17" s="37" customFormat="1" ht="15" customHeight="1" x14ac:dyDescent="0.2">
      <c r="A75" s="5" t="s">
        <v>30</v>
      </c>
      <c r="B75" s="8" t="s">
        <v>15</v>
      </c>
      <c r="C75" s="6">
        <v>42510</v>
      </c>
      <c r="D75" s="5">
        <f t="shared" si="19"/>
        <v>5</v>
      </c>
      <c r="E75" s="5">
        <f t="shared" si="20"/>
        <v>21</v>
      </c>
      <c r="F75" s="5">
        <v>27.1</v>
      </c>
      <c r="G75" s="40">
        <v>55500</v>
      </c>
      <c r="H75" s="41">
        <f t="shared" si="16"/>
        <v>1504050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7"/>
        <v>1504050</v>
      </c>
      <c r="N75" s="41">
        <v>0</v>
      </c>
      <c r="O75" s="40">
        <v>0</v>
      </c>
      <c r="P75" s="42">
        <f t="shared" si="18"/>
        <v>1504050</v>
      </c>
      <c r="Q75" s="5">
        <v>27.03</v>
      </c>
    </row>
    <row r="76" spans="1:17" s="37" customFormat="1" ht="15" customHeight="1" x14ac:dyDescent="0.2">
      <c r="A76" s="5" t="s">
        <v>21</v>
      </c>
      <c r="B76" s="8" t="s">
        <v>15</v>
      </c>
      <c r="C76" s="6">
        <v>42510</v>
      </c>
      <c r="D76" s="5">
        <f t="shared" si="19"/>
        <v>5</v>
      </c>
      <c r="E76" s="5">
        <f t="shared" si="20"/>
        <v>21</v>
      </c>
      <c r="F76" s="5">
        <v>29.58</v>
      </c>
      <c r="G76" s="40">
        <v>55434.879999999997</v>
      </c>
      <c r="H76" s="41">
        <f t="shared" si="16"/>
        <v>1639763.7503999998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7"/>
        <v>1639763.7503999998</v>
      </c>
      <c r="N76" s="41">
        <v>0</v>
      </c>
      <c r="O76" s="40">
        <v>0</v>
      </c>
      <c r="P76" s="42">
        <f t="shared" si="18"/>
        <v>1639763.7503999998</v>
      </c>
      <c r="Q76" s="5">
        <v>29.52</v>
      </c>
    </row>
    <row r="77" spans="1:17" s="37" customFormat="1" ht="15" customHeight="1" x14ac:dyDescent="0.2">
      <c r="A77" s="5" t="s">
        <v>14</v>
      </c>
      <c r="B77" s="8" t="s">
        <v>15</v>
      </c>
      <c r="C77" s="6">
        <v>42511</v>
      </c>
      <c r="D77" s="5">
        <f t="shared" si="19"/>
        <v>5</v>
      </c>
      <c r="E77" s="5">
        <f t="shared" si="20"/>
        <v>21</v>
      </c>
      <c r="F77" s="5">
        <v>26.9</v>
      </c>
      <c r="G77" s="40">
        <v>56000</v>
      </c>
      <c r="H77" s="41">
        <f t="shared" si="16"/>
        <v>1506400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7"/>
        <v>1506400</v>
      </c>
      <c r="N77" s="41">
        <v>0</v>
      </c>
      <c r="O77" s="40">
        <v>0</v>
      </c>
      <c r="P77" s="42">
        <f t="shared" si="18"/>
        <v>1506400</v>
      </c>
      <c r="Q77" s="5">
        <v>26.83</v>
      </c>
    </row>
    <row r="78" spans="1:17" s="37" customFormat="1" ht="15" customHeight="1" x14ac:dyDescent="0.2">
      <c r="A78" s="5" t="s">
        <v>30</v>
      </c>
      <c r="B78" s="8" t="s">
        <v>15</v>
      </c>
      <c r="C78" s="6">
        <v>42511</v>
      </c>
      <c r="D78" s="5">
        <f t="shared" si="19"/>
        <v>5</v>
      </c>
      <c r="E78" s="5">
        <f t="shared" si="20"/>
        <v>21</v>
      </c>
      <c r="F78" s="5">
        <v>28.18</v>
      </c>
      <c r="G78" s="40">
        <v>54500</v>
      </c>
      <c r="H78" s="41">
        <f t="shared" si="16"/>
        <v>1535810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7"/>
        <v>1535810</v>
      </c>
      <c r="N78" s="41">
        <v>0</v>
      </c>
      <c r="O78" s="40">
        <v>0</v>
      </c>
      <c r="P78" s="42">
        <f t="shared" si="18"/>
        <v>1535810</v>
      </c>
      <c r="Q78" s="5">
        <v>28.02</v>
      </c>
    </row>
    <row r="79" spans="1:17" s="37" customFormat="1" ht="15" customHeight="1" x14ac:dyDescent="0.2">
      <c r="A79" s="5" t="s">
        <v>33</v>
      </c>
      <c r="B79" s="5" t="s">
        <v>18</v>
      </c>
      <c r="C79" s="6">
        <v>42512</v>
      </c>
      <c r="D79" s="5">
        <f t="shared" si="19"/>
        <v>5</v>
      </c>
      <c r="E79" s="5">
        <f t="shared" si="20"/>
        <v>22</v>
      </c>
      <c r="F79" s="5">
        <v>27.815000000000001</v>
      </c>
      <c r="G79" s="40">
        <v>48000</v>
      </c>
      <c r="H79" s="41">
        <f t="shared" si="16"/>
        <v>1335120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7"/>
        <v>1335120</v>
      </c>
      <c r="N79" s="41">
        <v>0</v>
      </c>
      <c r="O79" s="40">
        <v>0</v>
      </c>
      <c r="P79" s="42">
        <f t="shared" si="18"/>
        <v>1335120</v>
      </c>
      <c r="Q79" s="5">
        <v>27.51</v>
      </c>
    </row>
    <row r="80" spans="1:17" s="37" customFormat="1" ht="15" customHeight="1" x14ac:dyDescent="0.2">
      <c r="A80" s="5" t="s">
        <v>16</v>
      </c>
      <c r="B80" s="8" t="s">
        <v>15</v>
      </c>
      <c r="C80" s="6">
        <v>42512</v>
      </c>
      <c r="D80" s="5">
        <f t="shared" si="19"/>
        <v>5</v>
      </c>
      <c r="E80" s="5">
        <f t="shared" si="20"/>
        <v>22</v>
      </c>
      <c r="F80" s="5">
        <v>23.33</v>
      </c>
      <c r="G80" s="40">
        <v>45500</v>
      </c>
      <c r="H80" s="41">
        <f t="shared" si="16"/>
        <v>1061515</v>
      </c>
      <c r="I80" s="42">
        <v>0</v>
      </c>
      <c r="J80" s="43">
        <v>0</v>
      </c>
      <c r="K80" s="44">
        <v>0</v>
      </c>
      <c r="L80" s="44">
        <v>0</v>
      </c>
      <c r="M80" s="41">
        <f t="shared" si="17"/>
        <v>1061515</v>
      </c>
      <c r="N80" s="41">
        <v>0</v>
      </c>
      <c r="O80" s="40">
        <v>0</v>
      </c>
      <c r="P80" s="42">
        <f t="shared" si="18"/>
        <v>1061515</v>
      </c>
      <c r="Q80" s="5">
        <v>23.28</v>
      </c>
    </row>
    <row r="81" spans="1:17" s="37" customFormat="1" ht="15" customHeight="1" x14ac:dyDescent="0.2">
      <c r="A81" s="5" t="s">
        <v>68</v>
      </c>
      <c r="B81" s="5" t="s">
        <v>18</v>
      </c>
      <c r="C81" s="6">
        <v>42512</v>
      </c>
      <c r="D81" s="5">
        <f t="shared" si="19"/>
        <v>5</v>
      </c>
      <c r="E81" s="5">
        <f t="shared" si="20"/>
        <v>22</v>
      </c>
      <c r="F81" s="5">
        <v>25.96</v>
      </c>
      <c r="G81" s="40">
        <v>48000</v>
      </c>
      <c r="H81" s="41">
        <f t="shared" si="16"/>
        <v>1246080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7"/>
        <v>1246080</v>
      </c>
      <c r="N81" s="41">
        <v>0</v>
      </c>
      <c r="O81" s="40">
        <v>0</v>
      </c>
      <c r="P81" s="42">
        <f t="shared" si="18"/>
        <v>1246080</v>
      </c>
      <c r="Q81" s="5">
        <v>25.96</v>
      </c>
    </row>
    <row r="82" spans="1:17" s="37" customFormat="1" ht="15" customHeight="1" x14ac:dyDescent="0.2">
      <c r="A82" s="5" t="s">
        <v>30</v>
      </c>
      <c r="B82" s="8" t="s">
        <v>15</v>
      </c>
      <c r="C82" s="6">
        <v>42513</v>
      </c>
      <c r="D82" s="5">
        <f t="shared" si="19"/>
        <v>5</v>
      </c>
      <c r="E82" s="5">
        <f t="shared" si="20"/>
        <v>22</v>
      </c>
      <c r="F82" s="5">
        <v>28.44</v>
      </c>
      <c r="G82" s="40">
        <v>55009.91</v>
      </c>
      <c r="H82" s="41">
        <f t="shared" si="16"/>
        <v>1564481.8404000001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7"/>
        <v>1564481.8404000001</v>
      </c>
      <c r="N82" s="41">
        <v>0</v>
      </c>
      <c r="O82" s="40">
        <v>0</v>
      </c>
      <c r="P82" s="42">
        <f t="shared" si="18"/>
        <v>1564481.8404000001</v>
      </c>
      <c r="Q82" s="5">
        <v>28.4</v>
      </c>
    </row>
    <row r="83" spans="1:17" s="37" customFormat="1" ht="15" customHeight="1" x14ac:dyDescent="0.2">
      <c r="A83" s="5" t="s">
        <v>17</v>
      </c>
      <c r="B83" s="5" t="s">
        <v>18</v>
      </c>
      <c r="C83" s="6">
        <v>42513</v>
      </c>
      <c r="D83" s="5">
        <f t="shared" si="19"/>
        <v>5</v>
      </c>
      <c r="E83" s="5">
        <f t="shared" si="20"/>
        <v>22</v>
      </c>
      <c r="F83" s="5">
        <v>29.454999999999998</v>
      </c>
      <c r="G83" s="40">
        <v>54872.27</v>
      </c>
      <c r="H83" s="41">
        <f t="shared" si="16"/>
        <v>1616262.7128499998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7"/>
        <v>1616262.7128499998</v>
      </c>
      <c r="N83" s="41">
        <v>0</v>
      </c>
      <c r="O83" s="40">
        <v>0</v>
      </c>
      <c r="P83" s="42">
        <f t="shared" si="18"/>
        <v>1616262.7128499998</v>
      </c>
      <c r="Q83" s="5">
        <v>29.4</v>
      </c>
    </row>
    <row r="84" spans="1:17" s="37" customFormat="1" ht="15" customHeight="1" x14ac:dyDescent="0.2">
      <c r="A84" s="5" t="s">
        <v>17</v>
      </c>
      <c r="B84" s="5" t="s">
        <v>18</v>
      </c>
      <c r="C84" s="6">
        <v>42513</v>
      </c>
      <c r="D84" s="5">
        <f t="shared" si="19"/>
        <v>5</v>
      </c>
      <c r="E84" s="5">
        <f t="shared" si="20"/>
        <v>22</v>
      </c>
      <c r="F84" s="5">
        <v>29.605</v>
      </c>
      <c r="G84" s="40">
        <v>51500</v>
      </c>
      <c r="H84" s="41">
        <f t="shared" si="16"/>
        <v>1524657.5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7"/>
        <v>1524657.5</v>
      </c>
      <c r="N84" s="41">
        <v>0</v>
      </c>
      <c r="O84" s="40">
        <v>0</v>
      </c>
      <c r="P84" s="42">
        <f t="shared" si="18"/>
        <v>1524657.5</v>
      </c>
      <c r="Q84" s="5">
        <v>29.54</v>
      </c>
    </row>
    <row r="85" spans="1:17" s="37" customFormat="1" ht="15" customHeight="1" x14ac:dyDescent="0.2">
      <c r="A85" s="5" t="s">
        <v>30</v>
      </c>
      <c r="B85" s="5" t="s">
        <v>18</v>
      </c>
      <c r="C85" s="6">
        <v>42515</v>
      </c>
      <c r="D85" s="5">
        <f t="shared" si="19"/>
        <v>5</v>
      </c>
      <c r="E85" s="5">
        <f t="shared" si="20"/>
        <v>22</v>
      </c>
      <c r="F85" s="5">
        <v>22.3</v>
      </c>
      <c r="G85" s="40">
        <v>50300</v>
      </c>
      <c r="H85" s="41">
        <f t="shared" si="16"/>
        <v>1121690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7"/>
        <v>1121690</v>
      </c>
      <c r="N85" s="41">
        <v>0</v>
      </c>
      <c r="O85" s="40">
        <v>0</v>
      </c>
      <c r="P85" s="42">
        <f t="shared" si="18"/>
        <v>1121690</v>
      </c>
      <c r="Q85" s="5">
        <v>22.25</v>
      </c>
    </row>
    <row r="86" spans="1:17" s="37" customFormat="1" ht="15" customHeight="1" x14ac:dyDescent="0.2">
      <c r="A86" s="5" t="s">
        <v>33</v>
      </c>
      <c r="B86" s="8" t="s">
        <v>15</v>
      </c>
      <c r="C86" s="6">
        <v>42516</v>
      </c>
      <c r="D86" s="5">
        <f t="shared" si="19"/>
        <v>5</v>
      </c>
      <c r="E86" s="5">
        <f t="shared" si="20"/>
        <v>22</v>
      </c>
      <c r="F86" s="5">
        <v>28.11</v>
      </c>
      <c r="G86" s="40">
        <v>54895.23</v>
      </c>
      <c r="H86" s="41">
        <f t="shared" si="16"/>
        <v>1543104.9153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7"/>
        <v>1543104.9153</v>
      </c>
      <c r="N86" s="41">
        <v>0</v>
      </c>
      <c r="O86" s="40">
        <v>0</v>
      </c>
      <c r="P86" s="42">
        <f t="shared" si="18"/>
        <v>1543104.9153</v>
      </c>
      <c r="Q86" s="5">
        <v>28.04</v>
      </c>
    </row>
    <row r="87" spans="1:17" s="37" customFormat="1" ht="15" customHeight="1" x14ac:dyDescent="0.2">
      <c r="A87" s="5" t="s">
        <v>33</v>
      </c>
      <c r="B87" s="5" t="s">
        <v>18</v>
      </c>
      <c r="C87" s="6">
        <v>42516</v>
      </c>
      <c r="D87" s="5">
        <f t="shared" si="19"/>
        <v>5</v>
      </c>
      <c r="E87" s="5">
        <f t="shared" si="20"/>
        <v>22</v>
      </c>
      <c r="F87" s="5">
        <v>23.92</v>
      </c>
      <c r="G87" s="40">
        <v>48500</v>
      </c>
      <c r="H87" s="41">
        <f t="shared" si="16"/>
        <v>1160120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7"/>
        <v>1160120</v>
      </c>
      <c r="N87" s="41">
        <v>0</v>
      </c>
      <c r="O87" s="40">
        <v>0</v>
      </c>
      <c r="P87" s="42">
        <f t="shared" si="18"/>
        <v>1160120</v>
      </c>
      <c r="Q87" s="5">
        <v>23.81</v>
      </c>
    </row>
    <row r="88" spans="1:17" s="37" customFormat="1" ht="15" customHeight="1" x14ac:dyDescent="0.2">
      <c r="A88" s="5" t="s">
        <v>30</v>
      </c>
      <c r="B88" s="8" t="s">
        <v>15</v>
      </c>
      <c r="C88" s="6">
        <v>42517</v>
      </c>
      <c r="D88" s="5">
        <f t="shared" si="19"/>
        <v>5</v>
      </c>
      <c r="E88" s="5">
        <f t="shared" si="20"/>
        <v>22</v>
      </c>
      <c r="F88" s="5">
        <v>29.42</v>
      </c>
      <c r="G88" s="40">
        <v>55800</v>
      </c>
      <c r="H88" s="41">
        <f t="shared" si="16"/>
        <v>1641636</v>
      </c>
      <c r="I88" s="42">
        <v>0</v>
      </c>
      <c r="J88" s="43">
        <v>0</v>
      </c>
      <c r="K88" s="44">
        <v>0</v>
      </c>
      <c r="L88" s="44">
        <v>0</v>
      </c>
      <c r="M88" s="41">
        <f t="shared" si="17"/>
        <v>1641636</v>
      </c>
      <c r="N88" s="41">
        <v>0</v>
      </c>
      <c r="O88" s="40">
        <v>0</v>
      </c>
      <c r="P88" s="42">
        <f t="shared" si="18"/>
        <v>1641636</v>
      </c>
      <c r="Q88" s="5">
        <v>29.36</v>
      </c>
    </row>
    <row r="89" spans="1:17" s="37" customFormat="1" ht="15" customHeight="1" x14ac:dyDescent="0.2">
      <c r="A89" s="5" t="s">
        <v>17</v>
      </c>
      <c r="B89" s="5" t="s">
        <v>18</v>
      </c>
      <c r="C89" s="6">
        <v>42517</v>
      </c>
      <c r="D89" s="5">
        <f t="shared" si="19"/>
        <v>5</v>
      </c>
      <c r="E89" s="5">
        <f t="shared" si="20"/>
        <v>22</v>
      </c>
      <c r="F89" s="5">
        <v>29.905000000000001</v>
      </c>
      <c r="G89" s="40">
        <v>51500</v>
      </c>
      <c r="H89" s="41">
        <f t="shared" si="16"/>
        <v>1540107.5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7"/>
        <v>1540107.5</v>
      </c>
      <c r="N89" s="41">
        <v>0</v>
      </c>
      <c r="O89" s="40">
        <v>0</v>
      </c>
      <c r="P89" s="42">
        <f t="shared" si="18"/>
        <v>1540107.5</v>
      </c>
      <c r="Q89" s="5">
        <v>29.83</v>
      </c>
    </row>
    <row r="90" spans="1:17" s="37" customFormat="1" ht="15" customHeight="1" x14ac:dyDescent="0.2">
      <c r="A90" s="5" t="s">
        <v>16</v>
      </c>
      <c r="B90" s="8" t="s">
        <v>15</v>
      </c>
      <c r="C90" s="6">
        <v>42518</v>
      </c>
      <c r="D90" s="5">
        <f t="shared" si="19"/>
        <v>5</v>
      </c>
      <c r="E90" s="5">
        <f t="shared" si="20"/>
        <v>22</v>
      </c>
      <c r="F90" s="5">
        <v>28.81</v>
      </c>
      <c r="G90" s="40">
        <v>53500</v>
      </c>
      <c r="H90" s="41">
        <f t="shared" si="16"/>
        <v>1541335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7"/>
        <v>1541335</v>
      </c>
      <c r="N90" s="41">
        <v>0</v>
      </c>
      <c r="O90" s="40">
        <v>0</v>
      </c>
      <c r="P90" s="42">
        <f t="shared" si="18"/>
        <v>1541335</v>
      </c>
      <c r="Q90" s="5">
        <v>28.78</v>
      </c>
    </row>
    <row r="91" spans="1:17" s="37" customFormat="1" ht="15" customHeight="1" x14ac:dyDescent="0.2">
      <c r="A91" s="5" t="s">
        <v>14</v>
      </c>
      <c r="B91" s="8" t="s">
        <v>15</v>
      </c>
      <c r="C91" s="6">
        <v>42518</v>
      </c>
      <c r="D91" s="5">
        <f t="shared" si="19"/>
        <v>5</v>
      </c>
      <c r="E91" s="5">
        <f t="shared" si="20"/>
        <v>22</v>
      </c>
      <c r="F91" s="5">
        <v>26.17</v>
      </c>
      <c r="G91" s="40">
        <v>56000</v>
      </c>
      <c r="H91" s="41">
        <f t="shared" si="16"/>
        <v>1465520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7"/>
        <v>1465520</v>
      </c>
      <c r="N91" s="41">
        <v>0</v>
      </c>
      <c r="O91" s="40">
        <v>0</v>
      </c>
      <c r="P91" s="42">
        <f t="shared" si="18"/>
        <v>1465520</v>
      </c>
      <c r="Q91" s="5">
        <v>26.1</v>
      </c>
    </row>
    <row r="92" spans="1:17" s="37" customFormat="1" ht="15" customHeight="1" x14ac:dyDescent="0.2">
      <c r="A92" s="5" t="s">
        <v>16</v>
      </c>
      <c r="B92" s="8" t="s">
        <v>15</v>
      </c>
      <c r="C92" s="6">
        <v>42518</v>
      </c>
      <c r="D92" s="5">
        <f t="shared" si="19"/>
        <v>5</v>
      </c>
      <c r="E92" s="5">
        <f t="shared" si="20"/>
        <v>22</v>
      </c>
      <c r="F92" s="5">
        <v>30.62</v>
      </c>
      <c r="G92" s="40">
        <v>45500</v>
      </c>
      <c r="H92" s="41">
        <f t="shared" si="16"/>
        <v>1393210</v>
      </c>
      <c r="I92" s="42">
        <v>0</v>
      </c>
      <c r="J92" s="43">
        <v>0</v>
      </c>
      <c r="K92" s="44">
        <v>0</v>
      </c>
      <c r="L92" s="44">
        <v>0</v>
      </c>
      <c r="M92" s="41">
        <f t="shared" si="17"/>
        <v>1393210</v>
      </c>
      <c r="N92" s="41">
        <v>0</v>
      </c>
      <c r="O92" s="40">
        <v>0</v>
      </c>
      <c r="P92" s="42">
        <f t="shared" si="18"/>
        <v>1393210</v>
      </c>
      <c r="Q92" s="5">
        <v>30.46</v>
      </c>
    </row>
    <row r="93" spans="1:17" s="37" customFormat="1" ht="15" customHeight="1" x14ac:dyDescent="0.2">
      <c r="A93" s="5" t="s">
        <v>12</v>
      </c>
      <c r="B93" s="5" t="s">
        <v>13</v>
      </c>
      <c r="C93" s="6">
        <v>42518</v>
      </c>
      <c r="D93" s="5">
        <f t="shared" si="19"/>
        <v>5</v>
      </c>
      <c r="E93" s="5">
        <f t="shared" si="20"/>
        <v>22</v>
      </c>
      <c r="F93" s="5">
        <v>25.72</v>
      </c>
      <c r="G93" s="40">
        <v>50000</v>
      </c>
      <c r="H93" s="41">
        <f t="shared" si="16"/>
        <v>1286000</v>
      </c>
      <c r="I93" s="42">
        <v>0</v>
      </c>
      <c r="J93" s="43">
        <v>0</v>
      </c>
      <c r="K93" s="44">
        <v>0</v>
      </c>
      <c r="L93" s="44">
        <v>0</v>
      </c>
      <c r="M93" s="41">
        <f t="shared" si="17"/>
        <v>1286000</v>
      </c>
      <c r="N93" s="41">
        <f t="shared" ref="N93" si="21">M93*2%</f>
        <v>25720</v>
      </c>
      <c r="O93" s="40">
        <v>0</v>
      </c>
      <c r="P93" s="42">
        <f t="shared" si="18"/>
        <v>1311720</v>
      </c>
      <c r="Q93" s="5">
        <v>25.64</v>
      </c>
    </row>
    <row r="94" spans="1:17" s="37" customFormat="1" ht="15" customHeight="1" x14ac:dyDescent="0.2">
      <c r="A94" s="5" t="s">
        <v>69</v>
      </c>
      <c r="B94" s="8" t="s">
        <v>15</v>
      </c>
      <c r="C94" s="6">
        <v>42518</v>
      </c>
      <c r="D94" s="5">
        <f t="shared" si="19"/>
        <v>5</v>
      </c>
      <c r="E94" s="5">
        <f t="shared" si="20"/>
        <v>22</v>
      </c>
      <c r="F94" s="5">
        <v>28.13</v>
      </c>
      <c r="G94" s="40">
        <v>44900</v>
      </c>
      <c r="H94" s="41">
        <f t="shared" si="16"/>
        <v>1263037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7"/>
        <v>1263037</v>
      </c>
      <c r="N94" s="41">
        <v>0</v>
      </c>
      <c r="O94" s="40">
        <v>0</v>
      </c>
      <c r="P94" s="42">
        <f t="shared" si="18"/>
        <v>1263037</v>
      </c>
      <c r="Q94" s="5">
        <v>28.12</v>
      </c>
    </row>
    <row r="95" spans="1:17" s="37" customFormat="1" ht="15" customHeight="1" x14ac:dyDescent="0.2">
      <c r="A95" s="5" t="s">
        <v>30</v>
      </c>
      <c r="B95" s="8" t="s">
        <v>15</v>
      </c>
      <c r="C95" s="6">
        <v>42518</v>
      </c>
      <c r="D95" s="5">
        <f t="shared" si="19"/>
        <v>5</v>
      </c>
      <c r="E95" s="5">
        <f t="shared" si="20"/>
        <v>22</v>
      </c>
      <c r="F95" s="5">
        <v>21.31</v>
      </c>
      <c r="G95" s="40">
        <v>55800</v>
      </c>
      <c r="H95" s="41">
        <f t="shared" si="16"/>
        <v>1189098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7"/>
        <v>1189098</v>
      </c>
      <c r="N95" s="41">
        <v>0</v>
      </c>
      <c r="O95" s="40">
        <v>0</v>
      </c>
      <c r="P95" s="42">
        <f t="shared" si="18"/>
        <v>1189098</v>
      </c>
      <c r="Q95" s="5">
        <v>21.19</v>
      </c>
    </row>
    <row r="96" spans="1:17" s="37" customFormat="1" ht="15" customHeight="1" x14ac:dyDescent="0.2">
      <c r="A96" s="5" t="s">
        <v>68</v>
      </c>
      <c r="B96" s="5" t="s">
        <v>18</v>
      </c>
      <c r="C96" s="6">
        <v>42518</v>
      </c>
      <c r="D96" s="5">
        <f t="shared" si="19"/>
        <v>5</v>
      </c>
      <c r="E96" s="5">
        <f t="shared" si="20"/>
        <v>22</v>
      </c>
      <c r="F96" s="5">
        <v>19.71</v>
      </c>
      <c r="G96" s="40">
        <v>51000</v>
      </c>
      <c r="H96" s="41">
        <f t="shared" si="16"/>
        <v>1005210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7"/>
        <v>1005210</v>
      </c>
      <c r="N96" s="41">
        <v>0</v>
      </c>
      <c r="O96" s="40">
        <v>0</v>
      </c>
      <c r="P96" s="42">
        <f t="shared" si="18"/>
        <v>1005210</v>
      </c>
      <c r="Q96" s="5">
        <v>19.71</v>
      </c>
    </row>
    <row r="97" spans="1:17" s="37" customFormat="1" ht="15" customHeight="1" x14ac:dyDescent="0.2">
      <c r="A97" s="5" t="s">
        <v>68</v>
      </c>
      <c r="B97" s="5" t="s">
        <v>18</v>
      </c>
      <c r="C97" s="6">
        <v>42518</v>
      </c>
      <c r="D97" s="5">
        <f t="shared" si="19"/>
        <v>5</v>
      </c>
      <c r="E97" s="5">
        <f t="shared" si="20"/>
        <v>22</v>
      </c>
      <c r="F97" s="5">
        <v>19.61</v>
      </c>
      <c r="G97" s="40">
        <v>51000</v>
      </c>
      <c r="H97" s="41">
        <f t="shared" si="16"/>
        <v>1000110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7"/>
        <v>1000110</v>
      </c>
      <c r="N97" s="41">
        <v>0</v>
      </c>
      <c r="O97" s="40">
        <v>0</v>
      </c>
      <c r="P97" s="42">
        <f t="shared" si="18"/>
        <v>1000110</v>
      </c>
      <c r="Q97" s="5">
        <v>19.61</v>
      </c>
    </row>
    <row r="98" spans="1:17" s="37" customFormat="1" ht="15" customHeight="1" x14ac:dyDescent="0.2">
      <c r="A98" s="5" t="s">
        <v>25</v>
      </c>
      <c r="B98" s="5" t="s">
        <v>26</v>
      </c>
      <c r="C98" s="6">
        <v>42520</v>
      </c>
      <c r="D98" s="5">
        <f t="shared" si="19"/>
        <v>5</v>
      </c>
      <c r="E98" s="5">
        <f t="shared" si="20"/>
        <v>23</v>
      </c>
      <c r="F98" s="5">
        <v>21.48</v>
      </c>
      <c r="G98" s="40">
        <v>76187.210000000006</v>
      </c>
      <c r="H98" s="41">
        <f t="shared" si="16"/>
        <v>1636501.2708000001</v>
      </c>
      <c r="I98" s="42">
        <v>0</v>
      </c>
      <c r="J98" s="43">
        <v>0</v>
      </c>
      <c r="K98" s="44">
        <v>0</v>
      </c>
      <c r="L98" s="44">
        <v>0</v>
      </c>
      <c r="M98" s="41">
        <f t="shared" ref="M98:M110" si="22">+H98+J98</f>
        <v>1636501.2708000001</v>
      </c>
      <c r="N98" s="41">
        <v>0</v>
      </c>
      <c r="O98" s="40">
        <f t="shared" ref="O98:O105" si="23">1600*Q98</f>
        <v>34368</v>
      </c>
      <c r="P98" s="42">
        <f t="shared" si="18"/>
        <v>1670869.2708000001</v>
      </c>
      <c r="Q98" s="5">
        <v>21.48</v>
      </c>
    </row>
    <row r="99" spans="1:17" s="37" customFormat="1" ht="15" customHeight="1" x14ac:dyDescent="0.2">
      <c r="A99" s="5" t="s">
        <v>25</v>
      </c>
      <c r="B99" s="5" t="s">
        <v>26</v>
      </c>
      <c r="C99" s="6">
        <v>42520</v>
      </c>
      <c r="D99" s="5">
        <f t="shared" si="19"/>
        <v>5</v>
      </c>
      <c r="E99" s="5">
        <f t="shared" si="20"/>
        <v>23</v>
      </c>
      <c r="F99" s="5">
        <v>21.48</v>
      </c>
      <c r="G99" s="40">
        <v>76187.210000000006</v>
      </c>
      <c r="H99" s="41">
        <f t="shared" si="16"/>
        <v>1636501.2708000001</v>
      </c>
      <c r="I99" s="42">
        <v>0</v>
      </c>
      <c r="J99" s="43">
        <v>0</v>
      </c>
      <c r="K99" s="44">
        <v>0</v>
      </c>
      <c r="L99" s="44">
        <v>0</v>
      </c>
      <c r="M99" s="41">
        <f t="shared" si="22"/>
        <v>1636501.2708000001</v>
      </c>
      <c r="N99" s="41">
        <v>0</v>
      </c>
      <c r="O99" s="40">
        <f t="shared" si="23"/>
        <v>34368</v>
      </c>
      <c r="P99" s="42">
        <f t="shared" si="18"/>
        <v>1670869.2708000001</v>
      </c>
      <c r="Q99" s="5">
        <v>21.48</v>
      </c>
    </row>
    <row r="100" spans="1:17" s="37" customFormat="1" ht="15" customHeight="1" x14ac:dyDescent="0.2">
      <c r="A100" s="5" t="s">
        <v>25</v>
      </c>
      <c r="B100" s="5" t="s">
        <v>26</v>
      </c>
      <c r="C100" s="6">
        <v>42520</v>
      </c>
      <c r="D100" s="5">
        <f t="shared" si="19"/>
        <v>5</v>
      </c>
      <c r="E100" s="5">
        <f t="shared" si="20"/>
        <v>23</v>
      </c>
      <c r="F100" s="5">
        <v>21.47</v>
      </c>
      <c r="G100" s="40">
        <v>76187.210000000006</v>
      </c>
      <c r="H100" s="41">
        <f t="shared" si="16"/>
        <v>1635739.3987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22"/>
        <v>1635739.3987</v>
      </c>
      <c r="N100" s="41">
        <v>0</v>
      </c>
      <c r="O100" s="40">
        <f t="shared" si="23"/>
        <v>34352</v>
      </c>
      <c r="P100" s="42">
        <f t="shared" si="18"/>
        <v>1670091.3987</v>
      </c>
      <c r="Q100" s="5">
        <v>21.47</v>
      </c>
    </row>
    <row r="101" spans="1:17" s="37" customFormat="1" ht="15" customHeight="1" x14ac:dyDescent="0.2">
      <c r="A101" s="5" t="s">
        <v>25</v>
      </c>
      <c r="B101" s="5" t="s">
        <v>26</v>
      </c>
      <c r="C101" s="6">
        <v>42520</v>
      </c>
      <c r="D101" s="5">
        <f t="shared" si="19"/>
        <v>5</v>
      </c>
      <c r="E101" s="5">
        <f t="shared" si="20"/>
        <v>23</v>
      </c>
      <c r="F101" s="5">
        <v>21.53</v>
      </c>
      <c r="G101" s="40">
        <v>76187.210000000006</v>
      </c>
      <c r="H101" s="41">
        <f t="shared" si="16"/>
        <v>1640310.6313000002</v>
      </c>
      <c r="I101" s="42">
        <v>0</v>
      </c>
      <c r="J101" s="43">
        <v>0</v>
      </c>
      <c r="K101" s="44">
        <v>0</v>
      </c>
      <c r="L101" s="44">
        <v>0</v>
      </c>
      <c r="M101" s="41">
        <f t="shared" si="22"/>
        <v>1640310.6313000002</v>
      </c>
      <c r="N101" s="41">
        <v>0</v>
      </c>
      <c r="O101" s="40">
        <f t="shared" si="23"/>
        <v>34448</v>
      </c>
      <c r="P101" s="42">
        <f t="shared" si="18"/>
        <v>1674758.6313000002</v>
      </c>
      <c r="Q101" s="5">
        <v>21.53</v>
      </c>
    </row>
    <row r="102" spans="1:17" s="37" customFormat="1" ht="15" customHeight="1" x14ac:dyDescent="0.2">
      <c r="A102" s="5" t="s">
        <v>25</v>
      </c>
      <c r="B102" s="5" t="s">
        <v>26</v>
      </c>
      <c r="C102" s="6">
        <v>42520</v>
      </c>
      <c r="D102" s="5">
        <f t="shared" si="19"/>
        <v>5</v>
      </c>
      <c r="E102" s="5">
        <f t="shared" si="20"/>
        <v>23</v>
      </c>
      <c r="F102" s="5">
        <v>21.51</v>
      </c>
      <c r="G102" s="40">
        <v>76187.210000000006</v>
      </c>
      <c r="H102" s="41">
        <f t="shared" si="16"/>
        <v>1638786.8871000002</v>
      </c>
      <c r="I102" s="42">
        <v>0</v>
      </c>
      <c r="J102" s="43">
        <v>0</v>
      </c>
      <c r="K102" s="44">
        <v>0</v>
      </c>
      <c r="L102" s="44">
        <v>0</v>
      </c>
      <c r="M102" s="41">
        <f t="shared" si="22"/>
        <v>1638786.8871000002</v>
      </c>
      <c r="N102" s="41">
        <v>0</v>
      </c>
      <c r="O102" s="40">
        <f t="shared" si="23"/>
        <v>34416</v>
      </c>
      <c r="P102" s="42">
        <f t="shared" si="18"/>
        <v>1673202.8871000002</v>
      </c>
      <c r="Q102" s="5">
        <v>21.51</v>
      </c>
    </row>
    <row r="103" spans="1:17" s="37" customFormat="1" ht="15" customHeight="1" x14ac:dyDescent="0.2">
      <c r="A103" s="5" t="s">
        <v>25</v>
      </c>
      <c r="B103" s="5" t="s">
        <v>26</v>
      </c>
      <c r="C103" s="6">
        <v>42520</v>
      </c>
      <c r="D103" s="5">
        <f t="shared" si="19"/>
        <v>5</v>
      </c>
      <c r="E103" s="5">
        <f t="shared" si="20"/>
        <v>23</v>
      </c>
      <c r="F103" s="5">
        <v>21.54</v>
      </c>
      <c r="G103" s="40">
        <v>76187.210000000006</v>
      </c>
      <c r="H103" s="41">
        <f t="shared" si="16"/>
        <v>1641072.5034</v>
      </c>
      <c r="I103" s="42">
        <v>0</v>
      </c>
      <c r="J103" s="43">
        <v>0</v>
      </c>
      <c r="K103" s="44">
        <v>0</v>
      </c>
      <c r="L103" s="44">
        <v>0</v>
      </c>
      <c r="M103" s="41">
        <f t="shared" si="22"/>
        <v>1641072.5034</v>
      </c>
      <c r="N103" s="41">
        <v>0</v>
      </c>
      <c r="O103" s="40">
        <f t="shared" si="23"/>
        <v>34464</v>
      </c>
      <c r="P103" s="42">
        <f t="shared" si="18"/>
        <v>1675536.5034</v>
      </c>
      <c r="Q103" s="5">
        <v>21.54</v>
      </c>
    </row>
    <row r="104" spans="1:17" s="37" customFormat="1" ht="15" customHeight="1" x14ac:dyDescent="0.2">
      <c r="A104" s="5" t="s">
        <v>25</v>
      </c>
      <c r="B104" s="5" t="s">
        <v>26</v>
      </c>
      <c r="C104" s="6">
        <v>42520</v>
      </c>
      <c r="D104" s="5">
        <f t="shared" si="19"/>
        <v>5</v>
      </c>
      <c r="E104" s="5">
        <f t="shared" si="20"/>
        <v>23</v>
      </c>
      <c r="F104" s="5">
        <v>21.51</v>
      </c>
      <c r="G104" s="40">
        <v>76187.210000000006</v>
      </c>
      <c r="H104" s="41">
        <f t="shared" si="16"/>
        <v>1638786.8871000002</v>
      </c>
      <c r="I104" s="42">
        <v>0</v>
      </c>
      <c r="J104" s="43">
        <v>0</v>
      </c>
      <c r="K104" s="44">
        <v>0</v>
      </c>
      <c r="L104" s="44">
        <v>0</v>
      </c>
      <c r="M104" s="41">
        <f t="shared" si="22"/>
        <v>1638786.8871000002</v>
      </c>
      <c r="N104" s="41">
        <v>0</v>
      </c>
      <c r="O104" s="40">
        <f t="shared" si="23"/>
        <v>34416</v>
      </c>
      <c r="P104" s="42">
        <f t="shared" si="18"/>
        <v>1673202.8871000002</v>
      </c>
      <c r="Q104" s="5">
        <v>21.51</v>
      </c>
    </row>
    <row r="105" spans="1:17" s="37" customFormat="1" ht="15" customHeight="1" x14ac:dyDescent="0.2">
      <c r="A105" s="5" t="s">
        <v>25</v>
      </c>
      <c r="B105" s="5" t="s">
        <v>26</v>
      </c>
      <c r="C105" s="6">
        <v>42520</v>
      </c>
      <c r="D105" s="5">
        <f t="shared" si="19"/>
        <v>5</v>
      </c>
      <c r="E105" s="5">
        <f t="shared" si="20"/>
        <v>23</v>
      </c>
      <c r="F105" s="5">
        <v>21.48</v>
      </c>
      <c r="G105" s="40">
        <v>76187.210000000006</v>
      </c>
      <c r="H105" s="41">
        <f t="shared" si="16"/>
        <v>1636501.2708000001</v>
      </c>
      <c r="I105" s="42">
        <v>0</v>
      </c>
      <c r="J105" s="43">
        <v>0</v>
      </c>
      <c r="K105" s="44">
        <v>0</v>
      </c>
      <c r="L105" s="44">
        <v>0</v>
      </c>
      <c r="M105" s="41">
        <f t="shared" si="22"/>
        <v>1636501.2708000001</v>
      </c>
      <c r="N105" s="41">
        <v>0</v>
      </c>
      <c r="O105" s="40">
        <f t="shared" si="23"/>
        <v>33872</v>
      </c>
      <c r="P105" s="42">
        <f t="shared" si="18"/>
        <v>1670373.2708000001</v>
      </c>
      <c r="Q105" s="5">
        <v>21.17</v>
      </c>
    </row>
    <row r="106" spans="1:17" s="37" customFormat="1" ht="15" customHeight="1" x14ac:dyDescent="0.2">
      <c r="A106" s="5" t="s">
        <v>22</v>
      </c>
      <c r="B106" s="8" t="s">
        <v>15</v>
      </c>
      <c r="C106" s="6">
        <v>42521</v>
      </c>
      <c r="D106" s="5">
        <f t="shared" si="19"/>
        <v>5</v>
      </c>
      <c r="E106" s="5">
        <f t="shared" si="20"/>
        <v>23</v>
      </c>
      <c r="F106" s="5">
        <v>23.22</v>
      </c>
      <c r="G106" s="40">
        <v>55500</v>
      </c>
      <c r="H106" s="41">
        <f t="shared" si="16"/>
        <v>1288710</v>
      </c>
      <c r="I106" s="42">
        <v>0</v>
      </c>
      <c r="J106" s="43">
        <v>0</v>
      </c>
      <c r="K106" s="44">
        <v>0</v>
      </c>
      <c r="L106" s="44">
        <v>0</v>
      </c>
      <c r="M106" s="41">
        <f t="shared" si="22"/>
        <v>1288710</v>
      </c>
      <c r="N106" s="41">
        <v>0</v>
      </c>
      <c r="O106" s="40">
        <v>0</v>
      </c>
      <c r="P106" s="42">
        <f t="shared" si="18"/>
        <v>1288710</v>
      </c>
      <c r="Q106" s="5">
        <v>23.17</v>
      </c>
    </row>
    <row r="107" spans="1:17" s="39" customFormat="1" ht="15" customHeight="1" x14ac:dyDescent="0.2">
      <c r="A107" s="45" t="s">
        <v>30</v>
      </c>
      <c r="B107" s="46" t="s">
        <v>15</v>
      </c>
      <c r="C107" s="52">
        <v>42521</v>
      </c>
      <c r="D107" s="5">
        <f t="shared" si="19"/>
        <v>5</v>
      </c>
      <c r="E107" s="5">
        <f t="shared" si="20"/>
        <v>23</v>
      </c>
      <c r="F107" s="45">
        <v>27.52</v>
      </c>
      <c r="G107" s="49">
        <v>54708.79</v>
      </c>
      <c r="H107" s="47">
        <f t="shared" si="16"/>
        <v>1505585.9007999999</v>
      </c>
      <c r="I107" s="48">
        <v>0</v>
      </c>
      <c r="J107" s="50">
        <v>0</v>
      </c>
      <c r="K107" s="51">
        <v>0</v>
      </c>
      <c r="L107" s="51">
        <v>0</v>
      </c>
      <c r="M107" s="47">
        <f t="shared" si="22"/>
        <v>1505585.9007999999</v>
      </c>
      <c r="N107" s="47">
        <v>0</v>
      </c>
      <c r="O107" s="49">
        <v>0</v>
      </c>
      <c r="P107" s="48">
        <f t="shared" si="18"/>
        <v>1505585.9007999999</v>
      </c>
      <c r="Q107" s="45">
        <v>27.52</v>
      </c>
    </row>
    <row r="108" spans="1:17" s="37" customFormat="1" ht="15" customHeight="1" x14ac:dyDescent="0.2">
      <c r="A108" s="5" t="s">
        <v>67</v>
      </c>
      <c r="B108" s="8" t="s">
        <v>15</v>
      </c>
      <c r="C108" s="6">
        <v>42521</v>
      </c>
      <c r="D108" s="5">
        <f t="shared" si="19"/>
        <v>5</v>
      </c>
      <c r="E108" s="5">
        <f t="shared" si="20"/>
        <v>23</v>
      </c>
      <c r="F108" s="5">
        <v>27.16</v>
      </c>
      <c r="G108" s="40">
        <v>55505.74</v>
      </c>
      <c r="H108" s="41">
        <f t="shared" si="16"/>
        <v>1507535.8984000001</v>
      </c>
      <c r="I108" s="42">
        <v>0</v>
      </c>
      <c r="J108" s="43">
        <v>0</v>
      </c>
      <c r="K108" s="44">
        <v>0</v>
      </c>
      <c r="L108" s="44">
        <v>0</v>
      </c>
      <c r="M108" s="41">
        <f t="shared" si="22"/>
        <v>1507535.8984000001</v>
      </c>
      <c r="N108" s="41">
        <v>0</v>
      </c>
      <c r="O108" s="40">
        <v>0</v>
      </c>
      <c r="P108" s="42">
        <f t="shared" si="18"/>
        <v>1507535.8984000001</v>
      </c>
      <c r="Q108" s="5">
        <v>27.1</v>
      </c>
    </row>
    <row r="109" spans="1:17" s="37" customFormat="1" ht="15" customHeight="1" x14ac:dyDescent="0.2">
      <c r="A109" s="5" t="s">
        <v>69</v>
      </c>
      <c r="B109" s="8" t="s">
        <v>15</v>
      </c>
      <c r="C109" s="6">
        <v>42521</v>
      </c>
      <c r="D109" s="5">
        <f t="shared" si="19"/>
        <v>5</v>
      </c>
      <c r="E109" s="5">
        <f t="shared" si="20"/>
        <v>23</v>
      </c>
      <c r="F109" s="5">
        <v>27.21</v>
      </c>
      <c r="G109" s="40">
        <v>44900</v>
      </c>
      <c r="H109" s="41">
        <f t="shared" si="16"/>
        <v>1221729</v>
      </c>
      <c r="I109" s="42">
        <v>0</v>
      </c>
      <c r="J109" s="43">
        <v>0</v>
      </c>
      <c r="K109" s="44">
        <v>0</v>
      </c>
      <c r="L109" s="44">
        <v>0</v>
      </c>
      <c r="M109" s="41">
        <f t="shared" si="22"/>
        <v>1221729</v>
      </c>
      <c r="N109" s="41">
        <v>0</v>
      </c>
      <c r="O109" s="40">
        <v>0</v>
      </c>
      <c r="P109" s="42">
        <f t="shared" si="18"/>
        <v>1221729</v>
      </c>
      <c r="Q109" s="5">
        <v>27.14</v>
      </c>
    </row>
    <row r="110" spans="1:17" s="37" customFormat="1" ht="15" customHeight="1" x14ac:dyDescent="0.2">
      <c r="A110" s="5" t="s">
        <v>21</v>
      </c>
      <c r="B110" s="8" t="s">
        <v>15</v>
      </c>
      <c r="C110" s="6">
        <v>42521</v>
      </c>
      <c r="D110" s="5">
        <f t="shared" si="19"/>
        <v>5</v>
      </c>
      <c r="E110" s="5">
        <f t="shared" si="20"/>
        <v>23</v>
      </c>
      <c r="F110" s="5">
        <v>29.43</v>
      </c>
      <c r="G110" s="40">
        <v>54600</v>
      </c>
      <c r="H110" s="41">
        <f t="shared" si="16"/>
        <v>1606878</v>
      </c>
      <c r="I110" s="42">
        <v>0</v>
      </c>
      <c r="J110" s="43">
        <v>0</v>
      </c>
      <c r="K110" s="44">
        <v>0</v>
      </c>
      <c r="L110" s="44">
        <v>0</v>
      </c>
      <c r="M110" s="41">
        <f t="shared" si="22"/>
        <v>1606878</v>
      </c>
      <c r="N110" s="41">
        <v>0</v>
      </c>
      <c r="O110" s="40">
        <v>0</v>
      </c>
      <c r="P110" s="42">
        <f t="shared" si="18"/>
        <v>1606878</v>
      </c>
      <c r="Q110" s="5">
        <v>29.29</v>
      </c>
    </row>
  </sheetData>
  <autoFilter ref="A1:Q110"/>
  <hyperlinks>
    <hyperlink ref="K1" r:id="rId1"/>
    <hyperlink ref="L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opLeftCell="C1" workbookViewId="0">
      <selection activeCell="E10" sqref="E10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s="37" customFormat="1" ht="15" customHeight="1" x14ac:dyDescent="0.2">
      <c r="A2" s="5" t="s">
        <v>69</v>
      </c>
      <c r="B2" s="5" t="s">
        <v>18</v>
      </c>
      <c r="C2" s="6">
        <v>42522</v>
      </c>
      <c r="D2" s="5">
        <f>MONTH(C2)</f>
        <v>6</v>
      </c>
      <c r="E2" s="5">
        <f>WEEKNUM(C2)</f>
        <v>23</v>
      </c>
      <c r="F2" s="5">
        <v>24.64</v>
      </c>
      <c r="G2" s="40">
        <v>50300</v>
      </c>
      <c r="H2" s="41">
        <v>1239392</v>
      </c>
      <c r="I2" s="42">
        <v>0</v>
      </c>
      <c r="J2" s="43">
        <v>0</v>
      </c>
      <c r="K2" s="44">
        <v>0</v>
      </c>
      <c r="L2" s="44">
        <v>0</v>
      </c>
      <c r="M2" s="41">
        <f>L2+K2+J2+I2+H2</f>
        <v>1239392</v>
      </c>
      <c r="N2" s="41">
        <v>0</v>
      </c>
      <c r="O2" s="40">
        <v>0</v>
      </c>
      <c r="P2" s="42">
        <f>SUM(M2:O2)</f>
        <v>1239392</v>
      </c>
      <c r="Q2" s="5">
        <v>24.64</v>
      </c>
    </row>
    <row r="3" spans="1:17" x14ac:dyDescent="0.25">
      <c r="A3" s="5" t="s">
        <v>33</v>
      </c>
      <c r="B3" s="5" t="s">
        <v>18</v>
      </c>
      <c r="C3" s="6">
        <v>42522</v>
      </c>
      <c r="D3" s="5">
        <f t="shared" ref="D3:D65" si="0">MONTH(C3)</f>
        <v>6</v>
      </c>
      <c r="E3" s="5">
        <f t="shared" ref="E3:E65" si="1">WEEKNUM(C3)</f>
        <v>23</v>
      </c>
      <c r="F3" s="5">
        <v>27.61</v>
      </c>
      <c r="G3" s="40">
        <v>49345.37</v>
      </c>
      <c r="H3" s="41">
        <v>1365879.8416000002</v>
      </c>
      <c r="I3" s="42">
        <v>0</v>
      </c>
      <c r="J3" s="43">
        <v>0</v>
      </c>
      <c r="K3" s="44">
        <v>0</v>
      </c>
      <c r="L3" s="44">
        <v>0</v>
      </c>
      <c r="M3" s="41">
        <f t="shared" ref="M3:M65" si="2">L3+K3+J3+I3+H3</f>
        <v>1365879.8416000002</v>
      </c>
      <c r="N3" s="41">
        <v>0</v>
      </c>
      <c r="O3" s="40">
        <v>0</v>
      </c>
      <c r="P3" s="42">
        <f t="shared" ref="P3:P65" si="3">SUM(M3:O3)</f>
        <v>1365879.8416000002</v>
      </c>
      <c r="Q3" s="5">
        <v>27.61</v>
      </c>
    </row>
    <row r="4" spans="1:17" x14ac:dyDescent="0.25">
      <c r="A4" s="5" t="s">
        <v>33</v>
      </c>
      <c r="B4" s="5" t="s">
        <v>18</v>
      </c>
      <c r="C4" s="6">
        <v>42522</v>
      </c>
      <c r="D4" s="5">
        <f t="shared" si="0"/>
        <v>6</v>
      </c>
      <c r="E4" s="5">
        <f t="shared" si="1"/>
        <v>23</v>
      </c>
      <c r="F4" s="5">
        <v>18.649999999999999</v>
      </c>
      <c r="G4" s="40">
        <v>48500</v>
      </c>
      <c r="H4" s="41">
        <v>907192.49999999988</v>
      </c>
      <c r="I4" s="42">
        <v>0</v>
      </c>
      <c r="J4" s="43">
        <v>0</v>
      </c>
      <c r="K4" s="44">
        <v>0</v>
      </c>
      <c r="L4" s="44">
        <v>0</v>
      </c>
      <c r="M4" s="41">
        <f t="shared" si="2"/>
        <v>907192.49999999988</v>
      </c>
      <c r="N4" s="41">
        <v>0</v>
      </c>
      <c r="O4" s="40">
        <v>0</v>
      </c>
      <c r="P4" s="42">
        <f t="shared" si="3"/>
        <v>907192.49999999988</v>
      </c>
      <c r="Q4" s="5">
        <v>18.649999999999999</v>
      </c>
    </row>
    <row r="5" spans="1:17" x14ac:dyDescent="0.25">
      <c r="A5" s="5" t="s">
        <v>33</v>
      </c>
      <c r="B5" s="5" t="s">
        <v>15</v>
      </c>
      <c r="C5" s="6">
        <v>42523</v>
      </c>
      <c r="D5" s="5">
        <f t="shared" si="0"/>
        <v>6</v>
      </c>
      <c r="E5" s="5">
        <f t="shared" si="1"/>
        <v>23</v>
      </c>
      <c r="F5" s="5">
        <v>27.91</v>
      </c>
      <c r="G5" s="40">
        <v>54500</v>
      </c>
      <c r="H5" s="41">
        <v>1523547.5</v>
      </c>
      <c r="I5" s="42">
        <v>0</v>
      </c>
      <c r="J5" s="43">
        <v>0</v>
      </c>
      <c r="K5" s="44">
        <v>0</v>
      </c>
      <c r="L5" s="44">
        <v>0</v>
      </c>
      <c r="M5" s="41">
        <f t="shared" si="2"/>
        <v>1523547.5</v>
      </c>
      <c r="N5" s="41">
        <v>0</v>
      </c>
      <c r="O5" s="40">
        <v>0</v>
      </c>
      <c r="P5" s="42">
        <f t="shared" si="3"/>
        <v>1523547.5</v>
      </c>
      <c r="Q5" s="5">
        <v>27.91</v>
      </c>
    </row>
    <row r="6" spans="1:17" x14ac:dyDescent="0.25">
      <c r="A6" s="5" t="s">
        <v>33</v>
      </c>
      <c r="B6" s="5" t="s">
        <v>15</v>
      </c>
      <c r="C6" s="6">
        <v>42523</v>
      </c>
      <c r="D6" s="5">
        <f t="shared" si="0"/>
        <v>6</v>
      </c>
      <c r="E6" s="5">
        <f t="shared" si="1"/>
        <v>23</v>
      </c>
      <c r="F6" s="5">
        <v>29.28</v>
      </c>
      <c r="G6" s="40">
        <v>50288.02</v>
      </c>
      <c r="H6" s="41">
        <v>1476707.7072999999</v>
      </c>
      <c r="I6" s="42">
        <v>0</v>
      </c>
      <c r="J6" s="43">
        <v>0</v>
      </c>
      <c r="K6" s="44">
        <v>0</v>
      </c>
      <c r="L6" s="44">
        <v>0</v>
      </c>
      <c r="M6" s="41">
        <f t="shared" si="2"/>
        <v>1476707.7072999999</v>
      </c>
      <c r="N6" s="41">
        <v>0</v>
      </c>
      <c r="O6" s="40">
        <v>0</v>
      </c>
      <c r="P6" s="42">
        <f t="shared" si="3"/>
        <v>1476707.7072999999</v>
      </c>
      <c r="Q6" s="5">
        <v>29.28</v>
      </c>
    </row>
    <row r="7" spans="1:17" x14ac:dyDescent="0.25">
      <c r="A7" s="5" t="s">
        <v>33</v>
      </c>
      <c r="B7" s="5" t="s">
        <v>18</v>
      </c>
      <c r="C7" s="6">
        <v>42523</v>
      </c>
      <c r="D7" s="5">
        <f t="shared" si="0"/>
        <v>6</v>
      </c>
      <c r="E7" s="5">
        <f t="shared" si="1"/>
        <v>23</v>
      </c>
      <c r="F7" s="5">
        <v>19.37</v>
      </c>
      <c r="G7" s="40">
        <v>50300</v>
      </c>
      <c r="H7" s="41">
        <v>978335</v>
      </c>
      <c r="I7" s="42">
        <v>0</v>
      </c>
      <c r="J7" s="43">
        <v>0</v>
      </c>
      <c r="K7" s="44">
        <v>0</v>
      </c>
      <c r="L7" s="44">
        <v>0</v>
      </c>
      <c r="M7" s="41">
        <f t="shared" si="2"/>
        <v>978335</v>
      </c>
      <c r="N7" s="41">
        <v>0</v>
      </c>
      <c r="O7" s="40">
        <v>0</v>
      </c>
      <c r="P7" s="42">
        <f t="shared" si="3"/>
        <v>978335</v>
      </c>
      <c r="Q7" s="5">
        <v>19.37</v>
      </c>
    </row>
    <row r="8" spans="1:17" x14ac:dyDescent="0.25">
      <c r="A8" s="5" t="s">
        <v>33</v>
      </c>
      <c r="B8" s="5" t="s">
        <v>18</v>
      </c>
      <c r="C8" s="6">
        <v>42523</v>
      </c>
      <c r="D8" s="5">
        <f t="shared" si="0"/>
        <v>6</v>
      </c>
      <c r="E8" s="5">
        <f t="shared" si="1"/>
        <v>23</v>
      </c>
      <c r="F8" s="5">
        <v>27.72</v>
      </c>
      <c r="G8" s="40">
        <v>50300</v>
      </c>
      <c r="H8" s="41">
        <v>1396328</v>
      </c>
      <c r="I8" s="42">
        <v>0</v>
      </c>
      <c r="J8" s="43">
        <v>0</v>
      </c>
      <c r="K8" s="44">
        <v>0</v>
      </c>
      <c r="L8" s="44">
        <v>0</v>
      </c>
      <c r="M8" s="41">
        <f t="shared" si="2"/>
        <v>1396328</v>
      </c>
      <c r="N8" s="41">
        <v>0</v>
      </c>
      <c r="O8" s="40">
        <v>0</v>
      </c>
      <c r="P8" s="42">
        <f t="shared" si="3"/>
        <v>1396328</v>
      </c>
      <c r="Q8" s="5">
        <v>27.72</v>
      </c>
    </row>
    <row r="9" spans="1:17" x14ac:dyDescent="0.25">
      <c r="A9" s="5" t="s">
        <v>12</v>
      </c>
      <c r="B9" s="5" t="s">
        <v>13</v>
      </c>
      <c r="C9" s="6">
        <v>42523</v>
      </c>
      <c r="D9" s="5">
        <f t="shared" si="0"/>
        <v>6</v>
      </c>
      <c r="E9" s="5">
        <f t="shared" si="1"/>
        <v>23</v>
      </c>
      <c r="F9" s="5">
        <v>27.5</v>
      </c>
      <c r="G9" s="40">
        <v>50000</v>
      </c>
      <c r="H9" s="41">
        <v>1380000</v>
      </c>
      <c r="I9" s="42">
        <v>0</v>
      </c>
      <c r="J9" s="43">
        <v>0</v>
      </c>
      <c r="K9" s="44">
        <v>0</v>
      </c>
      <c r="L9" s="44">
        <v>0</v>
      </c>
      <c r="M9" s="41">
        <f t="shared" si="2"/>
        <v>1380000</v>
      </c>
      <c r="N9" s="41">
        <f>2%*M9</f>
        <v>27600</v>
      </c>
      <c r="O9" s="40">
        <v>0</v>
      </c>
      <c r="P9" s="42">
        <f t="shared" si="3"/>
        <v>1407600</v>
      </c>
      <c r="Q9" s="5">
        <v>27.5</v>
      </c>
    </row>
    <row r="10" spans="1:17" x14ac:dyDescent="0.25">
      <c r="A10" s="5" t="s">
        <v>25</v>
      </c>
      <c r="B10" s="5" t="s">
        <v>26</v>
      </c>
      <c r="C10" s="6">
        <v>42524</v>
      </c>
      <c r="D10" s="5">
        <f t="shared" si="0"/>
        <v>6</v>
      </c>
      <c r="E10" s="5">
        <f t="shared" si="1"/>
        <v>23</v>
      </c>
      <c r="F10" s="5">
        <v>21.51</v>
      </c>
      <c r="G10" s="40">
        <v>76186.11</v>
      </c>
      <c r="H10" s="41">
        <v>1638763.2261000001</v>
      </c>
      <c r="I10" s="42">
        <v>0</v>
      </c>
      <c r="J10" s="43">
        <v>0</v>
      </c>
      <c r="K10" s="44">
        <v>0</v>
      </c>
      <c r="L10" s="44">
        <v>0</v>
      </c>
      <c r="M10" s="41">
        <f t="shared" si="2"/>
        <v>1638763.2261000001</v>
      </c>
      <c r="N10" s="41">
        <v>0</v>
      </c>
      <c r="O10" s="40">
        <f>1600*Q10</f>
        <v>34416</v>
      </c>
      <c r="P10" s="42">
        <f t="shared" si="3"/>
        <v>1673179.2261000001</v>
      </c>
      <c r="Q10" s="5">
        <v>21.51</v>
      </c>
    </row>
    <row r="11" spans="1:17" x14ac:dyDescent="0.25">
      <c r="A11" s="5" t="s">
        <v>25</v>
      </c>
      <c r="B11" s="5" t="s">
        <v>26</v>
      </c>
      <c r="C11" s="6">
        <v>42524</v>
      </c>
      <c r="D11" s="5">
        <f t="shared" si="0"/>
        <v>6</v>
      </c>
      <c r="E11" s="5">
        <f t="shared" si="1"/>
        <v>23</v>
      </c>
      <c r="F11" s="5">
        <v>21.52</v>
      </c>
      <c r="G11" s="40">
        <v>76186.11</v>
      </c>
      <c r="H11" s="41">
        <v>1639525.0872</v>
      </c>
      <c r="I11" s="42">
        <v>0</v>
      </c>
      <c r="J11" s="43">
        <v>0</v>
      </c>
      <c r="K11" s="44">
        <v>0</v>
      </c>
      <c r="L11" s="44">
        <v>0</v>
      </c>
      <c r="M11" s="41">
        <f t="shared" si="2"/>
        <v>1639525.0872</v>
      </c>
      <c r="N11" s="41">
        <v>0</v>
      </c>
      <c r="O11" s="40">
        <f t="shared" ref="O11:O15" si="4">1600*Q11</f>
        <v>34432</v>
      </c>
      <c r="P11" s="42">
        <f t="shared" si="3"/>
        <v>1673957.0872</v>
      </c>
      <c r="Q11" s="5">
        <v>21.52</v>
      </c>
    </row>
    <row r="12" spans="1:17" x14ac:dyDescent="0.25">
      <c r="A12" s="5" t="s">
        <v>25</v>
      </c>
      <c r="B12" s="5" t="s">
        <v>26</v>
      </c>
      <c r="C12" s="6">
        <v>42524</v>
      </c>
      <c r="D12" s="5">
        <f t="shared" si="0"/>
        <v>6</v>
      </c>
      <c r="E12" s="5">
        <f t="shared" si="1"/>
        <v>23</v>
      </c>
      <c r="F12" s="5">
        <v>21.54</v>
      </c>
      <c r="G12" s="40">
        <v>76186.11</v>
      </c>
      <c r="H12" s="41">
        <v>1641048.8093999999</v>
      </c>
      <c r="I12" s="42">
        <v>0</v>
      </c>
      <c r="J12" s="43">
        <v>0</v>
      </c>
      <c r="K12" s="44">
        <v>0</v>
      </c>
      <c r="L12" s="44">
        <v>0</v>
      </c>
      <c r="M12" s="41">
        <f t="shared" si="2"/>
        <v>1641048.8093999999</v>
      </c>
      <c r="N12" s="41">
        <v>0</v>
      </c>
      <c r="O12" s="40">
        <f t="shared" si="4"/>
        <v>34464</v>
      </c>
      <c r="P12" s="42">
        <f t="shared" si="3"/>
        <v>1675512.8093999999</v>
      </c>
      <c r="Q12" s="5">
        <v>21.54</v>
      </c>
    </row>
    <row r="13" spans="1:17" x14ac:dyDescent="0.25">
      <c r="A13" s="5" t="s">
        <v>25</v>
      </c>
      <c r="B13" s="5" t="s">
        <v>26</v>
      </c>
      <c r="C13" s="6">
        <v>42524</v>
      </c>
      <c r="D13" s="5">
        <f t="shared" si="0"/>
        <v>6</v>
      </c>
      <c r="E13" s="5">
        <f t="shared" si="1"/>
        <v>23</v>
      </c>
      <c r="F13" s="5">
        <v>21.53</v>
      </c>
      <c r="G13" s="40">
        <v>76186.11</v>
      </c>
      <c r="H13" s="41">
        <v>1640286.9483</v>
      </c>
      <c r="I13" s="42">
        <v>0</v>
      </c>
      <c r="J13" s="43">
        <v>0</v>
      </c>
      <c r="K13" s="44">
        <v>0</v>
      </c>
      <c r="L13" s="44">
        <v>0</v>
      </c>
      <c r="M13" s="41">
        <f t="shared" si="2"/>
        <v>1640286.9483</v>
      </c>
      <c r="N13" s="41">
        <v>0</v>
      </c>
      <c r="O13" s="40">
        <f t="shared" si="4"/>
        <v>34448</v>
      </c>
      <c r="P13" s="42">
        <f t="shared" si="3"/>
        <v>1674734.9483</v>
      </c>
      <c r="Q13" s="5">
        <v>21.53</v>
      </c>
    </row>
    <row r="14" spans="1:17" x14ac:dyDescent="0.25">
      <c r="A14" s="5" t="s">
        <v>25</v>
      </c>
      <c r="B14" s="5" t="s">
        <v>26</v>
      </c>
      <c r="C14" s="6">
        <v>42524</v>
      </c>
      <c r="D14" s="5">
        <f t="shared" si="0"/>
        <v>6</v>
      </c>
      <c r="E14" s="5">
        <f t="shared" si="1"/>
        <v>23</v>
      </c>
      <c r="F14" s="5">
        <v>21.54</v>
      </c>
      <c r="G14" s="40">
        <v>76186.11</v>
      </c>
      <c r="H14" s="41">
        <v>1641048.8093999999</v>
      </c>
      <c r="I14" s="42">
        <v>0</v>
      </c>
      <c r="J14" s="43">
        <v>0</v>
      </c>
      <c r="K14" s="44">
        <v>0</v>
      </c>
      <c r="L14" s="44">
        <v>0</v>
      </c>
      <c r="M14" s="41">
        <f t="shared" si="2"/>
        <v>1641048.8093999999</v>
      </c>
      <c r="N14" s="41">
        <v>0</v>
      </c>
      <c r="O14" s="40">
        <f t="shared" si="4"/>
        <v>34464</v>
      </c>
      <c r="P14" s="42">
        <f t="shared" si="3"/>
        <v>1675512.8093999999</v>
      </c>
      <c r="Q14" s="5">
        <v>21.54</v>
      </c>
    </row>
    <row r="15" spans="1:17" x14ac:dyDescent="0.25">
      <c r="A15" s="5" t="s">
        <v>25</v>
      </c>
      <c r="B15" s="5" t="s">
        <v>26</v>
      </c>
      <c r="C15" s="6">
        <v>42524</v>
      </c>
      <c r="D15" s="5">
        <f t="shared" si="0"/>
        <v>6</v>
      </c>
      <c r="E15" s="5">
        <f t="shared" si="1"/>
        <v>23</v>
      </c>
      <c r="F15" s="5">
        <v>21.5</v>
      </c>
      <c r="G15" s="40">
        <v>76186.11</v>
      </c>
      <c r="H15" s="41">
        <v>1638001.365</v>
      </c>
      <c r="I15" s="42">
        <v>0</v>
      </c>
      <c r="J15" s="43">
        <v>0</v>
      </c>
      <c r="K15" s="44">
        <v>0</v>
      </c>
      <c r="L15" s="44">
        <v>0</v>
      </c>
      <c r="M15" s="41">
        <f t="shared" si="2"/>
        <v>1638001.365</v>
      </c>
      <c r="N15" s="41">
        <v>0</v>
      </c>
      <c r="O15" s="40">
        <f t="shared" si="4"/>
        <v>34400</v>
      </c>
      <c r="P15" s="42">
        <f t="shared" si="3"/>
        <v>1672401.365</v>
      </c>
      <c r="Q15" s="5">
        <v>21.5</v>
      </c>
    </row>
    <row r="16" spans="1:17" x14ac:dyDescent="0.25">
      <c r="A16" s="5" t="s">
        <v>21</v>
      </c>
      <c r="B16" s="5" t="s">
        <v>15</v>
      </c>
      <c r="C16" s="6">
        <v>42524</v>
      </c>
      <c r="D16" s="5">
        <f t="shared" si="0"/>
        <v>6</v>
      </c>
      <c r="E16" s="5">
        <f t="shared" si="1"/>
        <v>23</v>
      </c>
      <c r="F16" s="5">
        <v>26.96</v>
      </c>
      <c r="G16" s="40">
        <v>53385.18</v>
      </c>
      <c r="H16" s="41">
        <v>1441399.86</v>
      </c>
      <c r="I16" s="42">
        <v>0</v>
      </c>
      <c r="J16" s="43">
        <v>0</v>
      </c>
      <c r="K16" s="44">
        <v>0</v>
      </c>
      <c r="L16" s="44">
        <v>0</v>
      </c>
      <c r="M16" s="41">
        <f t="shared" si="2"/>
        <v>1441399.86</v>
      </c>
      <c r="N16" s="41">
        <v>0</v>
      </c>
      <c r="O16" s="40">
        <v>0</v>
      </c>
      <c r="P16" s="42">
        <f t="shared" si="3"/>
        <v>1441399.86</v>
      </c>
      <c r="Q16" s="5">
        <v>26.96</v>
      </c>
    </row>
    <row r="17" spans="1:17" x14ac:dyDescent="0.25">
      <c r="A17" s="5" t="s">
        <v>22</v>
      </c>
      <c r="B17" s="5" t="s">
        <v>15</v>
      </c>
      <c r="C17" s="6">
        <v>42524</v>
      </c>
      <c r="D17" s="5">
        <f t="shared" si="0"/>
        <v>6</v>
      </c>
      <c r="E17" s="5">
        <f t="shared" si="1"/>
        <v>23</v>
      </c>
      <c r="F17" s="5">
        <v>30.71</v>
      </c>
      <c r="G17" s="40">
        <v>54759.49</v>
      </c>
      <c r="H17" s="41">
        <v>1686044.6971</v>
      </c>
      <c r="I17" s="42">
        <v>0</v>
      </c>
      <c r="J17" s="43">
        <v>0</v>
      </c>
      <c r="K17" s="44">
        <v>0</v>
      </c>
      <c r="L17" s="44">
        <v>0</v>
      </c>
      <c r="M17" s="41">
        <f t="shared" si="2"/>
        <v>1686044.6971</v>
      </c>
      <c r="N17" s="41">
        <v>0</v>
      </c>
      <c r="O17" s="40">
        <v>0</v>
      </c>
      <c r="P17" s="42">
        <f t="shared" si="3"/>
        <v>1686044.6971</v>
      </c>
      <c r="Q17" s="5">
        <v>30.71</v>
      </c>
    </row>
    <row r="18" spans="1:17" x14ac:dyDescent="0.25">
      <c r="A18" s="5" t="s">
        <v>14</v>
      </c>
      <c r="B18" s="5" t="s">
        <v>15</v>
      </c>
      <c r="C18" s="6">
        <v>42525</v>
      </c>
      <c r="D18" s="5">
        <f t="shared" si="0"/>
        <v>6</v>
      </c>
      <c r="E18" s="5">
        <f t="shared" si="1"/>
        <v>23</v>
      </c>
      <c r="F18" s="5">
        <v>30.89</v>
      </c>
      <c r="G18" s="40">
        <v>56000</v>
      </c>
      <c r="H18" s="41">
        <v>1733480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2"/>
        <v>1733480</v>
      </c>
      <c r="N18" s="41">
        <v>0</v>
      </c>
      <c r="O18" s="40">
        <v>0</v>
      </c>
      <c r="P18" s="42">
        <f t="shared" si="3"/>
        <v>1733480</v>
      </c>
      <c r="Q18" s="5">
        <v>30.89</v>
      </c>
    </row>
    <row r="19" spans="1:17" x14ac:dyDescent="0.25">
      <c r="A19" s="5" t="s">
        <v>16</v>
      </c>
      <c r="B19" s="5" t="s">
        <v>15</v>
      </c>
      <c r="C19" s="6">
        <v>42525</v>
      </c>
      <c r="D19" s="5">
        <f t="shared" si="0"/>
        <v>6</v>
      </c>
      <c r="E19" s="5">
        <f t="shared" si="1"/>
        <v>23</v>
      </c>
      <c r="F19" s="5">
        <v>27.36</v>
      </c>
      <c r="G19" s="40">
        <v>53500</v>
      </c>
      <c r="H19" s="41">
        <v>1470180</v>
      </c>
      <c r="I19" s="42">
        <v>0</v>
      </c>
      <c r="J19" s="43">
        <v>0</v>
      </c>
      <c r="K19" s="44">
        <v>0</v>
      </c>
      <c r="L19" s="44">
        <v>0</v>
      </c>
      <c r="M19" s="41">
        <f t="shared" si="2"/>
        <v>1470180</v>
      </c>
      <c r="N19" s="41">
        <v>0</v>
      </c>
      <c r="O19" s="40">
        <v>0</v>
      </c>
      <c r="P19" s="42">
        <f t="shared" si="3"/>
        <v>1470180</v>
      </c>
      <c r="Q19" s="5">
        <v>27.36</v>
      </c>
    </row>
    <row r="20" spans="1:17" x14ac:dyDescent="0.25">
      <c r="A20" s="5" t="s">
        <v>21</v>
      </c>
      <c r="B20" s="5" t="s">
        <v>15</v>
      </c>
      <c r="C20" s="6">
        <v>42525</v>
      </c>
      <c r="D20" s="5">
        <f t="shared" si="0"/>
        <v>6</v>
      </c>
      <c r="E20" s="5">
        <f t="shared" si="1"/>
        <v>23</v>
      </c>
      <c r="F20" s="5">
        <v>31.06</v>
      </c>
      <c r="G20" s="40">
        <v>53000</v>
      </c>
      <c r="H20" s="41">
        <v>1649890</v>
      </c>
      <c r="I20" s="42">
        <v>0</v>
      </c>
      <c r="J20" s="43">
        <v>0</v>
      </c>
      <c r="K20" s="44">
        <v>0</v>
      </c>
      <c r="L20" s="44">
        <v>0</v>
      </c>
      <c r="M20" s="41">
        <f t="shared" si="2"/>
        <v>1649890</v>
      </c>
      <c r="N20" s="41">
        <v>0</v>
      </c>
      <c r="O20" s="40">
        <v>0</v>
      </c>
      <c r="P20" s="42">
        <f t="shared" si="3"/>
        <v>1649890</v>
      </c>
      <c r="Q20" s="5">
        <v>31.06</v>
      </c>
    </row>
    <row r="21" spans="1:17" x14ac:dyDescent="0.25">
      <c r="A21" s="5" t="s">
        <v>30</v>
      </c>
      <c r="B21" s="5" t="s">
        <v>15</v>
      </c>
      <c r="C21" s="6">
        <v>42525</v>
      </c>
      <c r="D21" s="5">
        <f t="shared" si="0"/>
        <v>6</v>
      </c>
      <c r="E21" s="5">
        <f t="shared" si="1"/>
        <v>23</v>
      </c>
      <c r="F21" s="5">
        <v>19.920000000000002</v>
      </c>
      <c r="G21" s="40">
        <v>54600</v>
      </c>
      <c r="H21" s="41">
        <v>1091454</v>
      </c>
      <c r="I21" s="42">
        <v>0</v>
      </c>
      <c r="J21" s="43">
        <v>0</v>
      </c>
      <c r="K21" s="44">
        <v>0</v>
      </c>
      <c r="L21" s="44">
        <v>0</v>
      </c>
      <c r="M21" s="41">
        <f t="shared" si="2"/>
        <v>1091454</v>
      </c>
      <c r="N21" s="41">
        <v>0</v>
      </c>
      <c r="O21" s="40">
        <v>0</v>
      </c>
      <c r="P21" s="42">
        <f t="shared" si="3"/>
        <v>1091454</v>
      </c>
      <c r="Q21" s="5">
        <v>19.920000000000002</v>
      </c>
    </row>
    <row r="22" spans="1:17" x14ac:dyDescent="0.25">
      <c r="A22" s="5" t="s">
        <v>68</v>
      </c>
      <c r="B22" s="5" t="s">
        <v>18</v>
      </c>
      <c r="C22" s="6">
        <v>42525</v>
      </c>
      <c r="D22" s="5">
        <f t="shared" si="0"/>
        <v>6</v>
      </c>
      <c r="E22" s="5">
        <f t="shared" si="1"/>
        <v>23</v>
      </c>
      <c r="F22" s="5">
        <v>21.4</v>
      </c>
      <c r="G22" s="40">
        <v>51000</v>
      </c>
      <c r="H22" s="41">
        <v>1094460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2"/>
        <v>1094460</v>
      </c>
      <c r="N22" s="41">
        <v>0</v>
      </c>
      <c r="O22" s="40">
        <v>0</v>
      </c>
      <c r="P22" s="42">
        <f t="shared" si="3"/>
        <v>1094460</v>
      </c>
      <c r="Q22" s="5">
        <v>21.4</v>
      </c>
    </row>
    <row r="23" spans="1:17" x14ac:dyDescent="0.25">
      <c r="A23" s="5" t="s">
        <v>30</v>
      </c>
      <c r="B23" s="5" t="s">
        <v>15</v>
      </c>
      <c r="C23" s="6">
        <v>42160</v>
      </c>
      <c r="D23" s="5">
        <f t="shared" si="0"/>
        <v>6</v>
      </c>
      <c r="E23" s="5">
        <f t="shared" si="1"/>
        <v>23</v>
      </c>
      <c r="F23" s="5">
        <v>28.63</v>
      </c>
      <c r="G23" s="40">
        <v>53000</v>
      </c>
      <c r="H23" s="41">
        <v>1527460</v>
      </c>
      <c r="I23" s="42">
        <v>0</v>
      </c>
      <c r="J23" s="43">
        <v>0</v>
      </c>
      <c r="K23" s="44">
        <v>0</v>
      </c>
      <c r="L23" s="44">
        <v>0</v>
      </c>
      <c r="M23" s="41">
        <f t="shared" si="2"/>
        <v>1527460</v>
      </c>
      <c r="N23" s="41">
        <v>0</v>
      </c>
      <c r="O23" s="40">
        <v>0</v>
      </c>
      <c r="P23" s="42">
        <f t="shared" si="3"/>
        <v>1527460</v>
      </c>
      <c r="Q23" s="5">
        <v>28.63</v>
      </c>
    </row>
    <row r="24" spans="1:17" x14ac:dyDescent="0.25">
      <c r="A24" s="5" t="s">
        <v>21</v>
      </c>
      <c r="B24" s="5" t="s">
        <v>15</v>
      </c>
      <c r="C24" s="6">
        <v>42160</v>
      </c>
      <c r="D24" s="5">
        <f t="shared" si="0"/>
        <v>6</v>
      </c>
      <c r="E24" s="5">
        <f t="shared" si="1"/>
        <v>23</v>
      </c>
      <c r="F24" s="5">
        <v>29.28</v>
      </c>
      <c r="G24" s="40">
        <v>53000</v>
      </c>
      <c r="H24" s="41">
        <v>1554225</v>
      </c>
      <c r="I24" s="42">
        <v>0</v>
      </c>
      <c r="J24" s="43">
        <v>0</v>
      </c>
      <c r="K24" s="44">
        <v>0</v>
      </c>
      <c r="L24" s="44">
        <v>0</v>
      </c>
      <c r="M24" s="41">
        <f t="shared" si="2"/>
        <v>1554225</v>
      </c>
      <c r="N24" s="41">
        <v>0</v>
      </c>
      <c r="O24" s="40">
        <v>0</v>
      </c>
      <c r="P24" s="42">
        <f t="shared" si="3"/>
        <v>1554225</v>
      </c>
      <c r="Q24" s="5">
        <v>29.28</v>
      </c>
    </row>
    <row r="25" spans="1:17" x14ac:dyDescent="0.25">
      <c r="A25" s="5" t="s">
        <v>33</v>
      </c>
      <c r="B25" s="5" t="s">
        <v>15</v>
      </c>
      <c r="C25" s="6">
        <v>42160</v>
      </c>
      <c r="D25" s="5">
        <f t="shared" si="0"/>
        <v>6</v>
      </c>
      <c r="E25" s="5">
        <f t="shared" si="1"/>
        <v>23</v>
      </c>
      <c r="F25" s="5">
        <v>38.11</v>
      </c>
      <c r="G25" s="40">
        <v>55800</v>
      </c>
      <c r="H25" s="41">
        <v>2130444</v>
      </c>
      <c r="I25" s="42">
        <v>0</v>
      </c>
      <c r="J25" s="43">
        <v>0</v>
      </c>
      <c r="K25" s="44">
        <v>0</v>
      </c>
      <c r="L25" s="44">
        <v>0</v>
      </c>
      <c r="M25" s="41">
        <f t="shared" si="2"/>
        <v>2130444</v>
      </c>
      <c r="N25" s="41">
        <v>0</v>
      </c>
      <c r="O25" s="40">
        <v>0</v>
      </c>
      <c r="P25" s="42">
        <f t="shared" si="3"/>
        <v>2130444</v>
      </c>
      <c r="Q25" s="5">
        <v>38.11</v>
      </c>
    </row>
    <row r="26" spans="1:17" x14ac:dyDescent="0.25">
      <c r="A26" s="5" t="s">
        <v>14</v>
      </c>
      <c r="B26" s="5" t="s">
        <v>15</v>
      </c>
      <c r="C26" s="6">
        <v>42160</v>
      </c>
      <c r="D26" s="5">
        <f t="shared" si="0"/>
        <v>6</v>
      </c>
      <c r="E26" s="5">
        <f t="shared" si="1"/>
        <v>23</v>
      </c>
      <c r="F26" s="5">
        <v>30.55</v>
      </c>
      <c r="G26" s="40">
        <v>56000</v>
      </c>
      <c r="H26" s="41">
        <v>1719480</v>
      </c>
      <c r="I26" s="42">
        <v>0</v>
      </c>
      <c r="J26" s="43">
        <v>0</v>
      </c>
      <c r="K26" s="44">
        <v>0</v>
      </c>
      <c r="L26" s="44">
        <v>0</v>
      </c>
      <c r="M26" s="41">
        <f t="shared" si="2"/>
        <v>1719480</v>
      </c>
      <c r="N26" s="41">
        <v>0</v>
      </c>
      <c r="O26" s="40">
        <v>0</v>
      </c>
      <c r="P26" s="42">
        <f t="shared" si="3"/>
        <v>1719480</v>
      </c>
      <c r="Q26" s="5">
        <v>30.55</v>
      </c>
    </row>
    <row r="27" spans="1:17" x14ac:dyDescent="0.25">
      <c r="A27" s="5" t="s">
        <v>65</v>
      </c>
      <c r="B27" s="5" t="s">
        <v>66</v>
      </c>
      <c r="C27" s="6">
        <v>42527</v>
      </c>
      <c r="D27" s="5">
        <f t="shared" si="0"/>
        <v>6</v>
      </c>
      <c r="E27" s="5">
        <f t="shared" si="1"/>
        <v>24</v>
      </c>
      <c r="F27" s="5">
        <v>19.39</v>
      </c>
      <c r="G27" s="40">
        <v>50860.57</v>
      </c>
      <c r="H27" s="41">
        <v>986186.4523</v>
      </c>
      <c r="I27" s="42">
        <v>0</v>
      </c>
      <c r="J27" s="43">
        <f>12.5%*H27</f>
        <v>123273.3065375</v>
      </c>
      <c r="K27" s="44">
        <f>2%*J27</f>
        <v>2465.46613075</v>
      </c>
      <c r="L27" s="44">
        <f>1%*J27</f>
        <v>1232.733065375</v>
      </c>
      <c r="M27" s="41">
        <f t="shared" si="2"/>
        <v>1113157.958033625</v>
      </c>
      <c r="N27" s="41">
        <v>0</v>
      </c>
      <c r="O27" s="40">
        <v>44526.318321345003</v>
      </c>
      <c r="P27" s="42">
        <f t="shared" si="3"/>
        <v>1157684.2763549699</v>
      </c>
      <c r="Q27" s="5">
        <v>19.39</v>
      </c>
    </row>
    <row r="28" spans="1:17" x14ac:dyDescent="0.25">
      <c r="A28" s="5" t="s">
        <v>65</v>
      </c>
      <c r="B28" s="5" t="s">
        <v>66</v>
      </c>
      <c r="C28" s="6">
        <v>42527</v>
      </c>
      <c r="D28" s="5">
        <f t="shared" si="0"/>
        <v>6</v>
      </c>
      <c r="E28" s="5">
        <f t="shared" si="1"/>
        <v>24</v>
      </c>
      <c r="F28" s="5">
        <v>20.47</v>
      </c>
      <c r="G28" s="40">
        <v>50860.57</v>
      </c>
      <c r="H28" s="41">
        <v>1041115.8679</v>
      </c>
      <c r="I28" s="42">
        <v>0</v>
      </c>
      <c r="J28" s="43">
        <f t="shared" ref="J28:J33" si="5">12.5%*H28</f>
        <v>130139.48348749999</v>
      </c>
      <c r="K28" s="44">
        <f t="shared" ref="K28:K33" si="6">2%*J28</f>
        <v>2602.78966975</v>
      </c>
      <c r="L28" s="44">
        <f t="shared" ref="L28:L33" si="7">1%*J28</f>
        <v>1301.394834875</v>
      </c>
      <c r="M28" s="41">
        <f t="shared" si="2"/>
        <v>1175159.535892125</v>
      </c>
      <c r="N28" s="41">
        <v>0</v>
      </c>
      <c r="O28" s="40">
        <v>47006.381435684991</v>
      </c>
      <c r="P28" s="42">
        <f t="shared" si="3"/>
        <v>1222165.9173278101</v>
      </c>
      <c r="Q28" s="5">
        <v>20.47</v>
      </c>
    </row>
    <row r="29" spans="1:17" x14ac:dyDescent="0.25">
      <c r="A29" s="5" t="s">
        <v>65</v>
      </c>
      <c r="B29" s="5" t="s">
        <v>66</v>
      </c>
      <c r="C29" s="6">
        <v>42527</v>
      </c>
      <c r="D29" s="5">
        <f t="shared" si="0"/>
        <v>6</v>
      </c>
      <c r="E29" s="5">
        <f t="shared" si="1"/>
        <v>24</v>
      </c>
      <c r="F29" s="5">
        <v>20.49</v>
      </c>
      <c r="G29" s="40">
        <v>50860.57</v>
      </c>
      <c r="H29" s="41">
        <v>1042133.0792999999</v>
      </c>
      <c r="I29" s="42">
        <v>0</v>
      </c>
      <c r="J29" s="43">
        <f t="shared" si="5"/>
        <v>130266.63491249998</v>
      </c>
      <c r="K29" s="44">
        <f t="shared" si="6"/>
        <v>2605.3326982499998</v>
      </c>
      <c r="L29" s="44">
        <f t="shared" si="7"/>
        <v>1302.6663491249999</v>
      </c>
      <c r="M29" s="41">
        <f t="shared" si="2"/>
        <v>1176307.7132598748</v>
      </c>
      <c r="N29" s="41">
        <v>0</v>
      </c>
      <c r="O29" s="40">
        <v>47052.308530394992</v>
      </c>
      <c r="P29" s="42">
        <f t="shared" si="3"/>
        <v>1223360.0217902698</v>
      </c>
      <c r="Q29" s="5">
        <v>20.49</v>
      </c>
    </row>
    <row r="30" spans="1:17" x14ac:dyDescent="0.25">
      <c r="A30" s="5" t="s">
        <v>65</v>
      </c>
      <c r="B30" s="5" t="s">
        <v>66</v>
      </c>
      <c r="C30" s="6">
        <v>42527</v>
      </c>
      <c r="D30" s="5">
        <f t="shared" si="0"/>
        <v>6</v>
      </c>
      <c r="E30" s="5">
        <f t="shared" si="1"/>
        <v>24</v>
      </c>
      <c r="F30" s="5">
        <v>19.38</v>
      </c>
      <c r="G30" s="40">
        <v>50860.57</v>
      </c>
      <c r="H30" s="41">
        <v>985677.84659999993</v>
      </c>
      <c r="I30" s="42">
        <v>0</v>
      </c>
      <c r="J30" s="43">
        <f t="shared" si="5"/>
        <v>123209.73082499999</v>
      </c>
      <c r="K30" s="44">
        <f t="shared" si="6"/>
        <v>2464.1946164999999</v>
      </c>
      <c r="L30" s="44">
        <f t="shared" si="7"/>
        <v>1232.09730825</v>
      </c>
      <c r="M30" s="41">
        <f t="shared" si="2"/>
        <v>1112583.86934975</v>
      </c>
      <c r="N30" s="41">
        <v>0</v>
      </c>
      <c r="O30" s="40">
        <v>44503.354773990002</v>
      </c>
      <c r="P30" s="42">
        <f t="shared" si="3"/>
        <v>1157087.2241237401</v>
      </c>
      <c r="Q30" s="5">
        <v>19.38</v>
      </c>
    </row>
    <row r="31" spans="1:17" x14ac:dyDescent="0.25">
      <c r="A31" s="5" t="s">
        <v>65</v>
      </c>
      <c r="B31" s="5" t="s">
        <v>66</v>
      </c>
      <c r="C31" s="6">
        <v>42527</v>
      </c>
      <c r="D31" s="5">
        <f t="shared" si="0"/>
        <v>6</v>
      </c>
      <c r="E31" s="5">
        <f t="shared" si="1"/>
        <v>24</v>
      </c>
      <c r="F31" s="5">
        <v>20.49</v>
      </c>
      <c r="G31" s="40">
        <v>50860.57</v>
      </c>
      <c r="H31" s="41">
        <v>1042133.0792999999</v>
      </c>
      <c r="I31" s="42">
        <v>0</v>
      </c>
      <c r="J31" s="43">
        <f t="shared" si="5"/>
        <v>130266.63491249998</v>
      </c>
      <c r="K31" s="44">
        <f t="shared" si="6"/>
        <v>2605.3326982499998</v>
      </c>
      <c r="L31" s="44">
        <f t="shared" si="7"/>
        <v>1302.6663491249999</v>
      </c>
      <c r="M31" s="41">
        <f t="shared" si="2"/>
        <v>1176307.7132598748</v>
      </c>
      <c r="N31" s="41">
        <v>0</v>
      </c>
      <c r="O31" s="40">
        <v>47052.308530394992</v>
      </c>
      <c r="P31" s="42">
        <f t="shared" si="3"/>
        <v>1223360.0217902698</v>
      </c>
      <c r="Q31" s="5">
        <v>20.49</v>
      </c>
    </row>
    <row r="32" spans="1:17" x14ac:dyDescent="0.25">
      <c r="A32" s="5" t="s">
        <v>65</v>
      </c>
      <c r="B32" s="5" t="s">
        <v>66</v>
      </c>
      <c r="C32" s="6">
        <v>42527</v>
      </c>
      <c r="D32" s="5">
        <f t="shared" si="0"/>
        <v>6</v>
      </c>
      <c r="E32" s="5">
        <f t="shared" si="1"/>
        <v>24</v>
      </c>
      <c r="F32" s="5">
        <v>20.48</v>
      </c>
      <c r="G32" s="40">
        <v>50860.57</v>
      </c>
      <c r="H32" s="41">
        <v>1041624.4736</v>
      </c>
      <c r="I32" s="42">
        <v>0</v>
      </c>
      <c r="J32" s="43">
        <f t="shared" si="5"/>
        <v>130203.0592</v>
      </c>
      <c r="K32" s="44">
        <f t="shared" si="6"/>
        <v>2604.0611840000001</v>
      </c>
      <c r="L32" s="44">
        <f t="shared" si="7"/>
        <v>1302.0305920000001</v>
      </c>
      <c r="M32" s="41">
        <f t="shared" si="2"/>
        <v>1175733.624576</v>
      </c>
      <c r="N32" s="41">
        <v>0</v>
      </c>
      <c r="O32" s="40">
        <v>47029.344983039999</v>
      </c>
      <c r="P32" s="42">
        <f t="shared" si="3"/>
        <v>1222762.9695590399</v>
      </c>
      <c r="Q32" s="5">
        <v>20.48</v>
      </c>
    </row>
    <row r="33" spans="1:17" x14ac:dyDescent="0.25">
      <c r="A33" s="5" t="s">
        <v>65</v>
      </c>
      <c r="B33" s="5" t="s">
        <v>66</v>
      </c>
      <c r="C33" s="6">
        <v>42527</v>
      </c>
      <c r="D33" s="5">
        <f t="shared" si="0"/>
        <v>6</v>
      </c>
      <c r="E33" s="5">
        <f t="shared" si="1"/>
        <v>24</v>
      </c>
      <c r="F33" s="5">
        <v>19.079999999999998</v>
      </c>
      <c r="G33" s="40">
        <v>50860.57</v>
      </c>
      <c r="H33" s="41">
        <v>970419.67559999996</v>
      </c>
      <c r="I33" s="42">
        <v>0</v>
      </c>
      <c r="J33" s="43">
        <f t="shared" si="5"/>
        <v>121302.45944999999</v>
      </c>
      <c r="K33" s="44">
        <f t="shared" si="6"/>
        <v>2426.0491889999998</v>
      </c>
      <c r="L33" s="44">
        <f t="shared" si="7"/>
        <v>1213.0245944999999</v>
      </c>
      <c r="M33" s="41">
        <f t="shared" si="2"/>
        <v>1095361.2088335</v>
      </c>
      <c r="N33" s="41">
        <v>0</v>
      </c>
      <c r="O33" s="40">
        <v>43814.448353339991</v>
      </c>
      <c r="P33" s="42">
        <f t="shared" si="3"/>
        <v>1139175.65718684</v>
      </c>
      <c r="Q33" s="5">
        <v>19.079999999999998</v>
      </c>
    </row>
    <row r="34" spans="1:17" x14ac:dyDescent="0.25">
      <c r="A34" s="5" t="s">
        <v>33</v>
      </c>
      <c r="B34" s="5" t="s">
        <v>15</v>
      </c>
      <c r="C34" s="6">
        <v>42527</v>
      </c>
      <c r="D34" s="5">
        <f t="shared" si="0"/>
        <v>6</v>
      </c>
      <c r="E34" s="5">
        <f t="shared" si="1"/>
        <v>24</v>
      </c>
      <c r="F34" s="5">
        <v>29.85</v>
      </c>
      <c r="G34" s="40">
        <v>55800</v>
      </c>
      <c r="H34" s="41">
        <v>1671768</v>
      </c>
      <c r="I34" s="42">
        <v>0</v>
      </c>
      <c r="J34" s="43">
        <v>0</v>
      </c>
      <c r="K34" s="44">
        <v>0</v>
      </c>
      <c r="L34" s="44">
        <v>0</v>
      </c>
      <c r="M34" s="41">
        <f t="shared" si="2"/>
        <v>1671768</v>
      </c>
      <c r="N34" s="41">
        <v>0</v>
      </c>
      <c r="O34" s="40">
        <v>0</v>
      </c>
      <c r="P34" s="42">
        <f t="shared" si="3"/>
        <v>1671768</v>
      </c>
      <c r="Q34" s="5">
        <v>29.85</v>
      </c>
    </row>
    <row r="35" spans="1:17" x14ac:dyDescent="0.25">
      <c r="A35" s="5" t="s">
        <v>22</v>
      </c>
      <c r="B35" s="5" t="s">
        <v>15</v>
      </c>
      <c r="C35" s="6">
        <v>42527</v>
      </c>
      <c r="D35" s="5">
        <f t="shared" si="0"/>
        <v>6</v>
      </c>
      <c r="E35" s="5">
        <f t="shared" si="1"/>
        <v>24</v>
      </c>
      <c r="F35" s="5">
        <v>27.15</v>
      </c>
      <c r="G35" s="40">
        <v>54300</v>
      </c>
      <c r="H35" s="41">
        <v>1478589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2"/>
        <v>1478589</v>
      </c>
      <c r="N35" s="41">
        <v>0</v>
      </c>
      <c r="O35" s="40">
        <v>0</v>
      </c>
      <c r="P35" s="42">
        <f t="shared" si="3"/>
        <v>1478589</v>
      </c>
      <c r="Q35" s="5">
        <v>27.15</v>
      </c>
    </row>
    <row r="36" spans="1:17" x14ac:dyDescent="0.25">
      <c r="A36" s="5" t="s">
        <v>14</v>
      </c>
      <c r="B36" s="5" t="s">
        <v>15</v>
      </c>
      <c r="C36" s="6">
        <v>42527</v>
      </c>
      <c r="D36" s="5">
        <f t="shared" si="0"/>
        <v>6</v>
      </c>
      <c r="E36" s="5">
        <f t="shared" si="1"/>
        <v>24</v>
      </c>
      <c r="F36" s="5">
        <v>29.07</v>
      </c>
      <c r="G36" s="40">
        <v>56000</v>
      </c>
      <c r="H36" s="41">
        <v>1632680</v>
      </c>
      <c r="I36" s="42">
        <v>0</v>
      </c>
      <c r="J36" s="43">
        <v>0</v>
      </c>
      <c r="K36" s="44">
        <v>0</v>
      </c>
      <c r="L36" s="44">
        <v>0</v>
      </c>
      <c r="M36" s="41">
        <f t="shared" si="2"/>
        <v>1632680</v>
      </c>
      <c r="N36" s="41">
        <v>0</v>
      </c>
      <c r="O36" s="40">
        <v>0</v>
      </c>
      <c r="P36" s="42">
        <f t="shared" si="3"/>
        <v>1632680</v>
      </c>
      <c r="Q36" s="5">
        <v>29.07</v>
      </c>
    </row>
    <row r="37" spans="1:17" x14ac:dyDescent="0.25">
      <c r="A37" s="5" t="s">
        <v>30</v>
      </c>
      <c r="B37" s="5" t="s">
        <v>15</v>
      </c>
      <c r="C37" s="6">
        <v>42527</v>
      </c>
      <c r="D37" s="5">
        <f t="shared" si="0"/>
        <v>6</v>
      </c>
      <c r="E37" s="5">
        <f t="shared" si="1"/>
        <v>24</v>
      </c>
      <c r="F37" s="5">
        <v>20.100000000000001</v>
      </c>
      <c r="G37" s="40">
        <v>53000</v>
      </c>
      <c r="H37" s="41">
        <v>1065300</v>
      </c>
      <c r="I37" s="42">
        <v>0</v>
      </c>
      <c r="J37" s="43">
        <v>0</v>
      </c>
      <c r="K37" s="44">
        <v>0</v>
      </c>
      <c r="L37" s="44">
        <v>0</v>
      </c>
      <c r="M37" s="41">
        <f t="shared" si="2"/>
        <v>1065300</v>
      </c>
      <c r="N37" s="41">
        <v>0</v>
      </c>
      <c r="O37" s="40">
        <v>0</v>
      </c>
      <c r="P37" s="42">
        <f t="shared" si="3"/>
        <v>1065300</v>
      </c>
      <c r="Q37" s="5">
        <v>20.100000000000001</v>
      </c>
    </row>
    <row r="38" spans="1:17" x14ac:dyDescent="0.25">
      <c r="A38" s="5" t="s">
        <v>30</v>
      </c>
      <c r="B38" s="5" t="s">
        <v>15</v>
      </c>
      <c r="C38" s="6">
        <v>42527</v>
      </c>
      <c r="D38" s="5">
        <f t="shared" si="0"/>
        <v>6</v>
      </c>
      <c r="E38" s="5">
        <f t="shared" si="1"/>
        <v>24</v>
      </c>
      <c r="F38" s="5">
        <v>21.67</v>
      </c>
      <c r="G38" s="40">
        <v>53000</v>
      </c>
      <c r="H38" s="41">
        <v>1148510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2"/>
        <v>1148510</v>
      </c>
      <c r="N38" s="41">
        <v>0</v>
      </c>
      <c r="O38" s="40">
        <v>0</v>
      </c>
      <c r="P38" s="42">
        <f t="shared" si="3"/>
        <v>1148510</v>
      </c>
      <c r="Q38" s="5">
        <v>21.67</v>
      </c>
    </row>
    <row r="39" spans="1:17" x14ac:dyDescent="0.25">
      <c r="A39" s="5" t="s">
        <v>24</v>
      </c>
      <c r="B39" s="5" t="s">
        <v>15</v>
      </c>
      <c r="C39" s="6">
        <v>42528</v>
      </c>
      <c r="D39" s="5">
        <f t="shared" si="0"/>
        <v>6</v>
      </c>
      <c r="E39" s="5">
        <f t="shared" si="1"/>
        <v>24</v>
      </c>
      <c r="F39" s="5">
        <v>27.6</v>
      </c>
      <c r="G39" s="40">
        <v>53000</v>
      </c>
      <c r="H39" s="41">
        <v>1466510</v>
      </c>
      <c r="I39" s="42">
        <v>0</v>
      </c>
      <c r="J39" s="43">
        <v>0</v>
      </c>
      <c r="K39" s="44">
        <v>0</v>
      </c>
      <c r="L39" s="44">
        <v>0</v>
      </c>
      <c r="M39" s="41">
        <f t="shared" si="2"/>
        <v>1466510</v>
      </c>
      <c r="N39" s="41">
        <v>0</v>
      </c>
      <c r="O39" s="40">
        <v>0</v>
      </c>
      <c r="P39" s="42">
        <f t="shared" si="3"/>
        <v>1466510</v>
      </c>
      <c r="Q39" s="5">
        <v>27.6</v>
      </c>
    </row>
    <row r="40" spans="1:17" x14ac:dyDescent="0.25">
      <c r="A40" s="5" t="s">
        <v>27</v>
      </c>
      <c r="B40" s="5" t="s">
        <v>18</v>
      </c>
      <c r="C40" s="6">
        <v>42528</v>
      </c>
      <c r="D40" s="5">
        <f t="shared" si="0"/>
        <v>6</v>
      </c>
      <c r="E40" s="5">
        <f t="shared" si="1"/>
        <v>24</v>
      </c>
      <c r="F40" s="5">
        <v>31.43</v>
      </c>
      <c r="G40" s="40">
        <v>50300</v>
      </c>
      <c r="H40" s="41">
        <v>1585204.5</v>
      </c>
      <c r="I40" s="42">
        <v>0</v>
      </c>
      <c r="J40" s="43">
        <v>0</v>
      </c>
      <c r="K40" s="44">
        <v>0</v>
      </c>
      <c r="L40" s="44">
        <v>0</v>
      </c>
      <c r="M40" s="41">
        <f t="shared" si="2"/>
        <v>1585204.5</v>
      </c>
      <c r="N40" s="41">
        <v>0</v>
      </c>
      <c r="O40" s="40">
        <v>0</v>
      </c>
      <c r="P40" s="42">
        <f t="shared" si="3"/>
        <v>1585204.5</v>
      </c>
      <c r="Q40" s="5">
        <v>31.43</v>
      </c>
    </row>
    <row r="41" spans="1:17" x14ac:dyDescent="0.25">
      <c r="A41" s="5" t="s">
        <v>30</v>
      </c>
      <c r="B41" s="5" t="s">
        <v>15</v>
      </c>
      <c r="C41" s="6">
        <v>42528</v>
      </c>
      <c r="D41" s="5">
        <f t="shared" si="0"/>
        <v>6</v>
      </c>
      <c r="E41" s="5">
        <f t="shared" si="1"/>
        <v>24</v>
      </c>
      <c r="F41" s="5">
        <v>20.329999999999998</v>
      </c>
      <c r="G41" s="40">
        <v>53000</v>
      </c>
      <c r="H41" s="41">
        <v>1077490</v>
      </c>
      <c r="I41" s="42">
        <v>0</v>
      </c>
      <c r="J41" s="43">
        <v>0</v>
      </c>
      <c r="K41" s="44">
        <v>0</v>
      </c>
      <c r="L41" s="44">
        <v>0</v>
      </c>
      <c r="M41" s="41">
        <f t="shared" si="2"/>
        <v>1077490</v>
      </c>
      <c r="N41" s="41">
        <v>0</v>
      </c>
      <c r="O41" s="40">
        <v>0</v>
      </c>
      <c r="P41" s="42">
        <f t="shared" si="3"/>
        <v>1077490</v>
      </c>
      <c r="Q41" s="5">
        <v>20.329999999999998</v>
      </c>
    </row>
    <row r="42" spans="1:17" x14ac:dyDescent="0.25">
      <c r="A42" s="5" t="s">
        <v>12</v>
      </c>
      <c r="B42" s="5" t="s">
        <v>13</v>
      </c>
      <c r="C42" s="6">
        <v>42528</v>
      </c>
      <c r="D42" s="5">
        <f t="shared" si="0"/>
        <v>6</v>
      </c>
      <c r="E42" s="5">
        <f t="shared" si="1"/>
        <v>24</v>
      </c>
      <c r="F42" s="5">
        <v>27.1</v>
      </c>
      <c r="G42" s="40">
        <v>50000</v>
      </c>
      <c r="H42" s="41">
        <v>1359000</v>
      </c>
      <c r="I42" s="42">
        <v>0</v>
      </c>
      <c r="J42" s="43">
        <v>0</v>
      </c>
      <c r="K42" s="44">
        <v>0</v>
      </c>
      <c r="L42" s="44">
        <v>0</v>
      </c>
      <c r="M42" s="41">
        <f t="shared" si="2"/>
        <v>1359000</v>
      </c>
      <c r="N42" s="41">
        <f>2%*M42</f>
        <v>27180</v>
      </c>
      <c r="O42" s="40">
        <v>0</v>
      </c>
      <c r="P42" s="42">
        <f t="shared" si="3"/>
        <v>1386180</v>
      </c>
      <c r="Q42" s="5">
        <v>27.1</v>
      </c>
    </row>
    <row r="43" spans="1:17" x14ac:dyDescent="0.25">
      <c r="A43" s="5" t="s">
        <v>65</v>
      </c>
      <c r="B43" s="5" t="s">
        <v>66</v>
      </c>
      <c r="C43" s="6">
        <v>42528</v>
      </c>
      <c r="D43" s="5">
        <f t="shared" si="0"/>
        <v>6</v>
      </c>
      <c r="E43" s="5">
        <f t="shared" si="1"/>
        <v>24</v>
      </c>
      <c r="F43" s="5">
        <v>22.805</v>
      </c>
      <c r="G43" s="40">
        <v>50860.57</v>
      </c>
      <c r="H43" s="41">
        <v>1044167.5021</v>
      </c>
      <c r="I43" s="42">
        <v>0</v>
      </c>
      <c r="J43" s="43">
        <f>12.5%*H43</f>
        <v>130520.93776250001</v>
      </c>
      <c r="K43" s="44">
        <f>2%*J43</f>
        <v>2610.4187552500002</v>
      </c>
      <c r="L43" s="44">
        <f>1%*J43</f>
        <v>1305.2093776250001</v>
      </c>
      <c r="M43" s="41">
        <f t="shared" si="2"/>
        <v>1178604.067995375</v>
      </c>
      <c r="N43" s="41">
        <v>0</v>
      </c>
      <c r="O43" s="40">
        <v>47144.162719815002</v>
      </c>
      <c r="P43" s="42">
        <f t="shared" si="3"/>
        <v>1225748.2307151901</v>
      </c>
      <c r="Q43" s="5">
        <v>22.805</v>
      </c>
    </row>
    <row r="44" spans="1:17" x14ac:dyDescent="0.25">
      <c r="A44" s="5" t="s">
        <v>67</v>
      </c>
      <c r="B44" s="5" t="s">
        <v>15</v>
      </c>
      <c r="C44" s="6">
        <v>42529</v>
      </c>
      <c r="D44" s="5">
        <f t="shared" si="0"/>
        <v>6</v>
      </c>
      <c r="E44" s="5">
        <f t="shared" si="1"/>
        <v>24</v>
      </c>
      <c r="F44" s="5">
        <v>28.96</v>
      </c>
      <c r="G44" s="40">
        <v>54557</v>
      </c>
      <c r="H44" s="41">
        <v>1583789.71</v>
      </c>
      <c r="I44" s="42">
        <v>0</v>
      </c>
      <c r="J44" s="43">
        <v>0</v>
      </c>
      <c r="K44" s="44">
        <v>0</v>
      </c>
      <c r="L44" s="44">
        <v>0</v>
      </c>
      <c r="M44" s="41">
        <f t="shared" si="2"/>
        <v>1583789.71</v>
      </c>
      <c r="N44" s="41">
        <v>0</v>
      </c>
      <c r="O44" s="40">
        <v>0</v>
      </c>
      <c r="P44" s="42">
        <f t="shared" si="3"/>
        <v>1583789.71</v>
      </c>
      <c r="Q44" s="5">
        <v>28.96</v>
      </c>
    </row>
    <row r="45" spans="1:17" x14ac:dyDescent="0.25">
      <c r="A45" s="5" t="s">
        <v>33</v>
      </c>
      <c r="B45" s="5" t="s">
        <v>15</v>
      </c>
      <c r="C45" s="6">
        <v>42529</v>
      </c>
      <c r="D45" s="5">
        <f t="shared" si="0"/>
        <v>6</v>
      </c>
      <c r="E45" s="5">
        <f t="shared" si="1"/>
        <v>24</v>
      </c>
      <c r="F45" s="5">
        <v>29.41</v>
      </c>
      <c r="G45" s="40">
        <v>48700.35</v>
      </c>
      <c r="H45" s="41">
        <v>1434468.8092499999</v>
      </c>
      <c r="I45" s="42">
        <v>0</v>
      </c>
      <c r="J45" s="43">
        <v>0</v>
      </c>
      <c r="K45" s="44">
        <v>0</v>
      </c>
      <c r="L45" s="44">
        <v>0</v>
      </c>
      <c r="M45" s="41">
        <f t="shared" si="2"/>
        <v>1434468.8092499999</v>
      </c>
      <c r="N45" s="41">
        <v>0</v>
      </c>
      <c r="O45" s="40">
        <v>0</v>
      </c>
      <c r="P45" s="42">
        <f t="shared" si="3"/>
        <v>1434468.8092499999</v>
      </c>
      <c r="Q45" s="5">
        <v>29.41</v>
      </c>
    </row>
    <row r="46" spans="1:17" x14ac:dyDescent="0.25">
      <c r="A46" s="5" t="s">
        <v>24</v>
      </c>
      <c r="B46" s="5" t="s">
        <v>15</v>
      </c>
      <c r="C46" s="6">
        <v>42529</v>
      </c>
      <c r="D46" s="5">
        <f t="shared" si="0"/>
        <v>6</v>
      </c>
      <c r="E46" s="5">
        <f t="shared" si="1"/>
        <v>24</v>
      </c>
      <c r="F46" s="5">
        <v>26.14</v>
      </c>
      <c r="G46" s="40">
        <v>52908.91</v>
      </c>
      <c r="H46" s="41">
        <v>1383038.9074000001</v>
      </c>
      <c r="I46" s="42">
        <v>0</v>
      </c>
      <c r="J46" s="43">
        <v>0</v>
      </c>
      <c r="K46" s="44">
        <v>0</v>
      </c>
      <c r="L46" s="44">
        <v>0</v>
      </c>
      <c r="M46" s="41">
        <f t="shared" si="2"/>
        <v>1383038.9074000001</v>
      </c>
      <c r="N46" s="41">
        <v>0</v>
      </c>
      <c r="O46" s="40">
        <v>0</v>
      </c>
      <c r="P46" s="42">
        <f t="shared" si="3"/>
        <v>1383038.9074000001</v>
      </c>
      <c r="Q46" s="5">
        <v>26.14</v>
      </c>
    </row>
    <row r="47" spans="1:17" x14ac:dyDescent="0.25">
      <c r="A47" s="5" t="s">
        <v>30</v>
      </c>
      <c r="B47" s="5" t="s">
        <v>15</v>
      </c>
      <c r="C47" s="6">
        <v>42529</v>
      </c>
      <c r="D47" s="5">
        <f t="shared" si="0"/>
        <v>6</v>
      </c>
      <c r="E47" s="5">
        <f t="shared" si="1"/>
        <v>24</v>
      </c>
      <c r="F47" s="5">
        <v>26.77</v>
      </c>
      <c r="G47" s="40">
        <v>52933.75</v>
      </c>
      <c r="H47" s="41">
        <v>1423917.875</v>
      </c>
      <c r="I47" s="42">
        <v>0</v>
      </c>
      <c r="J47" s="43">
        <v>0</v>
      </c>
      <c r="K47" s="44">
        <v>0</v>
      </c>
      <c r="L47" s="44">
        <v>0</v>
      </c>
      <c r="M47" s="41">
        <f t="shared" si="2"/>
        <v>1423917.875</v>
      </c>
      <c r="N47" s="41">
        <v>0</v>
      </c>
      <c r="O47" s="40">
        <v>0</v>
      </c>
      <c r="P47" s="42">
        <f t="shared" si="3"/>
        <v>1423917.875</v>
      </c>
      <c r="Q47" s="5">
        <v>26.77</v>
      </c>
    </row>
    <row r="48" spans="1:17" x14ac:dyDescent="0.25">
      <c r="A48" s="5" t="s">
        <v>32</v>
      </c>
      <c r="B48" s="5" t="s">
        <v>18</v>
      </c>
      <c r="C48" s="6">
        <v>42529</v>
      </c>
      <c r="D48" s="5">
        <f t="shared" si="0"/>
        <v>6</v>
      </c>
      <c r="E48" s="5">
        <f t="shared" si="1"/>
        <v>24</v>
      </c>
      <c r="F48" s="5">
        <v>22.97</v>
      </c>
      <c r="G48" s="40">
        <v>50889.51</v>
      </c>
      <c r="H48" s="41">
        <v>1172239.8628500002</v>
      </c>
      <c r="I48" s="42">
        <v>0</v>
      </c>
      <c r="J48" s="43">
        <v>0</v>
      </c>
      <c r="K48" s="44">
        <v>0</v>
      </c>
      <c r="L48" s="44">
        <v>0</v>
      </c>
      <c r="M48" s="41">
        <f t="shared" si="2"/>
        <v>1172239.8628500002</v>
      </c>
      <c r="N48" s="41">
        <v>0</v>
      </c>
      <c r="O48" s="40">
        <v>0</v>
      </c>
      <c r="P48" s="42">
        <f t="shared" si="3"/>
        <v>1172239.8628500002</v>
      </c>
      <c r="Q48" s="5">
        <v>22.97</v>
      </c>
    </row>
    <row r="49" spans="1:17" x14ac:dyDescent="0.25">
      <c r="A49" s="5" t="s">
        <v>16</v>
      </c>
      <c r="B49" s="5" t="s">
        <v>18</v>
      </c>
      <c r="C49" s="6">
        <v>42529</v>
      </c>
      <c r="D49" s="5">
        <f t="shared" si="0"/>
        <v>6</v>
      </c>
      <c r="E49" s="5">
        <f t="shared" si="1"/>
        <v>24</v>
      </c>
      <c r="F49" s="5">
        <v>28.82</v>
      </c>
      <c r="G49" s="40">
        <v>48848.04</v>
      </c>
      <c r="H49" s="41">
        <v>1411219.8756000001</v>
      </c>
      <c r="I49" s="42">
        <v>0</v>
      </c>
      <c r="J49" s="43">
        <v>0</v>
      </c>
      <c r="K49" s="44">
        <v>0</v>
      </c>
      <c r="L49" s="44">
        <v>0</v>
      </c>
      <c r="M49" s="41">
        <f t="shared" si="2"/>
        <v>1411219.8756000001</v>
      </c>
      <c r="N49" s="41">
        <v>0</v>
      </c>
      <c r="O49" s="40">
        <v>0</v>
      </c>
      <c r="P49" s="42">
        <f t="shared" si="3"/>
        <v>1411219.8756000001</v>
      </c>
      <c r="Q49" s="5">
        <v>28.82</v>
      </c>
    </row>
    <row r="50" spans="1:17" x14ac:dyDescent="0.25">
      <c r="A50" s="5" t="s">
        <v>30</v>
      </c>
      <c r="B50" s="5" t="s">
        <v>15</v>
      </c>
      <c r="C50" s="6">
        <v>42529</v>
      </c>
      <c r="D50" s="5">
        <f t="shared" si="0"/>
        <v>6</v>
      </c>
      <c r="E50" s="5">
        <f t="shared" si="1"/>
        <v>24</v>
      </c>
      <c r="F50" s="5">
        <v>19.920000000000002</v>
      </c>
      <c r="G50" s="40">
        <v>52957.47</v>
      </c>
      <c r="H50" s="41">
        <v>1054912.8024000002</v>
      </c>
      <c r="I50" s="42">
        <v>0</v>
      </c>
      <c r="J50" s="43">
        <v>0</v>
      </c>
      <c r="K50" s="44">
        <v>0</v>
      </c>
      <c r="L50" s="44">
        <v>0</v>
      </c>
      <c r="M50" s="41">
        <f t="shared" si="2"/>
        <v>1054912.8024000002</v>
      </c>
      <c r="N50" s="41">
        <v>0</v>
      </c>
      <c r="O50" s="40">
        <v>0</v>
      </c>
      <c r="P50" s="42">
        <f t="shared" si="3"/>
        <v>1054912.8024000002</v>
      </c>
      <c r="Q50" s="5">
        <v>19.920000000000002</v>
      </c>
    </row>
    <row r="51" spans="1:17" x14ac:dyDescent="0.25">
      <c r="A51" s="5" t="s">
        <v>21</v>
      </c>
      <c r="B51" s="5" t="s">
        <v>15</v>
      </c>
      <c r="C51" s="6">
        <v>42530</v>
      </c>
      <c r="D51" s="5">
        <f t="shared" si="0"/>
        <v>6</v>
      </c>
      <c r="E51" s="5">
        <f t="shared" si="1"/>
        <v>24</v>
      </c>
      <c r="F51" s="5">
        <v>29.61</v>
      </c>
      <c r="G51" s="40">
        <v>52963.87</v>
      </c>
      <c r="H51" s="41">
        <v>1575939.9518500001</v>
      </c>
      <c r="I51" s="42">
        <v>0</v>
      </c>
      <c r="J51" s="43">
        <v>0</v>
      </c>
      <c r="K51" s="44">
        <v>0</v>
      </c>
      <c r="L51" s="44">
        <v>0</v>
      </c>
      <c r="M51" s="41">
        <f t="shared" si="2"/>
        <v>1575939.9518500001</v>
      </c>
      <c r="N51" s="41">
        <v>0</v>
      </c>
      <c r="O51" s="40">
        <v>0</v>
      </c>
      <c r="P51" s="42">
        <f t="shared" si="3"/>
        <v>1575939.9518500001</v>
      </c>
      <c r="Q51" s="5">
        <v>29.61</v>
      </c>
    </row>
    <row r="52" spans="1:17" x14ac:dyDescent="0.25">
      <c r="A52" s="5" t="s">
        <v>67</v>
      </c>
      <c r="B52" s="5" t="s">
        <v>18</v>
      </c>
      <c r="C52" s="6">
        <v>42530</v>
      </c>
      <c r="D52" s="5">
        <f t="shared" si="0"/>
        <v>6</v>
      </c>
      <c r="E52" s="5">
        <f t="shared" si="1"/>
        <v>24</v>
      </c>
      <c r="F52" s="5">
        <v>29.32</v>
      </c>
      <c r="G52" s="40">
        <v>50000</v>
      </c>
      <c r="H52" s="41">
        <v>1467500</v>
      </c>
      <c r="I52" s="42">
        <v>0</v>
      </c>
      <c r="J52" s="43">
        <v>0</v>
      </c>
      <c r="K52" s="44">
        <v>0</v>
      </c>
      <c r="L52" s="44">
        <v>0</v>
      </c>
      <c r="M52" s="41">
        <f t="shared" si="2"/>
        <v>1467500</v>
      </c>
      <c r="N52" s="41">
        <v>0</v>
      </c>
      <c r="O52" s="40">
        <v>0</v>
      </c>
      <c r="P52" s="42">
        <f t="shared" si="3"/>
        <v>1467500</v>
      </c>
      <c r="Q52" s="5">
        <v>29.32</v>
      </c>
    </row>
    <row r="53" spans="1:17" x14ac:dyDescent="0.25">
      <c r="A53" s="5" t="s">
        <v>27</v>
      </c>
      <c r="B53" s="5" t="s">
        <v>18</v>
      </c>
      <c r="C53" s="6">
        <v>42530</v>
      </c>
      <c r="D53" s="5">
        <f t="shared" si="0"/>
        <v>6</v>
      </c>
      <c r="E53" s="5">
        <f t="shared" si="1"/>
        <v>24</v>
      </c>
      <c r="F53" s="5">
        <v>28.5</v>
      </c>
      <c r="G53" s="40">
        <v>49000</v>
      </c>
      <c r="H53" s="41">
        <v>1401890</v>
      </c>
      <c r="I53" s="42">
        <v>0</v>
      </c>
      <c r="J53" s="43">
        <v>0</v>
      </c>
      <c r="K53" s="44">
        <v>0</v>
      </c>
      <c r="L53" s="44">
        <v>0</v>
      </c>
      <c r="M53" s="41">
        <f t="shared" si="2"/>
        <v>1401890</v>
      </c>
      <c r="N53" s="41">
        <v>0</v>
      </c>
      <c r="O53" s="40">
        <v>0</v>
      </c>
      <c r="P53" s="42">
        <f t="shared" si="3"/>
        <v>1401890</v>
      </c>
      <c r="Q53" s="5">
        <v>28.5</v>
      </c>
    </row>
    <row r="54" spans="1:17" x14ac:dyDescent="0.25">
      <c r="A54" s="5" t="s">
        <v>25</v>
      </c>
      <c r="B54" s="5" t="s">
        <v>26</v>
      </c>
      <c r="C54" s="6">
        <v>42531</v>
      </c>
      <c r="D54" s="5">
        <f t="shared" si="0"/>
        <v>6</v>
      </c>
      <c r="E54" s="5">
        <f t="shared" si="1"/>
        <v>24</v>
      </c>
      <c r="F54" s="5">
        <v>21.43</v>
      </c>
      <c r="G54" s="40">
        <v>78619.77</v>
      </c>
      <c r="H54" s="41">
        <v>1684821.6711000002</v>
      </c>
      <c r="I54" s="42">
        <v>0</v>
      </c>
      <c r="J54" s="43">
        <v>0</v>
      </c>
      <c r="K54" s="44">
        <v>0</v>
      </c>
      <c r="L54" s="44">
        <v>0</v>
      </c>
      <c r="M54" s="41">
        <f t="shared" si="2"/>
        <v>1684821.6711000002</v>
      </c>
      <c r="N54" s="41">
        <v>0</v>
      </c>
      <c r="O54" s="40">
        <f t="shared" ref="O54:O57" si="8">1600*Q54</f>
        <v>34288</v>
      </c>
      <c r="P54" s="42">
        <f t="shared" si="3"/>
        <v>1719109.6711000002</v>
      </c>
      <c r="Q54" s="5">
        <v>21.43</v>
      </c>
    </row>
    <row r="55" spans="1:17" x14ac:dyDescent="0.25">
      <c r="A55" s="5" t="s">
        <v>25</v>
      </c>
      <c r="B55" s="5" t="s">
        <v>26</v>
      </c>
      <c r="C55" s="6">
        <v>42531</v>
      </c>
      <c r="D55" s="5">
        <f t="shared" si="0"/>
        <v>6</v>
      </c>
      <c r="E55" s="5">
        <f t="shared" si="1"/>
        <v>24</v>
      </c>
      <c r="F55" s="5">
        <v>21.44</v>
      </c>
      <c r="G55" s="40">
        <v>78619.77</v>
      </c>
      <c r="H55" s="41">
        <v>1685607.8688000003</v>
      </c>
      <c r="I55" s="42">
        <v>0</v>
      </c>
      <c r="J55" s="43">
        <v>0</v>
      </c>
      <c r="K55" s="44">
        <v>0</v>
      </c>
      <c r="L55" s="44">
        <v>0</v>
      </c>
      <c r="M55" s="41">
        <f t="shared" si="2"/>
        <v>1685607.8688000003</v>
      </c>
      <c r="N55" s="41">
        <v>0</v>
      </c>
      <c r="O55" s="40">
        <f t="shared" si="8"/>
        <v>34304</v>
      </c>
      <c r="P55" s="42">
        <f t="shared" si="3"/>
        <v>1719911.8688000003</v>
      </c>
      <c r="Q55" s="5">
        <v>21.44</v>
      </c>
    </row>
    <row r="56" spans="1:17" x14ac:dyDescent="0.25">
      <c r="A56" s="5" t="s">
        <v>25</v>
      </c>
      <c r="B56" s="5" t="s">
        <v>26</v>
      </c>
      <c r="C56" s="6">
        <v>42531</v>
      </c>
      <c r="D56" s="5">
        <f t="shared" si="0"/>
        <v>6</v>
      </c>
      <c r="E56" s="5">
        <f t="shared" si="1"/>
        <v>24</v>
      </c>
      <c r="F56" s="5">
        <v>21.46</v>
      </c>
      <c r="G56" s="40">
        <v>78619.77</v>
      </c>
      <c r="H56" s="41">
        <v>1687180.2642000001</v>
      </c>
      <c r="I56" s="42">
        <v>0</v>
      </c>
      <c r="J56" s="43">
        <v>0</v>
      </c>
      <c r="K56" s="44">
        <v>0</v>
      </c>
      <c r="L56" s="44">
        <v>0</v>
      </c>
      <c r="M56" s="41">
        <f t="shared" si="2"/>
        <v>1687180.2642000001</v>
      </c>
      <c r="N56" s="41">
        <v>0</v>
      </c>
      <c r="O56" s="40">
        <f t="shared" si="8"/>
        <v>34336</v>
      </c>
      <c r="P56" s="42">
        <f t="shared" si="3"/>
        <v>1721516.2642000001</v>
      </c>
      <c r="Q56" s="5">
        <v>21.46</v>
      </c>
    </row>
    <row r="57" spans="1:17" x14ac:dyDescent="0.25">
      <c r="A57" s="5" t="s">
        <v>25</v>
      </c>
      <c r="B57" s="5" t="s">
        <v>26</v>
      </c>
      <c r="C57" s="6">
        <v>42531</v>
      </c>
      <c r="D57" s="5">
        <f t="shared" si="0"/>
        <v>6</v>
      </c>
      <c r="E57" s="5">
        <f t="shared" si="1"/>
        <v>24</v>
      </c>
      <c r="F57" s="5">
        <v>21.45</v>
      </c>
      <c r="G57" s="40">
        <v>78619.77</v>
      </c>
      <c r="H57" s="41">
        <v>1686394.0665</v>
      </c>
      <c r="I57" s="42">
        <v>0</v>
      </c>
      <c r="J57" s="43">
        <v>0</v>
      </c>
      <c r="K57" s="44">
        <v>0</v>
      </c>
      <c r="L57" s="44">
        <v>0</v>
      </c>
      <c r="M57" s="41">
        <f t="shared" si="2"/>
        <v>1686394.0665</v>
      </c>
      <c r="N57" s="41">
        <v>0</v>
      </c>
      <c r="O57" s="40">
        <f t="shared" si="8"/>
        <v>34320</v>
      </c>
      <c r="P57" s="42">
        <f t="shared" si="3"/>
        <v>1720714.0665</v>
      </c>
      <c r="Q57" s="5">
        <v>21.45</v>
      </c>
    </row>
    <row r="58" spans="1:17" x14ac:dyDescent="0.25">
      <c r="A58" s="5" t="s">
        <v>32</v>
      </c>
      <c r="B58" s="5" t="s">
        <v>15</v>
      </c>
      <c r="C58" s="6">
        <v>42531</v>
      </c>
      <c r="D58" s="5">
        <f t="shared" si="0"/>
        <v>6</v>
      </c>
      <c r="E58" s="5">
        <f t="shared" si="1"/>
        <v>24</v>
      </c>
      <c r="F58" s="5">
        <v>32.17</v>
      </c>
      <c r="G58" s="40">
        <v>53000</v>
      </c>
      <c r="H58" s="41">
        <v>1707925</v>
      </c>
      <c r="I58" s="42">
        <v>0</v>
      </c>
      <c r="J58" s="43">
        <v>0</v>
      </c>
      <c r="K58" s="44">
        <v>0</v>
      </c>
      <c r="L58" s="44">
        <v>0</v>
      </c>
      <c r="M58" s="41">
        <f t="shared" si="2"/>
        <v>1707925</v>
      </c>
      <c r="N58" s="41">
        <v>0</v>
      </c>
      <c r="O58" s="40">
        <v>0</v>
      </c>
      <c r="P58" s="42">
        <f t="shared" si="3"/>
        <v>1707925</v>
      </c>
      <c r="Q58" s="5">
        <v>32.17</v>
      </c>
    </row>
    <row r="59" spans="1:17" x14ac:dyDescent="0.25">
      <c r="A59" s="5" t="s">
        <v>30</v>
      </c>
      <c r="B59" s="5" t="s">
        <v>15</v>
      </c>
      <c r="C59" s="6">
        <v>42531</v>
      </c>
      <c r="D59" s="5">
        <f t="shared" si="0"/>
        <v>6</v>
      </c>
      <c r="E59" s="5">
        <f t="shared" si="1"/>
        <v>24</v>
      </c>
      <c r="F59" s="5">
        <v>27.99</v>
      </c>
      <c r="G59" s="40">
        <v>53000</v>
      </c>
      <c r="H59" s="41">
        <v>1488240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2"/>
        <v>1488240</v>
      </c>
      <c r="N59" s="41">
        <v>0</v>
      </c>
      <c r="O59" s="40">
        <v>0</v>
      </c>
      <c r="P59" s="42">
        <f t="shared" si="3"/>
        <v>1488240</v>
      </c>
      <c r="Q59" s="5">
        <v>27.99</v>
      </c>
    </row>
    <row r="60" spans="1:17" x14ac:dyDescent="0.25">
      <c r="A60" s="5" t="s">
        <v>27</v>
      </c>
      <c r="B60" s="5" t="s">
        <v>18</v>
      </c>
      <c r="C60" s="6">
        <v>42531</v>
      </c>
      <c r="D60" s="5">
        <f t="shared" si="0"/>
        <v>6</v>
      </c>
      <c r="E60" s="5">
        <f t="shared" si="1"/>
        <v>24</v>
      </c>
      <c r="F60" s="5">
        <v>29.11</v>
      </c>
      <c r="G60" s="40">
        <v>50255.35</v>
      </c>
      <c r="H60" s="41">
        <v>1463435.7919999999</v>
      </c>
      <c r="I60" s="42">
        <v>0</v>
      </c>
      <c r="J60" s="43">
        <v>0</v>
      </c>
      <c r="K60" s="44">
        <v>0</v>
      </c>
      <c r="L60" s="44">
        <v>0</v>
      </c>
      <c r="M60" s="41">
        <f t="shared" si="2"/>
        <v>1463435.7919999999</v>
      </c>
      <c r="N60" s="41">
        <v>0</v>
      </c>
      <c r="O60" s="40">
        <v>0</v>
      </c>
      <c r="P60" s="42">
        <f t="shared" si="3"/>
        <v>1463435.7919999999</v>
      </c>
      <c r="Q60" s="5">
        <v>29.11</v>
      </c>
    </row>
    <row r="61" spans="1:17" x14ac:dyDescent="0.25">
      <c r="A61" s="5" t="s">
        <v>32</v>
      </c>
      <c r="B61" s="5" t="s">
        <v>15</v>
      </c>
      <c r="C61" s="6">
        <v>42531</v>
      </c>
      <c r="D61" s="5">
        <f t="shared" si="0"/>
        <v>6</v>
      </c>
      <c r="E61" s="5">
        <f t="shared" si="1"/>
        <v>24</v>
      </c>
      <c r="F61" s="5">
        <v>30.21</v>
      </c>
      <c r="G61" s="40">
        <v>53000</v>
      </c>
      <c r="H61" s="41">
        <v>1604575</v>
      </c>
      <c r="I61" s="42">
        <v>0</v>
      </c>
      <c r="J61" s="43">
        <v>0</v>
      </c>
      <c r="K61" s="44">
        <v>0</v>
      </c>
      <c r="L61" s="44">
        <v>0</v>
      </c>
      <c r="M61" s="41">
        <f t="shared" si="2"/>
        <v>1604575</v>
      </c>
      <c r="N61" s="41">
        <v>0</v>
      </c>
      <c r="O61" s="40">
        <v>0</v>
      </c>
      <c r="P61" s="42">
        <f t="shared" si="3"/>
        <v>1604575</v>
      </c>
      <c r="Q61" s="5">
        <v>30.21</v>
      </c>
    </row>
    <row r="62" spans="1:17" x14ac:dyDescent="0.25">
      <c r="A62" s="5" t="s">
        <v>14</v>
      </c>
      <c r="B62" s="5" t="s">
        <v>15</v>
      </c>
      <c r="C62" s="6">
        <v>42532</v>
      </c>
      <c r="D62" s="5">
        <f t="shared" si="0"/>
        <v>6</v>
      </c>
      <c r="E62" s="5">
        <f t="shared" si="1"/>
        <v>24</v>
      </c>
      <c r="F62" s="5">
        <v>31.51</v>
      </c>
      <c r="G62" s="40">
        <v>53000</v>
      </c>
      <c r="H62" s="41">
        <v>1671885</v>
      </c>
      <c r="I62" s="42">
        <v>0</v>
      </c>
      <c r="J62" s="43">
        <v>0</v>
      </c>
      <c r="K62" s="44">
        <v>0</v>
      </c>
      <c r="L62" s="44">
        <v>0</v>
      </c>
      <c r="M62" s="41">
        <f t="shared" si="2"/>
        <v>1671885</v>
      </c>
      <c r="N62" s="41">
        <v>0</v>
      </c>
      <c r="O62" s="40">
        <v>0</v>
      </c>
      <c r="P62" s="42">
        <f t="shared" si="3"/>
        <v>1671885</v>
      </c>
      <c r="Q62" s="5">
        <v>31.51</v>
      </c>
    </row>
    <row r="63" spans="1:17" x14ac:dyDescent="0.25">
      <c r="A63" s="5" t="s">
        <v>32</v>
      </c>
      <c r="B63" s="5" t="s">
        <v>15</v>
      </c>
      <c r="C63" s="6">
        <v>42532</v>
      </c>
      <c r="D63" s="5">
        <f t="shared" si="0"/>
        <v>6</v>
      </c>
      <c r="E63" s="5">
        <f t="shared" si="1"/>
        <v>24</v>
      </c>
      <c r="F63" s="5">
        <v>29.31</v>
      </c>
      <c r="G63" s="40">
        <v>53000</v>
      </c>
      <c r="H63" s="41">
        <v>1558200</v>
      </c>
      <c r="I63" s="42">
        <v>0</v>
      </c>
      <c r="J63" s="43">
        <v>0</v>
      </c>
      <c r="K63" s="44">
        <v>0</v>
      </c>
      <c r="L63" s="44">
        <v>0</v>
      </c>
      <c r="M63" s="41">
        <f t="shared" si="2"/>
        <v>1558200</v>
      </c>
      <c r="N63" s="41">
        <v>0</v>
      </c>
      <c r="O63" s="40">
        <v>0</v>
      </c>
      <c r="P63" s="42">
        <f t="shared" si="3"/>
        <v>1558200</v>
      </c>
      <c r="Q63" s="5">
        <v>29.31</v>
      </c>
    </row>
    <row r="64" spans="1:17" x14ac:dyDescent="0.25">
      <c r="A64" s="5" t="s">
        <v>22</v>
      </c>
      <c r="B64" s="5" t="s">
        <v>15</v>
      </c>
      <c r="C64" s="6">
        <v>42533</v>
      </c>
      <c r="D64" s="5">
        <f t="shared" si="0"/>
        <v>6</v>
      </c>
      <c r="E64" s="5">
        <f t="shared" si="1"/>
        <v>25</v>
      </c>
      <c r="F64" s="5">
        <v>27.33</v>
      </c>
      <c r="G64" s="40">
        <v>54300</v>
      </c>
      <c r="H64" s="41">
        <v>1486734</v>
      </c>
      <c r="I64" s="42">
        <v>0</v>
      </c>
      <c r="J64" s="43">
        <v>0</v>
      </c>
      <c r="K64" s="44">
        <v>0</v>
      </c>
      <c r="L64" s="44">
        <v>0</v>
      </c>
      <c r="M64" s="41">
        <f t="shared" si="2"/>
        <v>1486734</v>
      </c>
      <c r="N64" s="41">
        <v>0</v>
      </c>
      <c r="O64" s="40">
        <v>0</v>
      </c>
      <c r="P64" s="42">
        <f t="shared" si="3"/>
        <v>1486734</v>
      </c>
      <c r="Q64" s="5">
        <v>27.33</v>
      </c>
    </row>
    <row r="65" spans="1:17" x14ac:dyDescent="0.25">
      <c r="A65" s="5" t="s">
        <v>67</v>
      </c>
      <c r="B65" s="5" t="s">
        <v>15</v>
      </c>
      <c r="C65" s="6">
        <v>42533</v>
      </c>
      <c r="D65" s="5">
        <f t="shared" si="0"/>
        <v>6</v>
      </c>
      <c r="E65" s="5">
        <f t="shared" si="1"/>
        <v>25</v>
      </c>
      <c r="F65" s="5">
        <v>30.35</v>
      </c>
      <c r="G65" s="40">
        <v>54600</v>
      </c>
      <c r="H65" s="41">
        <v>1662570</v>
      </c>
      <c r="I65" s="42">
        <v>0</v>
      </c>
      <c r="J65" s="43">
        <v>0</v>
      </c>
      <c r="K65" s="44">
        <v>0</v>
      </c>
      <c r="L65" s="44">
        <v>0</v>
      </c>
      <c r="M65" s="41">
        <f t="shared" si="2"/>
        <v>1662570</v>
      </c>
      <c r="N65" s="41">
        <v>0</v>
      </c>
      <c r="O65" s="40">
        <v>0</v>
      </c>
      <c r="P65" s="42">
        <f t="shared" si="3"/>
        <v>1662570</v>
      </c>
      <c r="Q65" s="5">
        <v>30.35</v>
      </c>
    </row>
    <row r="66" spans="1:17" x14ac:dyDescent="0.25">
      <c r="A66" s="5" t="s">
        <v>33</v>
      </c>
      <c r="B66" s="5" t="s">
        <v>15</v>
      </c>
      <c r="C66" s="6">
        <v>42533</v>
      </c>
      <c r="D66" s="5">
        <f t="shared" ref="D66:D129" si="9">MONTH(C66)</f>
        <v>6</v>
      </c>
      <c r="E66" s="5">
        <f t="shared" ref="E66:E129" si="10">WEEKNUM(C66)</f>
        <v>25</v>
      </c>
      <c r="F66" s="5">
        <v>26.44</v>
      </c>
      <c r="G66" s="40">
        <v>54600</v>
      </c>
      <c r="H66" s="41">
        <v>1447173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129" si="11">L66+K66+J66+I66+H66</f>
        <v>1447173</v>
      </c>
      <c r="N66" s="41">
        <v>0</v>
      </c>
      <c r="O66" s="40">
        <v>0</v>
      </c>
      <c r="P66" s="42">
        <f t="shared" ref="P66:P129" si="12">SUM(M66:O66)</f>
        <v>1447173</v>
      </c>
      <c r="Q66" s="5">
        <v>26.44</v>
      </c>
    </row>
    <row r="67" spans="1:17" x14ac:dyDescent="0.25">
      <c r="A67" s="5" t="s">
        <v>32</v>
      </c>
      <c r="B67" s="5" t="s">
        <v>15</v>
      </c>
      <c r="C67" s="6">
        <v>42533</v>
      </c>
      <c r="D67" s="5">
        <f t="shared" si="9"/>
        <v>6</v>
      </c>
      <c r="E67" s="5">
        <f t="shared" si="10"/>
        <v>25</v>
      </c>
      <c r="F67" s="5">
        <v>29.37</v>
      </c>
      <c r="G67" s="40">
        <v>53000</v>
      </c>
      <c r="H67" s="41">
        <v>1561115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1"/>
        <v>1561115</v>
      </c>
      <c r="N67" s="41">
        <v>0</v>
      </c>
      <c r="O67" s="40">
        <v>0</v>
      </c>
      <c r="P67" s="42">
        <f t="shared" si="12"/>
        <v>1561115</v>
      </c>
      <c r="Q67" s="5">
        <v>29.37</v>
      </c>
    </row>
    <row r="68" spans="1:17" x14ac:dyDescent="0.25">
      <c r="A68" s="5" t="s">
        <v>67</v>
      </c>
      <c r="B68" s="5" t="s">
        <v>18</v>
      </c>
      <c r="C68" s="6">
        <v>42533</v>
      </c>
      <c r="D68" s="5">
        <f t="shared" si="9"/>
        <v>6</v>
      </c>
      <c r="E68" s="5">
        <f t="shared" si="10"/>
        <v>25</v>
      </c>
      <c r="F68" s="5">
        <v>25.94</v>
      </c>
      <c r="G68" s="40">
        <v>50300</v>
      </c>
      <c r="H68" s="41">
        <v>1307800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1"/>
        <v>1307800</v>
      </c>
      <c r="N68" s="41">
        <v>0</v>
      </c>
      <c r="O68" s="40">
        <v>0</v>
      </c>
      <c r="P68" s="42">
        <f t="shared" si="12"/>
        <v>1307800</v>
      </c>
      <c r="Q68" s="5">
        <v>25.94</v>
      </c>
    </row>
    <row r="69" spans="1:17" x14ac:dyDescent="0.25">
      <c r="A69" s="5" t="s">
        <v>25</v>
      </c>
      <c r="B69" s="5" t="s">
        <v>26</v>
      </c>
      <c r="C69" s="6">
        <v>42534</v>
      </c>
      <c r="D69" s="5">
        <f t="shared" si="9"/>
        <v>6</v>
      </c>
      <c r="E69" s="5">
        <f t="shared" si="10"/>
        <v>25</v>
      </c>
      <c r="F69" s="5">
        <v>21.5</v>
      </c>
      <c r="G69" s="40">
        <v>78617.440000000002</v>
      </c>
      <c r="H69" s="41">
        <v>1690274.96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1"/>
        <v>1690274.96</v>
      </c>
      <c r="N69" s="41">
        <v>0</v>
      </c>
      <c r="O69" s="40">
        <f t="shared" ref="O69:O78" si="13">1600*Q69</f>
        <v>34400</v>
      </c>
      <c r="P69" s="42">
        <f t="shared" si="12"/>
        <v>1724674.96</v>
      </c>
      <c r="Q69" s="5">
        <v>21.5</v>
      </c>
    </row>
    <row r="70" spans="1:17" x14ac:dyDescent="0.25">
      <c r="A70" s="5" t="s">
        <v>25</v>
      </c>
      <c r="B70" s="5" t="s">
        <v>26</v>
      </c>
      <c r="C70" s="6">
        <v>42534</v>
      </c>
      <c r="D70" s="5">
        <f t="shared" si="9"/>
        <v>6</v>
      </c>
      <c r="E70" s="5">
        <f t="shared" si="10"/>
        <v>25</v>
      </c>
      <c r="F70" s="5">
        <v>21.5</v>
      </c>
      <c r="G70" s="40">
        <v>78617.440000000002</v>
      </c>
      <c r="H70" s="41">
        <v>1690274.96</v>
      </c>
      <c r="I70" s="42">
        <v>0</v>
      </c>
      <c r="J70" s="43">
        <v>0</v>
      </c>
      <c r="K70" s="44">
        <v>0</v>
      </c>
      <c r="L70" s="44">
        <v>0</v>
      </c>
      <c r="M70" s="41">
        <f t="shared" si="11"/>
        <v>1690274.96</v>
      </c>
      <c r="N70" s="41">
        <v>0</v>
      </c>
      <c r="O70" s="40">
        <f t="shared" si="13"/>
        <v>34400</v>
      </c>
      <c r="P70" s="42">
        <f t="shared" si="12"/>
        <v>1724674.96</v>
      </c>
      <c r="Q70" s="5">
        <v>21.5</v>
      </c>
    </row>
    <row r="71" spans="1:17" x14ac:dyDescent="0.25">
      <c r="A71" s="5" t="s">
        <v>25</v>
      </c>
      <c r="B71" s="5" t="s">
        <v>26</v>
      </c>
      <c r="C71" s="6">
        <v>42534</v>
      </c>
      <c r="D71" s="5">
        <f t="shared" si="9"/>
        <v>6</v>
      </c>
      <c r="E71" s="5">
        <f t="shared" si="10"/>
        <v>25</v>
      </c>
      <c r="F71" s="5">
        <v>21.49</v>
      </c>
      <c r="G71" s="40">
        <v>78617.440000000002</v>
      </c>
      <c r="H71" s="41">
        <v>1689488.7855999998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1"/>
        <v>1689488.7855999998</v>
      </c>
      <c r="N71" s="41">
        <v>0</v>
      </c>
      <c r="O71" s="40">
        <f t="shared" si="13"/>
        <v>34384</v>
      </c>
      <c r="P71" s="42">
        <f t="shared" si="12"/>
        <v>1723872.7855999998</v>
      </c>
      <c r="Q71" s="5">
        <v>21.49</v>
      </c>
    </row>
    <row r="72" spans="1:17" x14ac:dyDescent="0.25">
      <c r="A72" s="5" t="s">
        <v>25</v>
      </c>
      <c r="B72" s="5" t="s">
        <v>26</v>
      </c>
      <c r="C72" s="6">
        <v>42534</v>
      </c>
      <c r="D72" s="5">
        <f t="shared" si="9"/>
        <v>6</v>
      </c>
      <c r="E72" s="5">
        <f t="shared" si="10"/>
        <v>25</v>
      </c>
      <c r="F72" s="5">
        <v>21.47</v>
      </c>
      <c r="G72" s="40">
        <v>78617.440000000002</v>
      </c>
      <c r="H72" s="41">
        <v>1687916.4368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1"/>
        <v>1687916.4368</v>
      </c>
      <c r="N72" s="41">
        <v>0</v>
      </c>
      <c r="O72" s="40">
        <f t="shared" si="13"/>
        <v>34352</v>
      </c>
      <c r="P72" s="42">
        <f t="shared" si="12"/>
        <v>1722268.4368</v>
      </c>
      <c r="Q72" s="5">
        <v>21.47</v>
      </c>
    </row>
    <row r="73" spans="1:17" x14ac:dyDescent="0.25">
      <c r="A73" s="5" t="s">
        <v>25</v>
      </c>
      <c r="B73" s="5" t="s">
        <v>26</v>
      </c>
      <c r="C73" s="6">
        <v>42534</v>
      </c>
      <c r="D73" s="5">
        <f t="shared" si="9"/>
        <v>6</v>
      </c>
      <c r="E73" s="5">
        <f t="shared" si="10"/>
        <v>25</v>
      </c>
      <c r="F73" s="5">
        <v>21.46</v>
      </c>
      <c r="G73" s="40">
        <v>78617.440000000002</v>
      </c>
      <c r="H73" s="41">
        <v>1687130.2624000001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1"/>
        <v>1687130.2624000001</v>
      </c>
      <c r="N73" s="41">
        <v>0</v>
      </c>
      <c r="O73" s="40">
        <f t="shared" si="13"/>
        <v>34336</v>
      </c>
      <c r="P73" s="42">
        <f t="shared" si="12"/>
        <v>1721466.2624000001</v>
      </c>
      <c r="Q73" s="5">
        <v>21.46</v>
      </c>
    </row>
    <row r="74" spans="1:17" x14ac:dyDescent="0.25">
      <c r="A74" s="5" t="s">
        <v>25</v>
      </c>
      <c r="B74" s="5" t="s">
        <v>26</v>
      </c>
      <c r="C74" s="6">
        <v>42534</v>
      </c>
      <c r="D74" s="5">
        <f t="shared" si="9"/>
        <v>6</v>
      </c>
      <c r="E74" s="5">
        <f t="shared" si="10"/>
        <v>25</v>
      </c>
      <c r="F74" s="5">
        <v>21.46</v>
      </c>
      <c r="G74" s="40">
        <v>78618.009999999995</v>
      </c>
      <c r="H74" s="41">
        <v>1687142.4945999999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1"/>
        <v>1687142.4945999999</v>
      </c>
      <c r="N74" s="41">
        <v>0</v>
      </c>
      <c r="O74" s="40">
        <f t="shared" si="13"/>
        <v>34336</v>
      </c>
      <c r="P74" s="42">
        <f t="shared" si="12"/>
        <v>1721478.4945999999</v>
      </c>
      <c r="Q74" s="5">
        <v>21.46</v>
      </c>
    </row>
    <row r="75" spans="1:17" x14ac:dyDescent="0.25">
      <c r="A75" s="5" t="s">
        <v>25</v>
      </c>
      <c r="B75" s="5" t="s">
        <v>26</v>
      </c>
      <c r="C75" s="6">
        <v>42534</v>
      </c>
      <c r="D75" s="5">
        <f t="shared" si="9"/>
        <v>6</v>
      </c>
      <c r="E75" s="5">
        <f t="shared" si="10"/>
        <v>25</v>
      </c>
      <c r="F75" s="5">
        <v>21.48</v>
      </c>
      <c r="G75" s="40">
        <v>78618.009999999995</v>
      </c>
      <c r="H75" s="41">
        <v>1688714.8547999999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1"/>
        <v>1688714.8547999999</v>
      </c>
      <c r="N75" s="41">
        <v>0</v>
      </c>
      <c r="O75" s="40">
        <f t="shared" si="13"/>
        <v>34368</v>
      </c>
      <c r="P75" s="42">
        <f t="shared" si="12"/>
        <v>1723082.8547999999</v>
      </c>
      <c r="Q75" s="5">
        <v>21.48</v>
      </c>
    </row>
    <row r="76" spans="1:17" x14ac:dyDescent="0.25">
      <c r="A76" s="5" t="s">
        <v>25</v>
      </c>
      <c r="B76" s="5" t="s">
        <v>26</v>
      </c>
      <c r="C76" s="6">
        <v>42534</v>
      </c>
      <c r="D76" s="5">
        <f t="shared" si="9"/>
        <v>6</v>
      </c>
      <c r="E76" s="5">
        <f t="shared" si="10"/>
        <v>25</v>
      </c>
      <c r="F76" s="5">
        <v>21.44</v>
      </c>
      <c r="G76" s="40">
        <v>78618.009999999995</v>
      </c>
      <c r="H76" s="41">
        <v>1685570.1344000001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1"/>
        <v>1685570.1344000001</v>
      </c>
      <c r="N76" s="41">
        <v>0</v>
      </c>
      <c r="O76" s="40">
        <f t="shared" si="13"/>
        <v>34304</v>
      </c>
      <c r="P76" s="42">
        <f t="shared" si="12"/>
        <v>1719874.1344000001</v>
      </c>
      <c r="Q76" s="5">
        <v>21.44</v>
      </c>
    </row>
    <row r="77" spans="1:17" x14ac:dyDescent="0.25">
      <c r="A77" s="5" t="s">
        <v>25</v>
      </c>
      <c r="B77" s="5" t="s">
        <v>26</v>
      </c>
      <c r="C77" s="6">
        <v>42534</v>
      </c>
      <c r="D77" s="5">
        <f t="shared" si="9"/>
        <v>6</v>
      </c>
      <c r="E77" s="5">
        <f t="shared" si="10"/>
        <v>25</v>
      </c>
      <c r="F77" s="5">
        <v>21.45</v>
      </c>
      <c r="G77" s="40">
        <v>78618.009999999995</v>
      </c>
      <c r="H77" s="41">
        <v>1686356.3144999999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1"/>
        <v>1686356.3144999999</v>
      </c>
      <c r="N77" s="41">
        <v>0</v>
      </c>
      <c r="O77" s="40">
        <f t="shared" si="13"/>
        <v>34320</v>
      </c>
      <c r="P77" s="42">
        <f t="shared" si="12"/>
        <v>1720676.3144999999</v>
      </c>
      <c r="Q77" s="5">
        <v>21.45</v>
      </c>
    </row>
    <row r="78" spans="1:17" x14ac:dyDescent="0.25">
      <c r="A78" s="5" t="s">
        <v>25</v>
      </c>
      <c r="B78" s="5" t="s">
        <v>26</v>
      </c>
      <c r="C78" s="6">
        <v>42534</v>
      </c>
      <c r="D78" s="5">
        <f t="shared" si="9"/>
        <v>6</v>
      </c>
      <c r="E78" s="5">
        <f t="shared" si="10"/>
        <v>25</v>
      </c>
      <c r="F78" s="5">
        <v>21.83</v>
      </c>
      <c r="G78" s="40">
        <v>78618.009999999995</v>
      </c>
      <c r="H78" s="41">
        <v>1691859.5751999998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1"/>
        <v>1691859.5751999998</v>
      </c>
      <c r="N78" s="41">
        <v>0</v>
      </c>
      <c r="O78" s="40">
        <f t="shared" si="13"/>
        <v>34928</v>
      </c>
      <c r="P78" s="42">
        <f t="shared" si="12"/>
        <v>1726787.5751999998</v>
      </c>
      <c r="Q78" s="5">
        <v>21.83</v>
      </c>
    </row>
    <row r="79" spans="1:17" x14ac:dyDescent="0.25">
      <c r="A79" s="5" t="s">
        <v>67</v>
      </c>
      <c r="B79" s="5" t="s">
        <v>18</v>
      </c>
      <c r="C79" s="6">
        <v>42534</v>
      </c>
      <c r="D79" s="5">
        <f t="shared" si="9"/>
        <v>6</v>
      </c>
      <c r="E79" s="5">
        <f t="shared" si="10"/>
        <v>25</v>
      </c>
      <c r="F79" s="5">
        <v>26.11</v>
      </c>
      <c r="G79" s="40">
        <v>50300</v>
      </c>
      <c r="H79" s="41">
        <v>1315848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1"/>
        <v>1315848</v>
      </c>
      <c r="N79" s="41">
        <v>0</v>
      </c>
      <c r="O79" s="40">
        <v>0</v>
      </c>
      <c r="P79" s="42">
        <f t="shared" si="12"/>
        <v>1315848</v>
      </c>
      <c r="Q79" s="5">
        <v>26.11</v>
      </c>
    </row>
    <row r="80" spans="1:17" x14ac:dyDescent="0.25">
      <c r="A80" s="5" t="s">
        <v>33</v>
      </c>
      <c r="B80" s="5" t="s">
        <v>15</v>
      </c>
      <c r="C80" s="6">
        <v>42534</v>
      </c>
      <c r="D80" s="5">
        <f t="shared" si="9"/>
        <v>6</v>
      </c>
      <c r="E80" s="5">
        <f t="shared" si="10"/>
        <v>25</v>
      </c>
      <c r="F80" s="5">
        <v>27.86</v>
      </c>
      <c r="G80" s="40">
        <v>53375.72</v>
      </c>
      <c r="H80" s="41">
        <v>1491050.7382</v>
      </c>
      <c r="I80" s="42">
        <v>0</v>
      </c>
      <c r="J80" s="43">
        <v>0</v>
      </c>
      <c r="K80" s="44">
        <v>0</v>
      </c>
      <c r="L80" s="44">
        <v>0</v>
      </c>
      <c r="M80" s="41">
        <f t="shared" si="11"/>
        <v>1491050.7382</v>
      </c>
      <c r="N80" s="41">
        <v>0</v>
      </c>
      <c r="O80" s="40">
        <v>0</v>
      </c>
      <c r="P80" s="42">
        <f t="shared" si="12"/>
        <v>1491050.7382</v>
      </c>
      <c r="Q80" s="5">
        <v>27.86</v>
      </c>
    </row>
    <row r="81" spans="1:17" x14ac:dyDescent="0.25">
      <c r="A81" s="5" t="s">
        <v>21</v>
      </c>
      <c r="B81" s="5" t="s">
        <v>15</v>
      </c>
      <c r="C81" s="6">
        <v>42534</v>
      </c>
      <c r="D81" s="5">
        <f t="shared" si="9"/>
        <v>6</v>
      </c>
      <c r="E81" s="5">
        <f t="shared" si="10"/>
        <v>25</v>
      </c>
      <c r="F81" s="5">
        <v>29.68</v>
      </c>
      <c r="G81" s="40">
        <v>52900</v>
      </c>
      <c r="H81" s="41">
        <v>1578536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1"/>
        <v>1578536</v>
      </c>
      <c r="N81" s="41">
        <v>0</v>
      </c>
      <c r="O81" s="40">
        <v>0</v>
      </c>
      <c r="P81" s="42">
        <f t="shared" si="12"/>
        <v>1578536</v>
      </c>
      <c r="Q81" s="5">
        <v>29.68</v>
      </c>
    </row>
    <row r="82" spans="1:17" x14ac:dyDescent="0.25">
      <c r="A82" s="5" t="s">
        <v>14</v>
      </c>
      <c r="B82" s="5" t="s">
        <v>15</v>
      </c>
      <c r="C82" s="6">
        <v>42535</v>
      </c>
      <c r="D82" s="5">
        <f t="shared" si="9"/>
        <v>6</v>
      </c>
      <c r="E82" s="5">
        <f t="shared" si="10"/>
        <v>25</v>
      </c>
      <c r="F82" s="5">
        <v>27.58</v>
      </c>
      <c r="G82" s="40">
        <v>53000</v>
      </c>
      <c r="H82" s="41">
        <v>1464920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1"/>
        <v>1464920</v>
      </c>
      <c r="N82" s="41">
        <v>0</v>
      </c>
      <c r="O82" s="40">
        <v>0</v>
      </c>
      <c r="P82" s="42">
        <f t="shared" si="12"/>
        <v>1464920</v>
      </c>
      <c r="Q82" s="5">
        <v>27.58</v>
      </c>
    </row>
    <row r="83" spans="1:17" x14ac:dyDescent="0.25">
      <c r="A83" s="5" t="s">
        <v>25</v>
      </c>
      <c r="B83" s="5" t="s">
        <v>26</v>
      </c>
      <c r="C83" s="6">
        <v>42535</v>
      </c>
      <c r="D83" s="5">
        <f t="shared" si="9"/>
        <v>6</v>
      </c>
      <c r="E83" s="5">
        <f t="shared" si="10"/>
        <v>25</v>
      </c>
      <c r="F83" s="5">
        <v>21.48</v>
      </c>
      <c r="G83" s="40">
        <v>78618.7</v>
      </c>
      <c r="H83" s="41">
        <v>1688729.676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1"/>
        <v>1688729.676</v>
      </c>
      <c r="N83" s="41">
        <v>0</v>
      </c>
      <c r="O83" s="40">
        <f t="shared" ref="O83:O88" si="14">1600*Q83</f>
        <v>34368</v>
      </c>
      <c r="P83" s="42">
        <f t="shared" si="12"/>
        <v>1723097.676</v>
      </c>
      <c r="Q83" s="5">
        <v>21.48</v>
      </c>
    </row>
    <row r="84" spans="1:17" x14ac:dyDescent="0.25">
      <c r="A84" s="5" t="s">
        <v>25</v>
      </c>
      <c r="B84" s="5" t="s">
        <v>26</v>
      </c>
      <c r="C84" s="6">
        <v>42535</v>
      </c>
      <c r="D84" s="5">
        <f t="shared" si="9"/>
        <v>6</v>
      </c>
      <c r="E84" s="5">
        <f t="shared" si="10"/>
        <v>25</v>
      </c>
      <c r="F84" s="5">
        <v>21.44</v>
      </c>
      <c r="G84" s="40">
        <v>78618.7</v>
      </c>
      <c r="H84" s="41">
        <v>1685584.9280000001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1"/>
        <v>1685584.9280000001</v>
      </c>
      <c r="N84" s="41">
        <v>0</v>
      </c>
      <c r="O84" s="40">
        <f t="shared" si="14"/>
        <v>34304</v>
      </c>
      <c r="P84" s="42">
        <f t="shared" si="12"/>
        <v>1719888.9280000001</v>
      </c>
      <c r="Q84" s="5">
        <v>21.44</v>
      </c>
    </row>
    <row r="85" spans="1:17" x14ac:dyDescent="0.25">
      <c r="A85" s="5" t="s">
        <v>25</v>
      </c>
      <c r="B85" s="5" t="s">
        <v>26</v>
      </c>
      <c r="C85" s="6">
        <v>42535</v>
      </c>
      <c r="D85" s="5">
        <f t="shared" si="9"/>
        <v>6</v>
      </c>
      <c r="E85" s="5">
        <f t="shared" si="10"/>
        <v>25</v>
      </c>
      <c r="F85" s="5">
        <v>21.45</v>
      </c>
      <c r="G85" s="40">
        <v>78618.7</v>
      </c>
      <c r="H85" s="41">
        <v>1686371.115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1"/>
        <v>1686371.115</v>
      </c>
      <c r="N85" s="41">
        <v>0</v>
      </c>
      <c r="O85" s="40">
        <f t="shared" si="14"/>
        <v>34320</v>
      </c>
      <c r="P85" s="42">
        <f t="shared" si="12"/>
        <v>1720691.115</v>
      </c>
      <c r="Q85" s="5">
        <v>21.45</v>
      </c>
    </row>
    <row r="86" spans="1:17" x14ac:dyDescent="0.25">
      <c r="A86" s="5" t="s">
        <v>25</v>
      </c>
      <c r="B86" s="5" t="s">
        <v>26</v>
      </c>
      <c r="C86" s="6">
        <v>42535</v>
      </c>
      <c r="D86" s="5">
        <f t="shared" si="9"/>
        <v>6</v>
      </c>
      <c r="E86" s="5">
        <f t="shared" si="10"/>
        <v>25</v>
      </c>
      <c r="F86" s="5">
        <v>21.48</v>
      </c>
      <c r="G86" s="40">
        <v>78618.7</v>
      </c>
      <c r="H86" s="41">
        <v>1688729.676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1"/>
        <v>1688729.676</v>
      </c>
      <c r="N86" s="41">
        <v>0</v>
      </c>
      <c r="O86" s="40">
        <f t="shared" si="14"/>
        <v>34368</v>
      </c>
      <c r="P86" s="42">
        <f t="shared" si="12"/>
        <v>1723097.676</v>
      </c>
      <c r="Q86" s="5">
        <v>21.48</v>
      </c>
    </row>
    <row r="87" spans="1:17" x14ac:dyDescent="0.25">
      <c r="A87" s="5" t="s">
        <v>25</v>
      </c>
      <c r="B87" s="5" t="s">
        <v>26</v>
      </c>
      <c r="C87" s="6">
        <v>42535</v>
      </c>
      <c r="D87" s="5">
        <f t="shared" si="9"/>
        <v>6</v>
      </c>
      <c r="E87" s="5">
        <f t="shared" si="10"/>
        <v>25</v>
      </c>
      <c r="F87" s="5">
        <v>21.48</v>
      </c>
      <c r="G87" s="40">
        <v>78618.7</v>
      </c>
      <c r="H87" s="41">
        <v>1688729.676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1"/>
        <v>1688729.676</v>
      </c>
      <c r="N87" s="41">
        <v>0</v>
      </c>
      <c r="O87" s="40">
        <f t="shared" si="14"/>
        <v>34368</v>
      </c>
      <c r="P87" s="42">
        <f t="shared" si="12"/>
        <v>1723097.676</v>
      </c>
      <c r="Q87" s="5">
        <v>21.48</v>
      </c>
    </row>
    <row r="88" spans="1:17" x14ac:dyDescent="0.25">
      <c r="A88" s="5" t="s">
        <v>25</v>
      </c>
      <c r="B88" s="5" t="s">
        <v>26</v>
      </c>
      <c r="C88" s="6">
        <v>42535</v>
      </c>
      <c r="D88" s="5">
        <f t="shared" si="9"/>
        <v>6</v>
      </c>
      <c r="E88" s="5">
        <f t="shared" si="10"/>
        <v>25</v>
      </c>
      <c r="F88" s="5">
        <v>21.46</v>
      </c>
      <c r="G88" s="40">
        <v>78618.7</v>
      </c>
      <c r="H88" s="41">
        <v>1687157.3019999999</v>
      </c>
      <c r="I88" s="42">
        <v>0</v>
      </c>
      <c r="J88" s="43">
        <v>0</v>
      </c>
      <c r="K88" s="44">
        <v>0</v>
      </c>
      <c r="L88" s="44">
        <v>0</v>
      </c>
      <c r="M88" s="41">
        <f t="shared" si="11"/>
        <v>1687157.3019999999</v>
      </c>
      <c r="N88" s="41">
        <v>0</v>
      </c>
      <c r="O88" s="40">
        <f t="shared" si="14"/>
        <v>34336</v>
      </c>
      <c r="P88" s="42">
        <f t="shared" si="12"/>
        <v>1721493.3019999999</v>
      </c>
      <c r="Q88" s="5">
        <v>21.46</v>
      </c>
    </row>
    <row r="89" spans="1:17" x14ac:dyDescent="0.25">
      <c r="A89" s="5" t="s">
        <v>14</v>
      </c>
      <c r="B89" s="5" t="s">
        <v>18</v>
      </c>
      <c r="C89" s="6">
        <v>42535</v>
      </c>
      <c r="D89" s="5">
        <f t="shared" si="9"/>
        <v>6</v>
      </c>
      <c r="E89" s="5">
        <f t="shared" si="10"/>
        <v>25</v>
      </c>
      <c r="F89" s="5">
        <v>30.89</v>
      </c>
      <c r="G89" s="40">
        <v>49000</v>
      </c>
      <c r="H89" s="41">
        <v>1515570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1"/>
        <v>1515570</v>
      </c>
      <c r="N89" s="41">
        <v>0</v>
      </c>
      <c r="O89" s="40">
        <v>0</v>
      </c>
      <c r="P89" s="42">
        <f t="shared" si="12"/>
        <v>1515570</v>
      </c>
      <c r="Q89" s="5">
        <v>30.89</v>
      </c>
    </row>
    <row r="90" spans="1:17" x14ac:dyDescent="0.25">
      <c r="A90" s="5" t="s">
        <v>34</v>
      </c>
      <c r="B90" s="5" t="s">
        <v>15</v>
      </c>
      <c r="C90" s="6">
        <v>42536</v>
      </c>
      <c r="D90" s="5">
        <f t="shared" si="9"/>
        <v>6</v>
      </c>
      <c r="E90" s="5">
        <f t="shared" si="10"/>
        <v>25</v>
      </c>
      <c r="F90" s="5">
        <v>29.15</v>
      </c>
      <c r="G90" s="40">
        <v>55200</v>
      </c>
      <c r="H90" s="41">
        <v>1612668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1"/>
        <v>1612668</v>
      </c>
      <c r="N90" s="41">
        <v>0</v>
      </c>
      <c r="O90" s="40">
        <v>0</v>
      </c>
      <c r="P90" s="42">
        <f t="shared" si="12"/>
        <v>1612668</v>
      </c>
      <c r="Q90" s="5">
        <v>29.15</v>
      </c>
    </row>
    <row r="91" spans="1:17" x14ac:dyDescent="0.25">
      <c r="A91" s="5" t="s">
        <v>16</v>
      </c>
      <c r="B91" s="5" t="s">
        <v>18</v>
      </c>
      <c r="C91" s="6">
        <v>42536</v>
      </c>
      <c r="D91" s="5">
        <f t="shared" si="9"/>
        <v>6</v>
      </c>
      <c r="E91" s="5">
        <f t="shared" si="10"/>
        <v>25</v>
      </c>
      <c r="F91" s="5">
        <v>30.99</v>
      </c>
      <c r="G91" s="40">
        <v>51500</v>
      </c>
      <c r="H91" s="41">
        <v>1598560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1"/>
        <v>1598560</v>
      </c>
      <c r="N91" s="41">
        <v>0</v>
      </c>
      <c r="O91" s="40">
        <v>0</v>
      </c>
      <c r="P91" s="42">
        <f t="shared" si="12"/>
        <v>1598560</v>
      </c>
      <c r="Q91" s="5">
        <v>30.99</v>
      </c>
    </row>
    <row r="92" spans="1:17" x14ac:dyDescent="0.25">
      <c r="A92" s="5" t="s">
        <v>65</v>
      </c>
      <c r="B92" s="5" t="s">
        <v>66</v>
      </c>
      <c r="C92" s="6">
        <v>42536</v>
      </c>
      <c r="D92" s="5">
        <f t="shared" si="9"/>
        <v>6</v>
      </c>
      <c r="E92" s="5">
        <f t="shared" si="10"/>
        <v>25</v>
      </c>
      <c r="F92" s="5">
        <v>19.37</v>
      </c>
      <c r="G92" s="40">
        <v>50860.57</v>
      </c>
      <c r="H92" s="41">
        <v>985169.24090000009</v>
      </c>
      <c r="I92" s="42">
        <v>0</v>
      </c>
      <c r="J92" s="43">
        <f t="shared" ref="J92:J93" si="15">12.5%*H92</f>
        <v>123146.15511250001</v>
      </c>
      <c r="K92" s="44">
        <f t="shared" ref="K92:K93" si="16">2%*J92</f>
        <v>2462.9231022500003</v>
      </c>
      <c r="L92" s="44">
        <f t="shared" ref="L92:L93" si="17">1%*J92</f>
        <v>1231.4615511250001</v>
      </c>
      <c r="M92" s="41">
        <f t="shared" si="11"/>
        <v>1112009.7806658752</v>
      </c>
      <c r="N92" s="41">
        <v>0</v>
      </c>
      <c r="O92" s="40">
        <v>44480.391226635009</v>
      </c>
      <c r="P92" s="42">
        <f t="shared" si="12"/>
        <v>1156490.1718925103</v>
      </c>
      <c r="Q92" s="5">
        <v>19.37</v>
      </c>
    </row>
    <row r="93" spans="1:17" x14ac:dyDescent="0.25">
      <c r="A93" s="5" t="s">
        <v>65</v>
      </c>
      <c r="B93" s="5" t="s">
        <v>66</v>
      </c>
      <c r="C93" s="6">
        <v>42536</v>
      </c>
      <c r="D93" s="5">
        <f t="shared" si="9"/>
        <v>6</v>
      </c>
      <c r="E93" s="5">
        <f t="shared" si="10"/>
        <v>25</v>
      </c>
      <c r="F93" s="5">
        <v>20.51</v>
      </c>
      <c r="G93" s="40">
        <v>50860.57</v>
      </c>
      <c r="H93" s="41">
        <v>1043150.2907000001</v>
      </c>
      <c r="I93" s="42">
        <v>0</v>
      </c>
      <c r="J93" s="43">
        <f t="shared" si="15"/>
        <v>130393.78633750002</v>
      </c>
      <c r="K93" s="44">
        <f t="shared" si="16"/>
        <v>2607.8757267500005</v>
      </c>
      <c r="L93" s="44">
        <f t="shared" si="17"/>
        <v>1303.9378633750002</v>
      </c>
      <c r="M93" s="41">
        <f t="shared" si="11"/>
        <v>1177455.8906276252</v>
      </c>
      <c r="N93" s="41">
        <v>0</v>
      </c>
      <c r="O93" s="40">
        <v>47098.235625105008</v>
      </c>
      <c r="P93" s="42">
        <f t="shared" si="12"/>
        <v>1224554.1262527301</v>
      </c>
      <c r="Q93" s="5">
        <v>20.51</v>
      </c>
    </row>
    <row r="94" spans="1:17" x14ac:dyDescent="0.25">
      <c r="A94" s="5" t="s">
        <v>25</v>
      </c>
      <c r="B94" s="5" t="s">
        <v>26</v>
      </c>
      <c r="C94" s="6">
        <v>42536</v>
      </c>
      <c r="D94" s="5">
        <f t="shared" si="9"/>
        <v>6</v>
      </c>
      <c r="E94" s="5">
        <f t="shared" si="10"/>
        <v>25</v>
      </c>
      <c r="F94" s="5">
        <v>21.06</v>
      </c>
      <c r="G94" s="40">
        <v>78618.7</v>
      </c>
      <c r="H94" s="41">
        <v>1686371.115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1"/>
        <v>1686371.115</v>
      </c>
      <c r="N94" s="41">
        <v>0</v>
      </c>
      <c r="O94" s="40">
        <f t="shared" ref="O94:O96" si="18">1600*Q94</f>
        <v>33696</v>
      </c>
      <c r="P94" s="42">
        <f t="shared" si="12"/>
        <v>1720067.115</v>
      </c>
      <c r="Q94" s="5">
        <v>21.06</v>
      </c>
    </row>
    <row r="95" spans="1:17" x14ac:dyDescent="0.25">
      <c r="A95" s="5" t="s">
        <v>25</v>
      </c>
      <c r="B95" s="5" t="s">
        <v>26</v>
      </c>
      <c r="C95" s="6">
        <v>42536</v>
      </c>
      <c r="D95" s="5">
        <f t="shared" si="9"/>
        <v>6</v>
      </c>
      <c r="E95" s="5">
        <f t="shared" si="10"/>
        <v>25</v>
      </c>
      <c r="F95" s="5">
        <v>21.46</v>
      </c>
      <c r="G95" s="40">
        <v>78618.009999999995</v>
      </c>
      <c r="H95" s="41">
        <v>1687142.4945999999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1"/>
        <v>1687142.4945999999</v>
      </c>
      <c r="N95" s="41">
        <v>0</v>
      </c>
      <c r="O95" s="40">
        <f t="shared" si="18"/>
        <v>34336</v>
      </c>
      <c r="P95" s="42">
        <f t="shared" si="12"/>
        <v>1721478.4945999999</v>
      </c>
      <c r="Q95" s="5">
        <v>21.46</v>
      </c>
    </row>
    <row r="96" spans="1:17" x14ac:dyDescent="0.25">
      <c r="A96" s="5" t="s">
        <v>25</v>
      </c>
      <c r="B96" s="5" t="s">
        <v>26</v>
      </c>
      <c r="C96" s="6">
        <v>42536</v>
      </c>
      <c r="D96" s="5">
        <f t="shared" si="9"/>
        <v>6</v>
      </c>
      <c r="E96" s="5">
        <f t="shared" si="10"/>
        <v>25</v>
      </c>
      <c r="F96" s="5">
        <v>21.51</v>
      </c>
      <c r="G96" s="40">
        <v>78618.009999999995</v>
      </c>
      <c r="H96" s="41">
        <v>1691073.3951000001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1"/>
        <v>1691073.3951000001</v>
      </c>
      <c r="N96" s="41">
        <v>0</v>
      </c>
      <c r="O96" s="40">
        <f t="shared" si="18"/>
        <v>34416</v>
      </c>
      <c r="P96" s="42">
        <f t="shared" si="12"/>
        <v>1725489.3951000001</v>
      </c>
      <c r="Q96" s="5">
        <v>21.51</v>
      </c>
    </row>
    <row r="97" spans="1:17" x14ac:dyDescent="0.25">
      <c r="A97" s="5" t="s">
        <v>30</v>
      </c>
      <c r="B97" s="5" t="s">
        <v>15</v>
      </c>
      <c r="C97" s="6">
        <v>42536</v>
      </c>
      <c r="D97" s="5">
        <f t="shared" si="9"/>
        <v>6</v>
      </c>
      <c r="E97" s="5">
        <f t="shared" si="10"/>
        <v>25</v>
      </c>
      <c r="F97" s="5">
        <v>21.95</v>
      </c>
      <c r="G97" s="40">
        <v>53020.18</v>
      </c>
      <c r="H97" s="41">
        <v>1163792.9509999999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1"/>
        <v>1163792.9509999999</v>
      </c>
      <c r="N97" s="41">
        <v>0</v>
      </c>
      <c r="O97" s="40">
        <v>0</v>
      </c>
      <c r="P97" s="42">
        <f t="shared" si="12"/>
        <v>1163792.9509999999</v>
      </c>
      <c r="Q97" s="5">
        <v>21.95</v>
      </c>
    </row>
    <row r="98" spans="1:17" x14ac:dyDescent="0.25">
      <c r="A98" s="5" t="s">
        <v>34</v>
      </c>
      <c r="B98" s="5" t="s">
        <v>15</v>
      </c>
      <c r="C98" s="6">
        <v>42537</v>
      </c>
      <c r="D98" s="5">
        <f t="shared" si="9"/>
        <v>6</v>
      </c>
      <c r="E98" s="5">
        <f t="shared" si="10"/>
        <v>25</v>
      </c>
      <c r="F98" s="5">
        <v>30.01</v>
      </c>
      <c r="G98" s="40">
        <v>53933.75</v>
      </c>
      <c r="H98" s="41">
        <v>1618551.8375000001</v>
      </c>
      <c r="I98" s="42">
        <v>0</v>
      </c>
      <c r="J98" s="43">
        <v>0</v>
      </c>
      <c r="K98" s="44">
        <v>0</v>
      </c>
      <c r="L98" s="44">
        <v>0</v>
      </c>
      <c r="M98" s="41">
        <f t="shared" si="11"/>
        <v>1618551.8375000001</v>
      </c>
      <c r="N98" s="41">
        <v>0</v>
      </c>
      <c r="O98" s="40">
        <v>0</v>
      </c>
      <c r="P98" s="42">
        <f t="shared" si="12"/>
        <v>1618551.8375000001</v>
      </c>
      <c r="Q98" s="5">
        <v>30.01</v>
      </c>
    </row>
    <row r="99" spans="1:17" x14ac:dyDescent="0.25">
      <c r="A99" s="5" t="s">
        <v>34</v>
      </c>
      <c r="B99" s="5" t="s">
        <v>15</v>
      </c>
      <c r="C99" s="6">
        <v>42537</v>
      </c>
      <c r="D99" s="5">
        <f t="shared" si="9"/>
        <v>6</v>
      </c>
      <c r="E99" s="5">
        <f t="shared" si="10"/>
        <v>25</v>
      </c>
      <c r="F99" s="5">
        <v>28.77</v>
      </c>
      <c r="G99" s="40">
        <v>55200</v>
      </c>
      <c r="H99" s="41">
        <v>1588104</v>
      </c>
      <c r="I99" s="42">
        <v>0</v>
      </c>
      <c r="J99" s="43">
        <v>0</v>
      </c>
      <c r="K99" s="44">
        <v>0</v>
      </c>
      <c r="L99" s="44">
        <v>0</v>
      </c>
      <c r="M99" s="41">
        <f t="shared" si="11"/>
        <v>1588104</v>
      </c>
      <c r="N99" s="41">
        <v>0</v>
      </c>
      <c r="O99" s="40">
        <v>0</v>
      </c>
      <c r="P99" s="42">
        <f t="shared" si="12"/>
        <v>1588104</v>
      </c>
      <c r="Q99" s="5">
        <v>28.77</v>
      </c>
    </row>
    <row r="100" spans="1:17" x14ac:dyDescent="0.25">
      <c r="A100" s="5" t="s">
        <v>90</v>
      </c>
      <c r="B100" s="5" t="s">
        <v>20</v>
      </c>
      <c r="C100" s="6">
        <v>42538</v>
      </c>
      <c r="D100" s="5">
        <f t="shared" si="9"/>
        <v>6</v>
      </c>
      <c r="E100" s="5">
        <f t="shared" si="10"/>
        <v>25</v>
      </c>
      <c r="F100" s="5">
        <v>20.079999999999998</v>
      </c>
      <c r="G100" s="40">
        <v>82360</v>
      </c>
      <c r="H100" s="41">
        <v>1653788.7999999998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11"/>
        <v>1653788.7999999998</v>
      </c>
      <c r="N100" s="41">
        <f>M100*2%</f>
        <v>33075.775999999998</v>
      </c>
      <c r="O100" s="40">
        <v>0</v>
      </c>
      <c r="P100" s="42">
        <f t="shared" si="12"/>
        <v>1686864.5759999999</v>
      </c>
      <c r="Q100" s="5">
        <v>20.079999999999998</v>
      </c>
    </row>
    <row r="101" spans="1:17" x14ac:dyDescent="0.25">
      <c r="A101" s="5" t="s">
        <v>90</v>
      </c>
      <c r="B101" s="5" t="s">
        <v>20</v>
      </c>
      <c r="C101" s="6">
        <v>42538</v>
      </c>
      <c r="D101" s="5">
        <f t="shared" si="9"/>
        <v>6</v>
      </c>
      <c r="E101" s="5">
        <f t="shared" si="10"/>
        <v>25</v>
      </c>
      <c r="F101" s="5">
        <v>20.11</v>
      </c>
      <c r="G101" s="40">
        <v>82360</v>
      </c>
      <c r="H101" s="41">
        <v>1656259.5999999999</v>
      </c>
      <c r="I101" s="42">
        <v>0</v>
      </c>
      <c r="J101" s="43">
        <v>0</v>
      </c>
      <c r="K101" s="44">
        <v>0</v>
      </c>
      <c r="L101" s="44">
        <v>0</v>
      </c>
      <c r="M101" s="41">
        <f t="shared" si="11"/>
        <v>1656259.5999999999</v>
      </c>
      <c r="N101" s="41">
        <f t="shared" ref="N101:N103" si="19">M101*2%</f>
        <v>33125.191999999995</v>
      </c>
      <c r="O101" s="40">
        <v>0</v>
      </c>
      <c r="P101" s="42">
        <f t="shared" si="12"/>
        <v>1689384.7919999999</v>
      </c>
      <c r="Q101" s="5">
        <v>20.11</v>
      </c>
    </row>
    <row r="102" spans="1:17" x14ac:dyDescent="0.25">
      <c r="A102" s="5" t="s">
        <v>90</v>
      </c>
      <c r="B102" s="5" t="s">
        <v>20</v>
      </c>
      <c r="C102" s="6">
        <v>42538</v>
      </c>
      <c r="D102" s="5">
        <f t="shared" si="9"/>
        <v>6</v>
      </c>
      <c r="E102" s="5">
        <f t="shared" si="10"/>
        <v>25</v>
      </c>
      <c r="F102" s="5">
        <v>20.46</v>
      </c>
      <c r="G102" s="40">
        <v>82360</v>
      </c>
      <c r="H102" s="41">
        <v>1685085.6</v>
      </c>
      <c r="I102" s="42">
        <v>0</v>
      </c>
      <c r="J102" s="43">
        <v>0</v>
      </c>
      <c r="K102" s="44">
        <v>0</v>
      </c>
      <c r="L102" s="44">
        <v>0</v>
      </c>
      <c r="M102" s="41">
        <f t="shared" si="11"/>
        <v>1685085.6</v>
      </c>
      <c r="N102" s="41">
        <f t="shared" si="19"/>
        <v>33701.712</v>
      </c>
      <c r="O102" s="40">
        <v>0</v>
      </c>
      <c r="P102" s="42">
        <f t="shared" si="12"/>
        <v>1718787.3120000002</v>
      </c>
      <c r="Q102" s="5">
        <v>20.46</v>
      </c>
    </row>
    <row r="103" spans="1:17" x14ac:dyDescent="0.25">
      <c r="A103" s="5" t="s">
        <v>91</v>
      </c>
      <c r="B103" s="5" t="s">
        <v>20</v>
      </c>
      <c r="C103" s="6">
        <v>42538</v>
      </c>
      <c r="D103" s="5">
        <f t="shared" si="9"/>
        <v>6</v>
      </c>
      <c r="E103" s="5">
        <f t="shared" si="10"/>
        <v>25</v>
      </c>
      <c r="F103" s="5">
        <v>20</v>
      </c>
      <c r="G103" s="40">
        <v>82352.899999999994</v>
      </c>
      <c r="H103" s="41">
        <v>1647058</v>
      </c>
      <c r="I103" s="42">
        <v>0</v>
      </c>
      <c r="J103" s="43">
        <v>0</v>
      </c>
      <c r="K103" s="44">
        <v>0</v>
      </c>
      <c r="L103" s="44">
        <v>0</v>
      </c>
      <c r="M103" s="41">
        <f t="shared" si="11"/>
        <v>1647058</v>
      </c>
      <c r="N103" s="41">
        <f t="shared" si="19"/>
        <v>32941.160000000003</v>
      </c>
      <c r="O103" s="40">
        <v>0</v>
      </c>
      <c r="P103" s="42">
        <f t="shared" si="12"/>
        <v>1679999.16</v>
      </c>
      <c r="Q103" s="5">
        <v>20</v>
      </c>
    </row>
    <row r="104" spans="1:17" x14ac:dyDescent="0.25">
      <c r="A104" s="5" t="s">
        <v>21</v>
      </c>
      <c r="B104" s="5" t="s">
        <v>15</v>
      </c>
      <c r="C104" s="6">
        <v>42538</v>
      </c>
      <c r="D104" s="5">
        <f t="shared" si="9"/>
        <v>6</v>
      </c>
      <c r="E104" s="5">
        <f t="shared" si="10"/>
        <v>25</v>
      </c>
      <c r="F104" s="5">
        <v>29.45</v>
      </c>
      <c r="G104" s="40">
        <v>52934.26</v>
      </c>
      <c r="H104" s="41">
        <v>1570294.8229</v>
      </c>
      <c r="I104" s="42">
        <v>0</v>
      </c>
      <c r="J104" s="43">
        <v>0</v>
      </c>
      <c r="K104" s="44">
        <v>0</v>
      </c>
      <c r="L104" s="44">
        <v>0</v>
      </c>
      <c r="M104" s="41">
        <f t="shared" si="11"/>
        <v>1570294.8229</v>
      </c>
      <c r="N104" s="41">
        <v>0</v>
      </c>
      <c r="O104" s="40">
        <v>0</v>
      </c>
      <c r="P104" s="42">
        <f t="shared" si="12"/>
        <v>1570294.8229</v>
      </c>
      <c r="Q104" s="5">
        <v>29.45</v>
      </c>
    </row>
    <row r="105" spans="1:17" x14ac:dyDescent="0.25">
      <c r="A105" s="5" t="s">
        <v>90</v>
      </c>
      <c r="B105" s="5" t="s">
        <v>20</v>
      </c>
      <c r="C105" s="6">
        <v>42538</v>
      </c>
      <c r="D105" s="5">
        <f t="shared" si="9"/>
        <v>6</v>
      </c>
      <c r="E105" s="5">
        <f t="shared" si="10"/>
        <v>25</v>
      </c>
      <c r="F105" s="5">
        <v>20.03</v>
      </c>
      <c r="G105" s="40">
        <v>82360</v>
      </c>
      <c r="H105" s="41">
        <v>1653788.7999999998</v>
      </c>
      <c r="I105" s="42">
        <v>0</v>
      </c>
      <c r="J105" s="43">
        <v>0</v>
      </c>
      <c r="K105" s="44">
        <v>0</v>
      </c>
      <c r="L105" s="44">
        <v>0</v>
      </c>
      <c r="M105" s="41">
        <f t="shared" si="11"/>
        <v>1653788.7999999998</v>
      </c>
      <c r="N105" s="41">
        <f t="shared" ref="N105:N106" si="20">M105*2%</f>
        <v>33075.775999999998</v>
      </c>
      <c r="O105" s="40">
        <v>0</v>
      </c>
      <c r="P105" s="42">
        <f t="shared" si="12"/>
        <v>1686864.5759999999</v>
      </c>
      <c r="Q105" s="5">
        <v>20.03</v>
      </c>
    </row>
    <row r="106" spans="1:17" x14ac:dyDescent="0.25">
      <c r="A106" s="5" t="s">
        <v>90</v>
      </c>
      <c r="B106" s="5" t="s">
        <v>20</v>
      </c>
      <c r="C106" s="6">
        <v>42538</v>
      </c>
      <c r="D106" s="5">
        <f t="shared" si="9"/>
        <v>6</v>
      </c>
      <c r="E106" s="5">
        <f t="shared" si="10"/>
        <v>25</v>
      </c>
      <c r="F106" s="5">
        <v>19.98</v>
      </c>
      <c r="G106" s="40">
        <v>82360</v>
      </c>
      <c r="H106" s="41">
        <v>1647200</v>
      </c>
      <c r="I106" s="42">
        <v>0</v>
      </c>
      <c r="J106" s="43">
        <v>0</v>
      </c>
      <c r="K106" s="44">
        <v>0</v>
      </c>
      <c r="L106" s="44">
        <v>0</v>
      </c>
      <c r="M106" s="41">
        <f t="shared" si="11"/>
        <v>1647200</v>
      </c>
      <c r="N106" s="41">
        <f t="shared" si="20"/>
        <v>32944</v>
      </c>
      <c r="O106" s="40">
        <v>0</v>
      </c>
      <c r="P106" s="42">
        <f t="shared" si="12"/>
        <v>1680144</v>
      </c>
      <c r="Q106" s="5">
        <v>19.98</v>
      </c>
    </row>
    <row r="107" spans="1:17" x14ac:dyDescent="0.25">
      <c r="A107" s="5" t="s">
        <v>33</v>
      </c>
      <c r="B107" s="5" t="s">
        <v>15</v>
      </c>
      <c r="C107" s="6">
        <v>42539</v>
      </c>
      <c r="D107" s="5">
        <f t="shared" si="9"/>
        <v>6</v>
      </c>
      <c r="E107" s="5">
        <f t="shared" si="10"/>
        <v>25</v>
      </c>
      <c r="F107" s="5">
        <v>23.57</v>
      </c>
      <c r="G107" s="40">
        <v>53000</v>
      </c>
      <c r="H107" s="41">
        <v>1253450</v>
      </c>
      <c r="I107" s="42">
        <v>0</v>
      </c>
      <c r="J107" s="43">
        <v>0</v>
      </c>
      <c r="K107" s="44">
        <v>0</v>
      </c>
      <c r="L107" s="44">
        <v>0</v>
      </c>
      <c r="M107" s="41">
        <f t="shared" si="11"/>
        <v>1253450</v>
      </c>
      <c r="N107" s="41">
        <v>0</v>
      </c>
      <c r="O107" s="40">
        <v>0</v>
      </c>
      <c r="P107" s="42">
        <f t="shared" si="12"/>
        <v>1253450</v>
      </c>
      <c r="Q107" s="5">
        <v>23.57</v>
      </c>
    </row>
    <row r="108" spans="1:17" x14ac:dyDescent="0.25">
      <c r="A108" s="5" t="s">
        <v>92</v>
      </c>
      <c r="B108" s="5" t="s">
        <v>20</v>
      </c>
      <c r="C108" s="6">
        <v>42539</v>
      </c>
      <c r="D108" s="5">
        <f t="shared" si="9"/>
        <v>6</v>
      </c>
      <c r="E108" s="5">
        <f t="shared" si="10"/>
        <v>25</v>
      </c>
      <c r="F108" s="5">
        <v>20.260000000000002</v>
      </c>
      <c r="G108" s="40">
        <v>82350</v>
      </c>
      <c r="H108" s="41">
        <v>1670058</v>
      </c>
      <c r="I108" s="42">
        <v>0</v>
      </c>
      <c r="J108" s="43">
        <v>0</v>
      </c>
      <c r="K108" s="44">
        <v>0</v>
      </c>
      <c r="L108" s="44">
        <v>0</v>
      </c>
      <c r="M108" s="41">
        <f t="shared" si="11"/>
        <v>1670058</v>
      </c>
      <c r="N108" s="41">
        <f>M108*2%</f>
        <v>33401.160000000003</v>
      </c>
      <c r="O108" s="40">
        <v>0</v>
      </c>
      <c r="P108" s="42">
        <f t="shared" si="12"/>
        <v>1703459.16</v>
      </c>
      <c r="Q108" s="5">
        <v>20.260000000000002</v>
      </c>
    </row>
    <row r="109" spans="1:17" x14ac:dyDescent="0.25">
      <c r="A109" s="5" t="s">
        <v>34</v>
      </c>
      <c r="B109" s="5" t="s">
        <v>18</v>
      </c>
      <c r="C109" s="6">
        <v>42540</v>
      </c>
      <c r="D109" s="5">
        <f t="shared" si="9"/>
        <v>6</v>
      </c>
      <c r="E109" s="5">
        <f t="shared" si="10"/>
        <v>26</v>
      </c>
      <c r="F109" s="5">
        <v>31.06</v>
      </c>
      <c r="G109" s="40">
        <v>52500</v>
      </c>
      <c r="H109" s="41">
        <v>1633800</v>
      </c>
      <c r="I109" s="42">
        <v>0</v>
      </c>
      <c r="J109" s="43">
        <v>0</v>
      </c>
      <c r="K109" s="44">
        <v>0</v>
      </c>
      <c r="L109" s="44">
        <v>0</v>
      </c>
      <c r="M109" s="41">
        <f t="shared" si="11"/>
        <v>1633800</v>
      </c>
      <c r="N109" s="41">
        <v>0</v>
      </c>
      <c r="O109" s="40">
        <v>0</v>
      </c>
      <c r="P109" s="42">
        <f t="shared" si="12"/>
        <v>1633800</v>
      </c>
      <c r="Q109" s="5">
        <v>31.06</v>
      </c>
    </row>
    <row r="110" spans="1:17" x14ac:dyDescent="0.25">
      <c r="A110" s="5" t="s">
        <v>12</v>
      </c>
      <c r="B110" s="5" t="s">
        <v>13</v>
      </c>
      <c r="C110" s="6">
        <v>42540</v>
      </c>
      <c r="D110" s="5">
        <f t="shared" si="9"/>
        <v>6</v>
      </c>
      <c r="E110" s="5">
        <f t="shared" si="10"/>
        <v>26</v>
      </c>
      <c r="F110" s="5">
        <v>27.55</v>
      </c>
      <c r="G110" s="40">
        <v>52451</v>
      </c>
      <c r="H110" s="41">
        <v>1448172.1099999999</v>
      </c>
      <c r="I110" s="42">
        <v>0</v>
      </c>
      <c r="J110" s="43">
        <v>0</v>
      </c>
      <c r="K110" s="44">
        <v>0</v>
      </c>
      <c r="L110" s="44">
        <v>0</v>
      </c>
      <c r="M110" s="41">
        <f t="shared" si="11"/>
        <v>1448172.1099999999</v>
      </c>
      <c r="N110" s="41">
        <f>2%*M110</f>
        <v>28963.442199999998</v>
      </c>
      <c r="O110" s="40">
        <v>0</v>
      </c>
      <c r="P110" s="42">
        <f t="shared" si="12"/>
        <v>1477135.5521999998</v>
      </c>
      <c r="Q110" s="5">
        <v>27.55</v>
      </c>
    </row>
    <row r="111" spans="1:17" x14ac:dyDescent="0.25">
      <c r="A111" s="5" t="s">
        <v>21</v>
      </c>
      <c r="B111" s="5" t="s">
        <v>15</v>
      </c>
      <c r="C111" s="6">
        <v>42540</v>
      </c>
      <c r="D111" s="5">
        <f t="shared" si="9"/>
        <v>6</v>
      </c>
      <c r="E111" s="5">
        <f t="shared" si="10"/>
        <v>26</v>
      </c>
      <c r="F111" s="5">
        <v>28.95</v>
      </c>
      <c r="G111" s="40">
        <v>53000</v>
      </c>
      <c r="H111" s="41">
        <v>1537265</v>
      </c>
      <c r="I111" s="42">
        <v>0</v>
      </c>
      <c r="J111" s="43">
        <v>0</v>
      </c>
      <c r="K111" s="44">
        <v>0</v>
      </c>
      <c r="L111" s="44">
        <v>0</v>
      </c>
      <c r="M111" s="41">
        <f t="shared" si="11"/>
        <v>1537265</v>
      </c>
      <c r="N111" s="41">
        <v>0</v>
      </c>
      <c r="O111" s="40">
        <v>0</v>
      </c>
      <c r="P111" s="42">
        <f t="shared" si="12"/>
        <v>1537265</v>
      </c>
      <c r="Q111" s="5">
        <v>28.95</v>
      </c>
    </row>
    <row r="112" spans="1:17" x14ac:dyDescent="0.25">
      <c r="A112" s="5" t="s">
        <v>24</v>
      </c>
      <c r="B112" s="5" t="s">
        <v>15</v>
      </c>
      <c r="C112" s="6">
        <v>42540</v>
      </c>
      <c r="D112" s="5">
        <f t="shared" si="9"/>
        <v>6</v>
      </c>
      <c r="E112" s="5">
        <f t="shared" si="10"/>
        <v>26</v>
      </c>
      <c r="F112" s="5">
        <v>31.52</v>
      </c>
      <c r="G112" s="40">
        <v>52900</v>
      </c>
      <c r="H112" s="41">
        <v>1670846.5</v>
      </c>
      <c r="I112" s="42">
        <v>0</v>
      </c>
      <c r="J112" s="43">
        <v>0</v>
      </c>
      <c r="K112" s="44">
        <v>0</v>
      </c>
      <c r="L112" s="44">
        <v>0</v>
      </c>
      <c r="M112" s="41">
        <f t="shared" si="11"/>
        <v>1670846.5</v>
      </c>
      <c r="N112" s="41">
        <v>0</v>
      </c>
      <c r="O112" s="40">
        <v>0</v>
      </c>
      <c r="P112" s="42">
        <f t="shared" si="12"/>
        <v>1670846.5</v>
      </c>
      <c r="Q112" s="5">
        <v>31.52</v>
      </c>
    </row>
    <row r="113" spans="1:17" x14ac:dyDescent="0.25">
      <c r="A113" s="5" t="s">
        <v>22</v>
      </c>
      <c r="B113" s="5" t="s">
        <v>15</v>
      </c>
      <c r="C113" s="6">
        <v>42540</v>
      </c>
      <c r="D113" s="5">
        <f t="shared" si="9"/>
        <v>6</v>
      </c>
      <c r="E113" s="5">
        <f t="shared" si="10"/>
        <v>26</v>
      </c>
      <c r="F113" s="5">
        <v>30.98</v>
      </c>
      <c r="G113" s="40">
        <v>54332.24</v>
      </c>
      <c r="H113" s="41">
        <v>1684842.7624000001</v>
      </c>
      <c r="I113" s="42">
        <v>0</v>
      </c>
      <c r="J113" s="43">
        <v>0</v>
      </c>
      <c r="K113" s="44">
        <v>0</v>
      </c>
      <c r="L113" s="44">
        <v>0</v>
      </c>
      <c r="M113" s="41">
        <f t="shared" si="11"/>
        <v>1684842.7624000001</v>
      </c>
      <c r="N113" s="41">
        <v>0</v>
      </c>
      <c r="O113" s="40">
        <v>0</v>
      </c>
      <c r="P113" s="42">
        <f t="shared" si="12"/>
        <v>1684842.7624000001</v>
      </c>
      <c r="Q113" s="5">
        <v>30.98</v>
      </c>
    </row>
    <row r="114" spans="1:17" x14ac:dyDescent="0.25">
      <c r="A114" s="5" t="s">
        <v>33</v>
      </c>
      <c r="B114" s="5" t="s">
        <v>15</v>
      </c>
      <c r="C114" s="6">
        <v>42540</v>
      </c>
      <c r="D114" s="5">
        <f t="shared" si="9"/>
        <v>6</v>
      </c>
      <c r="E114" s="5">
        <f t="shared" si="10"/>
        <v>26</v>
      </c>
      <c r="F114" s="5">
        <v>26.94</v>
      </c>
      <c r="G114" s="40">
        <v>53000</v>
      </c>
      <c r="H114" s="41">
        <v>1431795</v>
      </c>
      <c r="I114" s="42">
        <v>0</v>
      </c>
      <c r="J114" s="43">
        <v>0</v>
      </c>
      <c r="K114" s="44">
        <v>0</v>
      </c>
      <c r="L114" s="44">
        <v>0</v>
      </c>
      <c r="M114" s="41">
        <f t="shared" si="11"/>
        <v>1431795</v>
      </c>
      <c r="N114" s="41">
        <v>0</v>
      </c>
      <c r="O114" s="40">
        <v>0</v>
      </c>
      <c r="P114" s="42">
        <f t="shared" si="12"/>
        <v>1431795</v>
      </c>
      <c r="Q114" s="5">
        <v>26.94</v>
      </c>
    </row>
    <row r="115" spans="1:17" x14ac:dyDescent="0.25">
      <c r="A115" s="5" t="s">
        <v>21</v>
      </c>
      <c r="B115" s="5" t="s">
        <v>15</v>
      </c>
      <c r="C115" s="6">
        <v>42540</v>
      </c>
      <c r="D115" s="5">
        <f t="shared" si="9"/>
        <v>6</v>
      </c>
      <c r="E115" s="5">
        <f t="shared" si="10"/>
        <v>26</v>
      </c>
      <c r="F115" s="5">
        <v>29.46</v>
      </c>
      <c r="G115" s="40">
        <v>53088.81</v>
      </c>
      <c r="H115" s="41">
        <v>1568508.89145</v>
      </c>
      <c r="I115" s="42">
        <v>0</v>
      </c>
      <c r="J115" s="43">
        <v>0</v>
      </c>
      <c r="K115" s="44">
        <v>0</v>
      </c>
      <c r="L115" s="44">
        <v>0</v>
      </c>
      <c r="M115" s="41">
        <f t="shared" si="11"/>
        <v>1568508.89145</v>
      </c>
      <c r="N115" s="41">
        <v>0</v>
      </c>
      <c r="O115" s="40">
        <v>0</v>
      </c>
      <c r="P115" s="42">
        <f t="shared" si="12"/>
        <v>1568508.89145</v>
      </c>
      <c r="Q115" s="5">
        <v>29.46</v>
      </c>
    </row>
    <row r="116" spans="1:17" x14ac:dyDescent="0.25">
      <c r="A116" s="5" t="s">
        <v>32</v>
      </c>
      <c r="B116" s="5" t="s">
        <v>18</v>
      </c>
      <c r="C116" s="6">
        <v>42541</v>
      </c>
      <c r="D116" s="5">
        <f t="shared" si="9"/>
        <v>6</v>
      </c>
      <c r="E116" s="5">
        <f t="shared" si="10"/>
        <v>26</v>
      </c>
      <c r="F116" s="5">
        <v>26.58</v>
      </c>
      <c r="G116" s="40">
        <v>49762</v>
      </c>
      <c r="H116" s="41">
        <v>1322673.96</v>
      </c>
      <c r="I116" s="42">
        <v>0</v>
      </c>
      <c r="J116" s="43">
        <v>0</v>
      </c>
      <c r="K116" s="44">
        <v>0</v>
      </c>
      <c r="L116" s="44">
        <v>0</v>
      </c>
      <c r="M116" s="41">
        <f t="shared" si="11"/>
        <v>1322673.96</v>
      </c>
      <c r="N116" s="41">
        <v>0</v>
      </c>
      <c r="O116" s="40">
        <v>0</v>
      </c>
      <c r="P116" s="42">
        <f t="shared" si="12"/>
        <v>1322673.96</v>
      </c>
      <c r="Q116" s="5">
        <v>26.58</v>
      </c>
    </row>
    <row r="117" spans="1:17" x14ac:dyDescent="0.25">
      <c r="A117" s="5" t="s">
        <v>16</v>
      </c>
      <c r="B117" s="5" t="s">
        <v>15</v>
      </c>
      <c r="C117" s="6">
        <v>42542</v>
      </c>
      <c r="D117" s="5">
        <f t="shared" si="9"/>
        <v>6</v>
      </c>
      <c r="E117" s="5">
        <f t="shared" si="10"/>
        <v>26</v>
      </c>
      <c r="F117" s="5">
        <v>28.57</v>
      </c>
      <c r="G117" s="40">
        <v>55500</v>
      </c>
      <c r="H117" s="41">
        <v>1591185</v>
      </c>
      <c r="I117" s="42">
        <v>0</v>
      </c>
      <c r="J117" s="43">
        <v>0</v>
      </c>
      <c r="K117" s="44">
        <v>0</v>
      </c>
      <c r="L117" s="44">
        <v>0</v>
      </c>
      <c r="M117" s="41">
        <f t="shared" si="11"/>
        <v>1591185</v>
      </c>
      <c r="N117" s="41">
        <v>0</v>
      </c>
      <c r="O117" s="40">
        <v>0</v>
      </c>
      <c r="P117" s="42">
        <f t="shared" si="12"/>
        <v>1591185</v>
      </c>
      <c r="Q117" s="5">
        <v>28.57</v>
      </c>
    </row>
    <row r="118" spans="1:17" x14ac:dyDescent="0.25">
      <c r="A118" s="5" t="s">
        <v>33</v>
      </c>
      <c r="B118" s="5" t="s">
        <v>15</v>
      </c>
      <c r="C118" s="6">
        <v>42542</v>
      </c>
      <c r="D118" s="5">
        <f t="shared" si="9"/>
        <v>6</v>
      </c>
      <c r="E118" s="5">
        <f t="shared" si="10"/>
        <v>26</v>
      </c>
      <c r="F118" s="5">
        <v>29.05</v>
      </c>
      <c r="G118" s="40">
        <v>53000</v>
      </c>
      <c r="H118" s="41">
        <v>1551310</v>
      </c>
      <c r="I118" s="42">
        <v>0</v>
      </c>
      <c r="J118" s="43">
        <v>0</v>
      </c>
      <c r="K118" s="44">
        <v>0</v>
      </c>
      <c r="L118" s="44">
        <v>0</v>
      </c>
      <c r="M118" s="41">
        <f t="shared" si="11"/>
        <v>1551310</v>
      </c>
      <c r="N118" s="41">
        <v>0</v>
      </c>
      <c r="O118" s="40">
        <v>0</v>
      </c>
      <c r="P118" s="42">
        <f t="shared" si="12"/>
        <v>1551310</v>
      </c>
      <c r="Q118" s="5">
        <v>29.05</v>
      </c>
    </row>
    <row r="119" spans="1:17" x14ac:dyDescent="0.25">
      <c r="A119" s="5" t="s">
        <v>69</v>
      </c>
      <c r="B119" s="5" t="s">
        <v>15</v>
      </c>
      <c r="C119" s="6">
        <v>42543</v>
      </c>
      <c r="D119" s="5">
        <f t="shared" si="9"/>
        <v>6</v>
      </c>
      <c r="E119" s="5">
        <f t="shared" si="10"/>
        <v>26</v>
      </c>
      <c r="F119" s="5">
        <v>27.23</v>
      </c>
      <c r="G119" s="40">
        <v>44900</v>
      </c>
      <c r="H119" s="41">
        <v>1222627</v>
      </c>
      <c r="I119" s="42">
        <v>0</v>
      </c>
      <c r="J119" s="43">
        <v>0</v>
      </c>
      <c r="K119" s="44">
        <v>0</v>
      </c>
      <c r="L119" s="44">
        <v>0</v>
      </c>
      <c r="M119" s="41">
        <f t="shared" si="11"/>
        <v>1222627</v>
      </c>
      <c r="N119" s="41">
        <v>0</v>
      </c>
      <c r="O119" s="40">
        <v>0</v>
      </c>
      <c r="P119" s="42">
        <f t="shared" si="12"/>
        <v>1222627</v>
      </c>
      <c r="Q119" s="5">
        <v>27.23</v>
      </c>
    </row>
    <row r="120" spans="1:17" x14ac:dyDescent="0.25">
      <c r="A120" s="5" t="s">
        <v>33</v>
      </c>
      <c r="B120" s="5" t="s">
        <v>15</v>
      </c>
      <c r="C120" s="6">
        <v>42543</v>
      </c>
      <c r="D120" s="5">
        <f t="shared" si="9"/>
        <v>6</v>
      </c>
      <c r="E120" s="5">
        <f t="shared" si="10"/>
        <v>26</v>
      </c>
      <c r="F120" s="5">
        <v>27.91</v>
      </c>
      <c r="G120" s="40">
        <v>53000</v>
      </c>
      <c r="H120" s="41">
        <v>1482675</v>
      </c>
      <c r="I120" s="42">
        <v>0</v>
      </c>
      <c r="J120" s="43">
        <v>0</v>
      </c>
      <c r="K120" s="44">
        <v>0</v>
      </c>
      <c r="L120" s="44">
        <v>0</v>
      </c>
      <c r="M120" s="41">
        <f t="shared" si="11"/>
        <v>1482675</v>
      </c>
      <c r="N120" s="41">
        <v>0</v>
      </c>
      <c r="O120" s="40">
        <v>0</v>
      </c>
      <c r="P120" s="42">
        <f t="shared" si="12"/>
        <v>1482675</v>
      </c>
      <c r="Q120" s="5">
        <v>27.91</v>
      </c>
    </row>
    <row r="121" spans="1:17" x14ac:dyDescent="0.25">
      <c r="A121" s="5" t="s">
        <v>12</v>
      </c>
      <c r="B121" s="5" t="s">
        <v>13</v>
      </c>
      <c r="C121" s="6">
        <v>42543</v>
      </c>
      <c r="D121" s="5">
        <f t="shared" si="9"/>
        <v>6</v>
      </c>
      <c r="E121" s="5">
        <f t="shared" si="10"/>
        <v>26</v>
      </c>
      <c r="F121" s="5">
        <v>27.43</v>
      </c>
      <c r="G121" s="40">
        <v>52451</v>
      </c>
      <c r="H121" s="41">
        <v>1442927.01</v>
      </c>
      <c r="I121" s="42">
        <v>0</v>
      </c>
      <c r="J121" s="43">
        <v>0</v>
      </c>
      <c r="K121" s="44">
        <v>0</v>
      </c>
      <c r="L121" s="44">
        <v>0</v>
      </c>
      <c r="M121" s="41">
        <f t="shared" si="11"/>
        <v>1442927.01</v>
      </c>
      <c r="N121" s="41">
        <f>2%*M121</f>
        <v>28858.540199999999</v>
      </c>
      <c r="O121" s="40">
        <v>0</v>
      </c>
      <c r="P121" s="42">
        <f t="shared" si="12"/>
        <v>1471785.5501999999</v>
      </c>
      <c r="Q121" s="5">
        <v>27.43</v>
      </c>
    </row>
    <row r="122" spans="1:17" x14ac:dyDescent="0.25">
      <c r="A122" s="5" t="s">
        <v>91</v>
      </c>
      <c r="B122" s="5" t="s">
        <v>20</v>
      </c>
      <c r="C122" s="6">
        <v>42543</v>
      </c>
      <c r="D122" s="5">
        <f t="shared" si="9"/>
        <v>6</v>
      </c>
      <c r="E122" s="5">
        <f t="shared" si="10"/>
        <v>26</v>
      </c>
      <c r="F122" s="5">
        <v>20.04</v>
      </c>
      <c r="G122" s="40">
        <v>82352.899999999994</v>
      </c>
      <c r="H122" s="41">
        <v>1651999.1739999999</v>
      </c>
      <c r="I122" s="42">
        <v>0</v>
      </c>
      <c r="J122" s="43">
        <v>0</v>
      </c>
      <c r="K122" s="44">
        <v>0</v>
      </c>
      <c r="L122" s="44">
        <v>0</v>
      </c>
      <c r="M122" s="41">
        <f t="shared" si="11"/>
        <v>1651999.1739999999</v>
      </c>
      <c r="N122" s="41">
        <f t="shared" ref="N122:N125" si="21">M122*2%</f>
        <v>33039.983479999995</v>
      </c>
      <c r="O122" s="40">
        <v>0</v>
      </c>
      <c r="P122" s="42">
        <f t="shared" si="12"/>
        <v>1685039.1574799998</v>
      </c>
      <c r="Q122" s="5">
        <v>20.04</v>
      </c>
    </row>
    <row r="123" spans="1:17" x14ac:dyDescent="0.25">
      <c r="A123" s="5" t="s">
        <v>93</v>
      </c>
      <c r="B123" s="5" t="s">
        <v>20</v>
      </c>
      <c r="C123" s="6">
        <v>42544</v>
      </c>
      <c r="D123" s="5">
        <f t="shared" si="9"/>
        <v>6</v>
      </c>
      <c r="E123" s="5">
        <f t="shared" si="10"/>
        <v>26</v>
      </c>
      <c r="F123" s="5">
        <v>15.56</v>
      </c>
      <c r="G123" s="40">
        <v>82352</v>
      </c>
      <c r="H123" s="41">
        <v>1282220.6400000001</v>
      </c>
      <c r="I123" s="42">
        <v>0</v>
      </c>
      <c r="J123" s="43">
        <v>0</v>
      </c>
      <c r="K123" s="44">
        <v>0</v>
      </c>
      <c r="L123" s="44">
        <v>0</v>
      </c>
      <c r="M123" s="41">
        <f t="shared" si="11"/>
        <v>1282220.6400000001</v>
      </c>
      <c r="N123" s="41">
        <f t="shared" si="21"/>
        <v>25644.412800000002</v>
      </c>
      <c r="O123" s="40">
        <v>0</v>
      </c>
      <c r="P123" s="42">
        <f t="shared" si="12"/>
        <v>1307865.0528000002</v>
      </c>
      <c r="Q123" s="5">
        <v>15.56</v>
      </c>
    </row>
    <row r="124" spans="1:17" x14ac:dyDescent="0.25">
      <c r="A124" s="5" t="s">
        <v>93</v>
      </c>
      <c r="B124" s="5" t="s">
        <v>20</v>
      </c>
      <c r="C124" s="6">
        <v>42544</v>
      </c>
      <c r="D124" s="5">
        <f t="shared" si="9"/>
        <v>6</v>
      </c>
      <c r="E124" s="5">
        <f t="shared" si="10"/>
        <v>26</v>
      </c>
      <c r="F124" s="5">
        <v>16.829999999999998</v>
      </c>
      <c r="G124" s="40">
        <v>82352</v>
      </c>
      <c r="H124" s="41">
        <v>1392572.32</v>
      </c>
      <c r="I124" s="42">
        <v>0</v>
      </c>
      <c r="J124" s="43">
        <v>0</v>
      </c>
      <c r="K124" s="44">
        <v>0</v>
      </c>
      <c r="L124" s="44">
        <v>0</v>
      </c>
      <c r="M124" s="41">
        <f t="shared" si="11"/>
        <v>1392572.32</v>
      </c>
      <c r="N124" s="41">
        <f t="shared" si="21"/>
        <v>27851.446400000001</v>
      </c>
      <c r="O124" s="40">
        <v>0</v>
      </c>
      <c r="P124" s="42">
        <f t="shared" si="12"/>
        <v>1420423.7664000001</v>
      </c>
      <c r="Q124" s="5">
        <v>16.829999999999998</v>
      </c>
    </row>
    <row r="125" spans="1:17" x14ac:dyDescent="0.25">
      <c r="A125" s="5" t="s">
        <v>93</v>
      </c>
      <c r="B125" s="5" t="s">
        <v>20</v>
      </c>
      <c r="C125" s="6">
        <v>42544</v>
      </c>
      <c r="D125" s="5">
        <f t="shared" si="9"/>
        <v>6</v>
      </c>
      <c r="E125" s="5">
        <f t="shared" si="10"/>
        <v>26</v>
      </c>
      <c r="F125" s="5">
        <v>20.45</v>
      </c>
      <c r="G125" s="40">
        <v>82352</v>
      </c>
      <c r="H125" s="41">
        <v>1684098.4</v>
      </c>
      <c r="I125" s="42">
        <v>0</v>
      </c>
      <c r="J125" s="43">
        <v>0</v>
      </c>
      <c r="K125" s="44">
        <v>0</v>
      </c>
      <c r="L125" s="44">
        <v>0</v>
      </c>
      <c r="M125" s="41">
        <f t="shared" si="11"/>
        <v>1684098.4</v>
      </c>
      <c r="N125" s="41">
        <f t="shared" si="21"/>
        <v>33681.968000000001</v>
      </c>
      <c r="O125" s="40">
        <v>0</v>
      </c>
      <c r="P125" s="42">
        <f t="shared" si="12"/>
        <v>1717780.368</v>
      </c>
      <c r="Q125" s="5">
        <v>20.45</v>
      </c>
    </row>
    <row r="126" spans="1:17" x14ac:dyDescent="0.25">
      <c r="A126" s="5" t="s">
        <v>67</v>
      </c>
      <c r="B126" s="5" t="s">
        <v>15</v>
      </c>
      <c r="C126" s="6">
        <v>42544</v>
      </c>
      <c r="D126" s="5">
        <f t="shared" si="9"/>
        <v>6</v>
      </c>
      <c r="E126" s="5">
        <f t="shared" si="10"/>
        <v>26</v>
      </c>
      <c r="F126" s="5">
        <v>29.66</v>
      </c>
      <c r="G126" s="40">
        <v>53420.76</v>
      </c>
      <c r="H126" s="41">
        <v>1584459.7416000001</v>
      </c>
      <c r="I126" s="42">
        <v>0</v>
      </c>
      <c r="J126" s="43">
        <v>0</v>
      </c>
      <c r="K126" s="44">
        <v>0</v>
      </c>
      <c r="L126" s="44">
        <v>0</v>
      </c>
      <c r="M126" s="41">
        <f t="shared" si="11"/>
        <v>1584459.7416000001</v>
      </c>
      <c r="N126" s="41">
        <v>0</v>
      </c>
      <c r="O126" s="40">
        <v>0</v>
      </c>
      <c r="P126" s="42">
        <f t="shared" si="12"/>
        <v>1584459.7416000001</v>
      </c>
      <c r="Q126" s="5">
        <v>29.66</v>
      </c>
    </row>
    <row r="127" spans="1:17" x14ac:dyDescent="0.25">
      <c r="A127" s="5" t="s">
        <v>27</v>
      </c>
      <c r="B127" s="5" t="s">
        <v>18</v>
      </c>
      <c r="C127" s="6">
        <v>42545</v>
      </c>
      <c r="D127" s="5">
        <f t="shared" si="9"/>
        <v>6</v>
      </c>
      <c r="E127" s="5">
        <f t="shared" si="10"/>
        <v>26</v>
      </c>
      <c r="F127" s="5">
        <v>29.34</v>
      </c>
      <c r="G127" s="40">
        <v>49000</v>
      </c>
      <c r="H127" s="41">
        <v>1440600</v>
      </c>
      <c r="I127" s="42">
        <v>0</v>
      </c>
      <c r="J127" s="43">
        <v>0</v>
      </c>
      <c r="K127" s="44">
        <v>0</v>
      </c>
      <c r="L127" s="44">
        <v>0</v>
      </c>
      <c r="M127" s="41">
        <f t="shared" si="11"/>
        <v>1440600</v>
      </c>
      <c r="N127" s="41">
        <v>0</v>
      </c>
      <c r="O127" s="40">
        <v>0</v>
      </c>
      <c r="P127" s="42">
        <f t="shared" si="12"/>
        <v>1440600</v>
      </c>
      <c r="Q127" s="5">
        <v>29.34</v>
      </c>
    </row>
    <row r="128" spans="1:17" x14ac:dyDescent="0.25">
      <c r="A128" s="5" t="s">
        <v>93</v>
      </c>
      <c r="B128" s="5" t="s">
        <v>20</v>
      </c>
      <c r="C128" s="6">
        <v>42545</v>
      </c>
      <c r="D128" s="5">
        <f t="shared" si="9"/>
        <v>6</v>
      </c>
      <c r="E128" s="5">
        <f t="shared" si="10"/>
        <v>26</v>
      </c>
      <c r="F128" s="5">
        <v>15.75</v>
      </c>
      <c r="G128" s="40">
        <v>82352</v>
      </c>
      <c r="H128" s="41">
        <v>1297044</v>
      </c>
      <c r="I128" s="42">
        <v>0</v>
      </c>
      <c r="J128" s="43">
        <v>0</v>
      </c>
      <c r="K128" s="44">
        <v>0</v>
      </c>
      <c r="L128" s="44">
        <v>0</v>
      </c>
      <c r="M128" s="41">
        <f t="shared" si="11"/>
        <v>1297044</v>
      </c>
      <c r="N128" s="41">
        <f t="shared" ref="N128:N130" si="22">M128*2%</f>
        <v>25940.880000000001</v>
      </c>
      <c r="O128" s="40">
        <v>0</v>
      </c>
      <c r="P128" s="42">
        <f t="shared" si="12"/>
        <v>1322984.8799999999</v>
      </c>
      <c r="Q128" s="5">
        <v>15.75</v>
      </c>
    </row>
    <row r="129" spans="1:17" x14ac:dyDescent="0.25">
      <c r="A129" s="5" t="s">
        <v>93</v>
      </c>
      <c r="B129" s="5" t="s">
        <v>20</v>
      </c>
      <c r="C129" s="6">
        <v>42545</v>
      </c>
      <c r="D129" s="5">
        <f t="shared" si="9"/>
        <v>6</v>
      </c>
      <c r="E129" s="5">
        <f t="shared" si="10"/>
        <v>26</v>
      </c>
      <c r="F129" s="5">
        <v>15.94</v>
      </c>
      <c r="G129" s="40">
        <v>82352</v>
      </c>
      <c r="H129" s="41">
        <v>1318455.52</v>
      </c>
      <c r="I129" s="42">
        <v>0</v>
      </c>
      <c r="J129" s="43">
        <v>0</v>
      </c>
      <c r="K129" s="44">
        <v>0</v>
      </c>
      <c r="L129" s="44">
        <v>0</v>
      </c>
      <c r="M129" s="41">
        <f t="shared" si="11"/>
        <v>1318455.52</v>
      </c>
      <c r="N129" s="41">
        <f t="shared" si="22"/>
        <v>26369.110400000001</v>
      </c>
      <c r="O129" s="40">
        <v>0</v>
      </c>
      <c r="P129" s="42">
        <f t="shared" si="12"/>
        <v>1344824.6303999999</v>
      </c>
      <c r="Q129" s="5">
        <v>15.94</v>
      </c>
    </row>
    <row r="130" spans="1:17" x14ac:dyDescent="0.25">
      <c r="A130" s="5" t="s">
        <v>93</v>
      </c>
      <c r="B130" s="5" t="s">
        <v>20</v>
      </c>
      <c r="C130" s="6">
        <v>42545</v>
      </c>
      <c r="D130" s="5">
        <f t="shared" ref="D130:D154" si="23">MONTH(C130)</f>
        <v>6</v>
      </c>
      <c r="E130" s="5">
        <f t="shared" ref="E130:E154" si="24">WEEKNUM(C130)</f>
        <v>26</v>
      </c>
      <c r="F130" s="5">
        <v>16.100000000000001</v>
      </c>
      <c r="G130" s="40">
        <v>82352</v>
      </c>
      <c r="H130" s="41">
        <v>1326690.72</v>
      </c>
      <c r="I130" s="42">
        <v>0</v>
      </c>
      <c r="J130" s="43">
        <v>0</v>
      </c>
      <c r="K130" s="44">
        <v>0</v>
      </c>
      <c r="L130" s="44">
        <v>0</v>
      </c>
      <c r="M130" s="41">
        <f t="shared" ref="M130:M154" si="25">L130+K130+J130+I130+H130</f>
        <v>1326690.72</v>
      </c>
      <c r="N130" s="41">
        <f t="shared" si="22"/>
        <v>26533.814399999999</v>
      </c>
      <c r="O130" s="40">
        <v>0</v>
      </c>
      <c r="P130" s="42">
        <f t="shared" ref="P130:P154" si="26">SUM(M130:O130)</f>
        <v>1353224.5344</v>
      </c>
      <c r="Q130" s="5">
        <v>16.100000000000001</v>
      </c>
    </row>
    <row r="131" spans="1:17" x14ac:dyDescent="0.25">
      <c r="A131" s="5" t="s">
        <v>33</v>
      </c>
      <c r="B131" s="5" t="s">
        <v>15</v>
      </c>
      <c r="C131" s="6">
        <v>42545</v>
      </c>
      <c r="D131" s="5">
        <f t="shared" si="23"/>
        <v>6</v>
      </c>
      <c r="E131" s="5">
        <f t="shared" si="24"/>
        <v>26</v>
      </c>
      <c r="F131" s="5">
        <v>28.28</v>
      </c>
      <c r="G131" s="40">
        <v>52900</v>
      </c>
      <c r="H131" s="41">
        <v>1498392.5</v>
      </c>
      <c r="I131" s="42">
        <v>0</v>
      </c>
      <c r="J131" s="43">
        <v>0</v>
      </c>
      <c r="K131" s="44">
        <v>0</v>
      </c>
      <c r="L131" s="44">
        <v>0</v>
      </c>
      <c r="M131" s="41">
        <f t="shared" si="25"/>
        <v>1498392.5</v>
      </c>
      <c r="N131" s="41">
        <v>0</v>
      </c>
      <c r="O131" s="40">
        <v>0</v>
      </c>
      <c r="P131" s="42">
        <f t="shared" si="26"/>
        <v>1498392.5</v>
      </c>
      <c r="Q131" s="5">
        <v>28.28</v>
      </c>
    </row>
    <row r="132" spans="1:17" x14ac:dyDescent="0.25">
      <c r="A132" s="5" t="s">
        <v>33</v>
      </c>
      <c r="B132" s="5" t="s">
        <v>15</v>
      </c>
      <c r="C132" s="6">
        <v>42545</v>
      </c>
      <c r="D132" s="5">
        <f t="shared" si="23"/>
        <v>6</v>
      </c>
      <c r="E132" s="5">
        <f t="shared" si="24"/>
        <v>26</v>
      </c>
      <c r="F132" s="5">
        <v>27.91</v>
      </c>
      <c r="G132" s="40">
        <v>52942.67</v>
      </c>
      <c r="H132" s="41">
        <v>1477629.9197</v>
      </c>
      <c r="I132" s="42">
        <v>0</v>
      </c>
      <c r="J132" s="43">
        <v>0</v>
      </c>
      <c r="K132" s="44">
        <v>0</v>
      </c>
      <c r="L132" s="44">
        <v>0</v>
      </c>
      <c r="M132" s="41">
        <f t="shared" si="25"/>
        <v>1477629.9197</v>
      </c>
      <c r="N132" s="41">
        <v>0</v>
      </c>
      <c r="O132" s="40">
        <v>0</v>
      </c>
      <c r="P132" s="42">
        <f t="shared" si="26"/>
        <v>1477629.9197</v>
      </c>
      <c r="Q132" s="5">
        <v>27.91</v>
      </c>
    </row>
    <row r="133" spans="1:17" x14ac:dyDescent="0.25">
      <c r="A133" s="5" t="s">
        <v>27</v>
      </c>
      <c r="B133" s="5" t="s">
        <v>18</v>
      </c>
      <c r="C133" s="6">
        <v>42546</v>
      </c>
      <c r="D133" s="5">
        <f t="shared" si="23"/>
        <v>6</v>
      </c>
      <c r="E133" s="5">
        <f t="shared" si="24"/>
        <v>26</v>
      </c>
      <c r="F133" s="5">
        <v>29.82</v>
      </c>
      <c r="G133" s="40">
        <v>50000</v>
      </c>
      <c r="H133" s="41">
        <v>1496250</v>
      </c>
      <c r="I133" s="42">
        <v>0</v>
      </c>
      <c r="J133" s="43">
        <v>0</v>
      </c>
      <c r="K133" s="44">
        <v>0</v>
      </c>
      <c r="L133" s="44">
        <v>0</v>
      </c>
      <c r="M133" s="41">
        <f t="shared" si="25"/>
        <v>1496250</v>
      </c>
      <c r="N133" s="41">
        <v>0</v>
      </c>
      <c r="O133" s="40">
        <v>0</v>
      </c>
      <c r="P133" s="42">
        <f t="shared" si="26"/>
        <v>1496250</v>
      </c>
      <c r="Q133" s="5">
        <v>29.82</v>
      </c>
    </row>
    <row r="134" spans="1:17" x14ac:dyDescent="0.25">
      <c r="A134" s="5" t="s">
        <v>32</v>
      </c>
      <c r="B134" s="5" t="s">
        <v>15</v>
      </c>
      <c r="C134" s="6">
        <v>42546</v>
      </c>
      <c r="D134" s="5">
        <f t="shared" si="23"/>
        <v>6</v>
      </c>
      <c r="E134" s="5">
        <f t="shared" si="24"/>
        <v>26</v>
      </c>
      <c r="F134" s="5">
        <v>26.86</v>
      </c>
      <c r="G134" s="40">
        <v>53000</v>
      </c>
      <c r="H134" s="41">
        <v>1424640</v>
      </c>
      <c r="I134" s="42">
        <v>0</v>
      </c>
      <c r="J134" s="43">
        <v>0</v>
      </c>
      <c r="K134" s="44">
        <v>0</v>
      </c>
      <c r="L134" s="44">
        <v>0</v>
      </c>
      <c r="M134" s="41">
        <f t="shared" si="25"/>
        <v>1424640</v>
      </c>
      <c r="N134" s="41">
        <v>0</v>
      </c>
      <c r="O134" s="40">
        <v>0</v>
      </c>
      <c r="P134" s="42">
        <f t="shared" si="26"/>
        <v>1424640</v>
      </c>
      <c r="Q134" s="5">
        <v>26.86</v>
      </c>
    </row>
    <row r="135" spans="1:17" x14ac:dyDescent="0.25">
      <c r="A135" s="5" t="s">
        <v>69</v>
      </c>
      <c r="B135" s="5" t="s">
        <v>18</v>
      </c>
      <c r="C135" s="6">
        <v>42548</v>
      </c>
      <c r="D135" s="5">
        <f t="shared" si="23"/>
        <v>6</v>
      </c>
      <c r="E135" s="5">
        <f t="shared" si="24"/>
        <v>27</v>
      </c>
      <c r="F135" s="5">
        <v>30.9</v>
      </c>
      <c r="G135" s="40">
        <v>50300</v>
      </c>
      <c r="H135" s="41">
        <v>1554270</v>
      </c>
      <c r="I135" s="42">
        <v>0</v>
      </c>
      <c r="J135" s="43">
        <v>0</v>
      </c>
      <c r="K135" s="44">
        <v>0</v>
      </c>
      <c r="L135" s="44">
        <v>0</v>
      </c>
      <c r="M135" s="41">
        <f t="shared" si="25"/>
        <v>1554270</v>
      </c>
      <c r="N135" s="41">
        <v>0</v>
      </c>
      <c r="O135" s="40">
        <v>0</v>
      </c>
      <c r="P135" s="42">
        <f t="shared" si="26"/>
        <v>1554270</v>
      </c>
      <c r="Q135" s="5">
        <v>30.9</v>
      </c>
    </row>
    <row r="136" spans="1:17" x14ac:dyDescent="0.25">
      <c r="A136" s="5" t="s">
        <v>32</v>
      </c>
      <c r="B136" s="5" t="s">
        <v>18</v>
      </c>
      <c r="C136" s="6">
        <v>42548</v>
      </c>
      <c r="D136" s="5">
        <f t="shared" si="23"/>
        <v>6</v>
      </c>
      <c r="E136" s="5">
        <f t="shared" si="24"/>
        <v>27</v>
      </c>
      <c r="F136" s="5">
        <v>26.63</v>
      </c>
      <c r="G136" s="40">
        <v>49000</v>
      </c>
      <c r="H136" s="41">
        <v>1304870</v>
      </c>
      <c r="I136" s="42">
        <v>0</v>
      </c>
      <c r="J136" s="43">
        <v>0</v>
      </c>
      <c r="K136" s="44">
        <v>0</v>
      </c>
      <c r="L136" s="44">
        <v>0</v>
      </c>
      <c r="M136" s="41">
        <f t="shared" si="25"/>
        <v>1304870</v>
      </c>
      <c r="N136" s="41">
        <v>0</v>
      </c>
      <c r="O136" s="40">
        <v>0</v>
      </c>
      <c r="P136" s="42">
        <f t="shared" si="26"/>
        <v>1304870</v>
      </c>
      <c r="Q136" s="5">
        <v>26.63</v>
      </c>
    </row>
    <row r="137" spans="1:17" x14ac:dyDescent="0.25">
      <c r="A137" s="5" t="s">
        <v>34</v>
      </c>
      <c r="B137" s="5" t="s">
        <v>18</v>
      </c>
      <c r="C137" s="6">
        <v>42549</v>
      </c>
      <c r="D137" s="5">
        <f t="shared" si="23"/>
        <v>6</v>
      </c>
      <c r="E137" s="5">
        <f t="shared" si="24"/>
        <v>27</v>
      </c>
      <c r="F137" s="5">
        <v>28.93</v>
      </c>
      <c r="G137" s="40">
        <v>52500</v>
      </c>
      <c r="H137" s="41">
        <v>1521187.5</v>
      </c>
      <c r="I137" s="42">
        <v>0</v>
      </c>
      <c r="J137" s="43">
        <v>0</v>
      </c>
      <c r="K137" s="44">
        <v>0</v>
      </c>
      <c r="L137" s="44">
        <v>0</v>
      </c>
      <c r="M137" s="41">
        <f t="shared" si="25"/>
        <v>1521187.5</v>
      </c>
      <c r="N137" s="41">
        <v>0</v>
      </c>
      <c r="O137" s="40">
        <v>0</v>
      </c>
      <c r="P137" s="42">
        <f t="shared" si="26"/>
        <v>1521187.5</v>
      </c>
      <c r="Q137" s="5">
        <v>28.93</v>
      </c>
    </row>
    <row r="138" spans="1:17" x14ac:dyDescent="0.25">
      <c r="A138" s="5" t="s">
        <v>94</v>
      </c>
      <c r="B138" s="5" t="s">
        <v>20</v>
      </c>
      <c r="C138" s="6">
        <v>42549</v>
      </c>
      <c r="D138" s="5">
        <f t="shared" si="23"/>
        <v>6</v>
      </c>
      <c r="E138" s="5">
        <f t="shared" si="24"/>
        <v>27</v>
      </c>
      <c r="F138" s="5">
        <v>20.21</v>
      </c>
      <c r="G138" s="40">
        <v>83333</v>
      </c>
      <c r="H138" s="41">
        <v>1684159.9300000002</v>
      </c>
      <c r="I138" s="42">
        <v>0</v>
      </c>
      <c r="J138" s="43">
        <v>0</v>
      </c>
      <c r="K138" s="44">
        <v>0</v>
      </c>
      <c r="L138" s="44">
        <v>0</v>
      </c>
      <c r="M138" s="41">
        <f t="shared" si="25"/>
        <v>1684159.9300000002</v>
      </c>
      <c r="N138" s="41">
        <f>M138*2%</f>
        <v>33683.198600000003</v>
      </c>
      <c r="O138" s="40">
        <v>0</v>
      </c>
      <c r="P138" s="42">
        <f t="shared" si="26"/>
        <v>1717843.1286000002</v>
      </c>
      <c r="Q138" s="5">
        <v>20.21</v>
      </c>
    </row>
    <row r="139" spans="1:17" x14ac:dyDescent="0.25">
      <c r="A139" s="5" t="s">
        <v>95</v>
      </c>
      <c r="B139" s="5" t="s">
        <v>18</v>
      </c>
      <c r="C139" s="6">
        <v>42550</v>
      </c>
      <c r="D139" s="5">
        <f t="shared" si="23"/>
        <v>6</v>
      </c>
      <c r="E139" s="5">
        <f t="shared" si="24"/>
        <v>27</v>
      </c>
      <c r="F139" s="5">
        <v>20.010000000000002</v>
      </c>
      <c r="G139" s="40">
        <v>39500</v>
      </c>
      <c r="H139" s="41">
        <v>790395.00000000012</v>
      </c>
      <c r="I139" s="42">
        <v>0</v>
      </c>
      <c r="J139" s="43">
        <f>H139*12.5%</f>
        <v>98799.375000000015</v>
      </c>
      <c r="K139" s="44">
        <v>0</v>
      </c>
      <c r="L139" s="44">
        <v>0</v>
      </c>
      <c r="M139" s="41">
        <f t="shared" si="25"/>
        <v>889194.37500000012</v>
      </c>
      <c r="N139" s="41">
        <f>2%*M139</f>
        <v>17783.887500000004</v>
      </c>
      <c r="O139" s="40">
        <v>0</v>
      </c>
      <c r="P139" s="42">
        <f t="shared" si="26"/>
        <v>906978.26250000007</v>
      </c>
      <c r="Q139" s="5">
        <v>20.010000000000002</v>
      </c>
    </row>
    <row r="140" spans="1:17" x14ac:dyDescent="0.25">
      <c r="A140" s="5" t="s">
        <v>95</v>
      </c>
      <c r="B140" s="5" t="s">
        <v>18</v>
      </c>
      <c r="C140" s="6">
        <v>42550</v>
      </c>
      <c r="D140" s="5">
        <f t="shared" si="23"/>
        <v>6</v>
      </c>
      <c r="E140" s="5">
        <f t="shared" si="24"/>
        <v>27</v>
      </c>
      <c r="F140" s="5">
        <v>20.07</v>
      </c>
      <c r="G140" s="40">
        <v>39500</v>
      </c>
      <c r="H140" s="41">
        <v>792765</v>
      </c>
      <c r="I140" s="42">
        <v>0</v>
      </c>
      <c r="J140" s="43">
        <f>H140*12.5%</f>
        <v>99095.625</v>
      </c>
      <c r="K140" s="44">
        <v>0</v>
      </c>
      <c r="L140" s="44">
        <v>0</v>
      </c>
      <c r="M140" s="41">
        <f t="shared" si="25"/>
        <v>891860.625</v>
      </c>
      <c r="N140" s="41">
        <f>2%*M140</f>
        <v>17837.212500000001</v>
      </c>
      <c r="O140" s="40">
        <v>0</v>
      </c>
      <c r="P140" s="42">
        <f t="shared" si="26"/>
        <v>909697.83750000002</v>
      </c>
      <c r="Q140" s="5">
        <v>20.07</v>
      </c>
    </row>
    <row r="141" spans="1:17" x14ac:dyDescent="0.25">
      <c r="A141" s="5" t="s">
        <v>33</v>
      </c>
      <c r="B141" s="5" t="s">
        <v>18</v>
      </c>
      <c r="C141" s="6">
        <v>42550</v>
      </c>
      <c r="D141" s="5">
        <f t="shared" si="23"/>
        <v>6</v>
      </c>
      <c r="E141" s="5">
        <f t="shared" si="24"/>
        <v>27</v>
      </c>
      <c r="F141" s="5">
        <v>28.65</v>
      </c>
      <c r="G141" s="40">
        <v>50207.61</v>
      </c>
      <c r="H141" s="41">
        <v>1450999.929</v>
      </c>
      <c r="I141" s="42">
        <v>0</v>
      </c>
      <c r="J141" s="43">
        <v>0</v>
      </c>
      <c r="K141" s="44">
        <v>0</v>
      </c>
      <c r="L141" s="44">
        <v>0</v>
      </c>
      <c r="M141" s="41">
        <f t="shared" si="25"/>
        <v>1450999.929</v>
      </c>
      <c r="N141" s="41">
        <v>0</v>
      </c>
      <c r="O141" s="40">
        <v>0</v>
      </c>
      <c r="P141" s="42">
        <f t="shared" si="26"/>
        <v>1450999.929</v>
      </c>
      <c r="Q141" s="5">
        <v>28.65</v>
      </c>
    </row>
    <row r="142" spans="1:17" x14ac:dyDescent="0.25">
      <c r="A142" s="5" t="s">
        <v>33</v>
      </c>
      <c r="B142" s="5" t="s">
        <v>18</v>
      </c>
      <c r="C142" s="6">
        <v>42550</v>
      </c>
      <c r="D142" s="5">
        <f t="shared" si="23"/>
        <v>6</v>
      </c>
      <c r="E142" s="5">
        <f t="shared" si="24"/>
        <v>27</v>
      </c>
      <c r="F142" s="5">
        <v>28.08</v>
      </c>
      <c r="G142" s="40">
        <v>50000</v>
      </c>
      <c r="H142" s="41">
        <v>1415000</v>
      </c>
      <c r="I142" s="42">
        <v>0</v>
      </c>
      <c r="J142" s="43">
        <v>0</v>
      </c>
      <c r="K142" s="44">
        <v>0</v>
      </c>
      <c r="L142" s="44">
        <v>0</v>
      </c>
      <c r="M142" s="41">
        <f t="shared" si="25"/>
        <v>1415000</v>
      </c>
      <c r="N142" s="41">
        <v>0</v>
      </c>
      <c r="O142" s="40">
        <v>0</v>
      </c>
      <c r="P142" s="42">
        <f t="shared" si="26"/>
        <v>1415000</v>
      </c>
      <c r="Q142" s="5">
        <v>28.08</v>
      </c>
    </row>
    <row r="143" spans="1:17" x14ac:dyDescent="0.25">
      <c r="A143" s="5" t="s">
        <v>96</v>
      </c>
      <c r="B143" s="5" t="s">
        <v>20</v>
      </c>
      <c r="C143" s="6">
        <v>42550</v>
      </c>
      <c r="D143" s="5">
        <f t="shared" si="23"/>
        <v>6</v>
      </c>
      <c r="E143" s="5">
        <f t="shared" si="24"/>
        <v>27</v>
      </c>
      <c r="F143" s="5">
        <v>20.07</v>
      </c>
      <c r="G143" s="40">
        <v>82350</v>
      </c>
      <c r="H143" s="41">
        <v>1655235.0000000002</v>
      </c>
      <c r="I143" s="42">
        <v>0</v>
      </c>
      <c r="J143" s="43">
        <v>0</v>
      </c>
      <c r="K143" s="44">
        <v>0</v>
      </c>
      <c r="L143" s="44">
        <v>0</v>
      </c>
      <c r="M143" s="41">
        <f t="shared" si="25"/>
        <v>1655235.0000000002</v>
      </c>
      <c r="N143" s="41">
        <f>M143*2%</f>
        <v>33104.700000000004</v>
      </c>
      <c r="O143" s="40">
        <v>0</v>
      </c>
      <c r="P143" s="42">
        <f t="shared" si="26"/>
        <v>1688339.7000000002</v>
      </c>
      <c r="Q143" s="5">
        <v>20.07</v>
      </c>
    </row>
    <row r="144" spans="1:17" x14ac:dyDescent="0.25">
      <c r="A144" s="5" t="s">
        <v>24</v>
      </c>
      <c r="B144" s="5" t="s">
        <v>18</v>
      </c>
      <c r="C144" s="6">
        <v>42550</v>
      </c>
      <c r="D144" s="5">
        <f t="shared" si="23"/>
        <v>6</v>
      </c>
      <c r="E144" s="5">
        <f t="shared" si="24"/>
        <v>27</v>
      </c>
      <c r="F144" s="5">
        <v>25.94</v>
      </c>
      <c r="G144" s="40">
        <v>50300</v>
      </c>
      <c r="H144" s="41">
        <v>1309812</v>
      </c>
      <c r="I144" s="42">
        <v>0</v>
      </c>
      <c r="J144" s="43">
        <v>0</v>
      </c>
      <c r="K144" s="44">
        <v>0</v>
      </c>
      <c r="L144" s="44">
        <v>0</v>
      </c>
      <c r="M144" s="41">
        <f t="shared" si="25"/>
        <v>1309812</v>
      </c>
      <c r="N144" s="41">
        <v>0</v>
      </c>
      <c r="O144" s="40">
        <v>0</v>
      </c>
      <c r="P144" s="42">
        <f t="shared" si="26"/>
        <v>1309812</v>
      </c>
      <c r="Q144" s="5">
        <v>25.94</v>
      </c>
    </row>
    <row r="145" spans="1:17" x14ac:dyDescent="0.25">
      <c r="A145" s="5" t="s">
        <v>97</v>
      </c>
      <c r="B145" s="5" t="s">
        <v>20</v>
      </c>
      <c r="C145" s="6">
        <v>42550</v>
      </c>
      <c r="D145" s="5">
        <f t="shared" si="23"/>
        <v>6</v>
      </c>
      <c r="E145" s="5">
        <f t="shared" si="24"/>
        <v>27</v>
      </c>
      <c r="F145" s="5">
        <v>20.02</v>
      </c>
      <c r="G145" s="40">
        <v>82350</v>
      </c>
      <c r="H145" s="41">
        <v>1650294</v>
      </c>
      <c r="I145" s="42">
        <v>0</v>
      </c>
      <c r="J145" s="43">
        <v>0</v>
      </c>
      <c r="K145" s="44">
        <v>0</v>
      </c>
      <c r="L145" s="44">
        <v>0</v>
      </c>
      <c r="M145" s="41">
        <f t="shared" si="25"/>
        <v>1650294</v>
      </c>
      <c r="N145" s="41">
        <f>M145*2%</f>
        <v>33005.879999999997</v>
      </c>
      <c r="O145" s="40">
        <v>0</v>
      </c>
      <c r="P145" s="42">
        <f t="shared" si="26"/>
        <v>1683299.88</v>
      </c>
      <c r="Q145" s="5">
        <v>20.02</v>
      </c>
    </row>
    <row r="146" spans="1:17" x14ac:dyDescent="0.25">
      <c r="A146" s="5" t="s">
        <v>69</v>
      </c>
      <c r="B146" s="5" t="s">
        <v>15</v>
      </c>
      <c r="C146" s="6">
        <v>42550</v>
      </c>
      <c r="D146" s="5">
        <f t="shared" si="23"/>
        <v>6</v>
      </c>
      <c r="E146" s="5">
        <f t="shared" si="24"/>
        <v>27</v>
      </c>
      <c r="F146" s="5">
        <v>27.48</v>
      </c>
      <c r="G146" s="40">
        <v>45108.55</v>
      </c>
      <c r="H146" s="41">
        <v>1244544.8945000002</v>
      </c>
      <c r="I146" s="42">
        <v>0</v>
      </c>
      <c r="J146" s="43">
        <v>0</v>
      </c>
      <c r="K146" s="44">
        <v>0</v>
      </c>
      <c r="L146" s="44">
        <v>0</v>
      </c>
      <c r="M146" s="41">
        <f t="shared" si="25"/>
        <v>1244544.8945000002</v>
      </c>
      <c r="N146" s="41">
        <v>0</v>
      </c>
      <c r="O146" s="40">
        <v>0</v>
      </c>
      <c r="P146" s="42">
        <f t="shared" si="26"/>
        <v>1244544.8945000002</v>
      </c>
      <c r="Q146" s="5">
        <v>27.48</v>
      </c>
    </row>
    <row r="147" spans="1:17" x14ac:dyDescent="0.25">
      <c r="A147" s="5" t="s">
        <v>69</v>
      </c>
      <c r="B147" s="5" t="s">
        <v>15</v>
      </c>
      <c r="C147" s="6">
        <v>42550</v>
      </c>
      <c r="D147" s="5">
        <f t="shared" si="23"/>
        <v>6</v>
      </c>
      <c r="E147" s="5">
        <f t="shared" si="24"/>
        <v>27</v>
      </c>
      <c r="F147" s="5">
        <v>28.59</v>
      </c>
      <c r="G147" s="40">
        <v>45500</v>
      </c>
      <c r="H147" s="41">
        <v>1304485</v>
      </c>
      <c r="I147" s="42">
        <v>0</v>
      </c>
      <c r="J147" s="43">
        <v>0</v>
      </c>
      <c r="K147" s="44">
        <v>0</v>
      </c>
      <c r="L147" s="44">
        <v>0</v>
      </c>
      <c r="M147" s="41">
        <f t="shared" si="25"/>
        <v>1304485</v>
      </c>
      <c r="N147" s="41">
        <v>0</v>
      </c>
      <c r="O147" s="40">
        <v>0</v>
      </c>
      <c r="P147" s="42">
        <f t="shared" si="26"/>
        <v>1304485</v>
      </c>
      <c r="Q147" s="5">
        <v>28.59</v>
      </c>
    </row>
    <row r="148" spans="1:17" x14ac:dyDescent="0.25">
      <c r="A148" s="5" t="s">
        <v>67</v>
      </c>
      <c r="B148" s="5" t="s">
        <v>15</v>
      </c>
      <c r="C148" s="6">
        <v>42550</v>
      </c>
      <c r="D148" s="5">
        <f t="shared" si="23"/>
        <v>6</v>
      </c>
      <c r="E148" s="5">
        <f t="shared" si="24"/>
        <v>27</v>
      </c>
      <c r="F148" s="5">
        <v>19.7</v>
      </c>
      <c r="G148" s="40">
        <v>53000</v>
      </c>
      <c r="H148" s="41">
        <v>1046750</v>
      </c>
      <c r="I148" s="42">
        <v>0</v>
      </c>
      <c r="J148" s="43">
        <v>0</v>
      </c>
      <c r="K148" s="44">
        <v>0</v>
      </c>
      <c r="L148" s="44">
        <v>0</v>
      </c>
      <c r="M148" s="41">
        <f t="shared" si="25"/>
        <v>1046750</v>
      </c>
      <c r="N148" s="41">
        <v>0</v>
      </c>
      <c r="O148" s="40">
        <v>0</v>
      </c>
      <c r="P148" s="42">
        <f t="shared" si="26"/>
        <v>1046750</v>
      </c>
      <c r="Q148" s="5">
        <v>19.7</v>
      </c>
    </row>
    <row r="149" spans="1:17" x14ac:dyDescent="0.25">
      <c r="A149" s="5" t="s">
        <v>67</v>
      </c>
      <c r="B149" s="5" t="s">
        <v>15</v>
      </c>
      <c r="C149" s="6">
        <v>42550</v>
      </c>
      <c r="D149" s="5">
        <f t="shared" si="23"/>
        <v>6</v>
      </c>
      <c r="E149" s="5">
        <f t="shared" si="24"/>
        <v>27</v>
      </c>
      <c r="F149" s="5">
        <v>19.75</v>
      </c>
      <c r="G149" s="40">
        <v>53000</v>
      </c>
      <c r="H149" s="41">
        <v>1048340.0000000001</v>
      </c>
      <c r="I149" s="42">
        <v>0</v>
      </c>
      <c r="J149" s="43">
        <v>0</v>
      </c>
      <c r="K149" s="44">
        <v>0</v>
      </c>
      <c r="L149" s="44">
        <v>0</v>
      </c>
      <c r="M149" s="41">
        <f t="shared" si="25"/>
        <v>1048340.0000000001</v>
      </c>
      <c r="N149" s="41">
        <v>0</v>
      </c>
      <c r="O149" s="40">
        <v>0</v>
      </c>
      <c r="P149" s="42">
        <f t="shared" si="26"/>
        <v>1048340.0000000001</v>
      </c>
      <c r="Q149" s="5">
        <v>19.75</v>
      </c>
    </row>
    <row r="150" spans="1:17" x14ac:dyDescent="0.25">
      <c r="A150" s="5" t="s">
        <v>69</v>
      </c>
      <c r="B150" s="5" t="s">
        <v>18</v>
      </c>
      <c r="C150" s="6">
        <v>42551</v>
      </c>
      <c r="D150" s="5">
        <f t="shared" si="23"/>
        <v>6</v>
      </c>
      <c r="E150" s="5">
        <f t="shared" si="24"/>
        <v>27</v>
      </c>
      <c r="F150" s="5">
        <v>24.54</v>
      </c>
      <c r="G150" s="40">
        <v>50300</v>
      </c>
      <c r="H150" s="41">
        <v>1234362</v>
      </c>
      <c r="I150" s="42">
        <v>0</v>
      </c>
      <c r="J150" s="43">
        <v>0</v>
      </c>
      <c r="K150" s="44">
        <v>0</v>
      </c>
      <c r="L150" s="44">
        <v>0</v>
      </c>
      <c r="M150" s="41">
        <f t="shared" si="25"/>
        <v>1234362</v>
      </c>
      <c r="N150" s="41">
        <v>0</v>
      </c>
      <c r="O150" s="40">
        <v>0</v>
      </c>
      <c r="P150" s="42">
        <f t="shared" si="26"/>
        <v>1234362</v>
      </c>
      <c r="Q150" s="5">
        <v>24.54</v>
      </c>
    </row>
    <row r="151" spans="1:17" x14ac:dyDescent="0.25">
      <c r="A151" s="5" t="s">
        <v>94</v>
      </c>
      <c r="B151" s="5" t="s">
        <v>20</v>
      </c>
      <c r="C151" s="6">
        <v>42551</v>
      </c>
      <c r="D151" s="5">
        <f t="shared" si="23"/>
        <v>6</v>
      </c>
      <c r="E151" s="5">
        <f t="shared" si="24"/>
        <v>27</v>
      </c>
      <c r="F151" s="5">
        <v>24.08</v>
      </c>
      <c r="G151" s="40">
        <v>83333</v>
      </c>
      <c r="H151" s="41">
        <v>2006658.64</v>
      </c>
      <c r="I151" s="42">
        <v>0</v>
      </c>
      <c r="J151" s="43">
        <v>0</v>
      </c>
      <c r="K151" s="44">
        <v>0</v>
      </c>
      <c r="L151" s="44">
        <v>0</v>
      </c>
      <c r="M151" s="41">
        <f t="shared" si="25"/>
        <v>2006658.64</v>
      </c>
      <c r="N151" s="41">
        <f>M151*2%</f>
        <v>40133.1728</v>
      </c>
      <c r="O151" s="40">
        <v>0</v>
      </c>
      <c r="P151" s="42">
        <f t="shared" si="26"/>
        <v>2046791.8128</v>
      </c>
      <c r="Q151" s="5">
        <v>24.08</v>
      </c>
    </row>
    <row r="152" spans="1:17" x14ac:dyDescent="0.25">
      <c r="A152" s="5" t="s">
        <v>24</v>
      </c>
      <c r="B152" s="5" t="s">
        <v>15</v>
      </c>
      <c r="C152" s="6">
        <v>42551</v>
      </c>
      <c r="D152" s="5">
        <f t="shared" si="23"/>
        <v>6</v>
      </c>
      <c r="E152" s="5">
        <f t="shared" si="24"/>
        <v>27</v>
      </c>
      <c r="F152" s="5">
        <v>27.57</v>
      </c>
      <c r="G152" s="40">
        <v>52983.37</v>
      </c>
      <c r="H152" s="41">
        <v>1466049.8479000002</v>
      </c>
      <c r="I152" s="42">
        <v>0</v>
      </c>
      <c r="J152" s="43">
        <v>0</v>
      </c>
      <c r="K152" s="44">
        <v>0</v>
      </c>
      <c r="L152" s="44">
        <v>0</v>
      </c>
      <c r="M152" s="41">
        <f t="shared" si="25"/>
        <v>1466049.8479000002</v>
      </c>
      <c r="N152" s="41">
        <v>0</v>
      </c>
      <c r="O152" s="40">
        <v>0</v>
      </c>
      <c r="P152" s="42">
        <f t="shared" si="26"/>
        <v>1466049.8479000002</v>
      </c>
      <c r="Q152" s="5">
        <v>27.57</v>
      </c>
    </row>
    <row r="153" spans="1:17" x14ac:dyDescent="0.25">
      <c r="A153" s="5" t="s">
        <v>24</v>
      </c>
      <c r="B153" s="5" t="s">
        <v>15</v>
      </c>
      <c r="C153" s="6">
        <v>42551</v>
      </c>
      <c r="D153" s="5">
        <f t="shared" si="23"/>
        <v>6</v>
      </c>
      <c r="E153" s="5">
        <f t="shared" si="24"/>
        <v>27</v>
      </c>
      <c r="F153" s="5">
        <v>17.190000000000001</v>
      </c>
      <c r="G153" s="40">
        <v>53000</v>
      </c>
      <c r="H153" s="41">
        <v>913719.99999999988</v>
      </c>
      <c r="I153" s="42">
        <v>0</v>
      </c>
      <c r="J153" s="43">
        <v>0</v>
      </c>
      <c r="K153" s="44">
        <v>0</v>
      </c>
      <c r="L153" s="44">
        <v>0</v>
      </c>
      <c r="M153" s="41">
        <f t="shared" si="25"/>
        <v>913719.99999999988</v>
      </c>
      <c r="N153" s="41">
        <v>0</v>
      </c>
      <c r="O153" s="40">
        <v>0</v>
      </c>
      <c r="P153" s="42">
        <f t="shared" si="26"/>
        <v>913719.99999999988</v>
      </c>
      <c r="Q153" s="5">
        <v>17.190000000000001</v>
      </c>
    </row>
    <row r="154" spans="1:17" x14ac:dyDescent="0.25">
      <c r="A154" s="5" t="s">
        <v>95</v>
      </c>
      <c r="B154" s="5" t="s">
        <v>18</v>
      </c>
      <c r="C154" s="6">
        <v>42551</v>
      </c>
      <c r="D154" s="5">
        <f t="shared" si="23"/>
        <v>6</v>
      </c>
      <c r="E154" s="5">
        <f t="shared" si="24"/>
        <v>27</v>
      </c>
      <c r="F154" s="5">
        <v>19.97</v>
      </c>
      <c r="G154" s="40">
        <v>39500</v>
      </c>
      <c r="H154" s="41">
        <v>788815</v>
      </c>
      <c r="I154" s="42">
        <v>0</v>
      </c>
      <c r="J154" s="43">
        <f>H154*12.5%</f>
        <v>98601.875</v>
      </c>
      <c r="K154" s="44">
        <v>0</v>
      </c>
      <c r="L154" s="44">
        <v>0</v>
      </c>
      <c r="M154" s="41">
        <f t="shared" si="25"/>
        <v>887416.875</v>
      </c>
      <c r="N154" s="41">
        <f>2%*M154</f>
        <v>17748.337500000001</v>
      </c>
      <c r="O154" s="40">
        <v>0</v>
      </c>
      <c r="P154" s="42">
        <f t="shared" si="26"/>
        <v>905165.21250000002</v>
      </c>
      <c r="Q154" s="5">
        <v>19.97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D2" sqref="D2:E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31</v>
      </c>
      <c r="B2" s="5" t="s">
        <v>18</v>
      </c>
      <c r="C2" s="6">
        <v>42552</v>
      </c>
      <c r="D2" s="5">
        <f>MONTH(C2)</f>
        <v>7</v>
      </c>
      <c r="E2" s="5">
        <f>WEEKNUM(C2)</f>
        <v>27</v>
      </c>
      <c r="F2" s="5">
        <f>Q2</f>
        <v>26.67</v>
      </c>
      <c r="G2" s="40">
        <v>50300</v>
      </c>
      <c r="H2" s="41">
        <f t="shared" ref="H2:H65" si="0">+F2*G2</f>
        <v>1341501</v>
      </c>
      <c r="I2" s="42">
        <v>0</v>
      </c>
      <c r="J2" s="43">
        <v>0</v>
      </c>
      <c r="K2" s="44">
        <v>0</v>
      </c>
      <c r="L2" s="44">
        <v>0</v>
      </c>
      <c r="M2" s="41">
        <f t="shared" ref="M2:M65" si="1">+H2+J2</f>
        <v>1341501</v>
      </c>
      <c r="N2" s="41">
        <v>0</v>
      </c>
      <c r="O2" s="40">
        <v>0</v>
      </c>
      <c r="P2" s="42">
        <f t="shared" ref="P2:P65" si="2">+M2+N2+O2</f>
        <v>1341501</v>
      </c>
      <c r="Q2" s="5">
        <v>26.67</v>
      </c>
    </row>
    <row r="3" spans="1:17" x14ac:dyDescent="0.25">
      <c r="A3" s="5" t="s">
        <v>94</v>
      </c>
      <c r="B3" s="5" t="s">
        <v>20</v>
      </c>
      <c r="C3" s="6">
        <v>42553</v>
      </c>
      <c r="D3" s="5">
        <f t="shared" ref="D3:D66" si="3">MONTH(C3)</f>
        <v>7</v>
      </c>
      <c r="E3" s="5">
        <f t="shared" ref="E3:E66" si="4">WEEKNUM(C3)</f>
        <v>27</v>
      </c>
      <c r="F3" s="5">
        <f t="shared" ref="F3:F66" si="5">Q3</f>
        <v>24.67</v>
      </c>
      <c r="G3" s="40">
        <v>83333</v>
      </c>
      <c r="H3" s="41">
        <f t="shared" si="0"/>
        <v>2055825.11</v>
      </c>
      <c r="I3" s="42">
        <v>0</v>
      </c>
      <c r="J3" s="43">
        <v>0</v>
      </c>
      <c r="K3" s="44">
        <v>0</v>
      </c>
      <c r="L3" s="44">
        <v>0</v>
      </c>
      <c r="M3" s="41">
        <f t="shared" si="1"/>
        <v>2055825.11</v>
      </c>
      <c r="N3" s="41">
        <f t="shared" ref="N3:N7" si="6">M3*2%</f>
        <v>41116.502200000003</v>
      </c>
      <c r="O3" s="40">
        <v>0</v>
      </c>
      <c r="P3" s="42">
        <f t="shared" si="2"/>
        <v>2096941.6122000001</v>
      </c>
      <c r="Q3" s="5">
        <v>24.67</v>
      </c>
    </row>
    <row r="4" spans="1:17" x14ac:dyDescent="0.25">
      <c r="A4" s="5" t="s">
        <v>30</v>
      </c>
      <c r="B4" s="5" t="s">
        <v>15</v>
      </c>
      <c r="C4" s="6">
        <v>42553</v>
      </c>
      <c r="D4" s="5">
        <f t="shared" si="3"/>
        <v>7</v>
      </c>
      <c r="E4" s="5">
        <f t="shared" si="4"/>
        <v>27</v>
      </c>
      <c r="F4" s="5">
        <f t="shared" si="5"/>
        <v>28.33</v>
      </c>
      <c r="G4" s="40">
        <v>52900</v>
      </c>
      <c r="H4" s="41">
        <f t="shared" si="0"/>
        <v>1498657</v>
      </c>
      <c r="I4" s="42">
        <v>0</v>
      </c>
      <c r="J4" s="43">
        <v>0</v>
      </c>
      <c r="K4" s="44">
        <v>0</v>
      </c>
      <c r="L4" s="44">
        <v>0</v>
      </c>
      <c r="M4" s="41">
        <f t="shared" si="1"/>
        <v>1498657</v>
      </c>
      <c r="N4" s="41">
        <v>0</v>
      </c>
      <c r="O4" s="40">
        <v>0</v>
      </c>
      <c r="P4" s="42">
        <f t="shared" si="2"/>
        <v>1498657</v>
      </c>
      <c r="Q4" s="5">
        <v>28.33</v>
      </c>
    </row>
    <row r="5" spans="1:17" x14ac:dyDescent="0.25">
      <c r="A5" s="5" t="s">
        <v>24</v>
      </c>
      <c r="B5" s="5" t="s">
        <v>15</v>
      </c>
      <c r="C5" s="6">
        <v>42553</v>
      </c>
      <c r="D5" s="5">
        <f t="shared" si="3"/>
        <v>7</v>
      </c>
      <c r="E5" s="5">
        <f t="shared" si="4"/>
        <v>27</v>
      </c>
      <c r="F5" s="5">
        <f t="shared" si="5"/>
        <v>27.43</v>
      </c>
      <c r="G5" s="40">
        <v>53300</v>
      </c>
      <c r="H5" s="41">
        <f t="shared" si="0"/>
        <v>1462019</v>
      </c>
      <c r="I5" s="42">
        <v>0</v>
      </c>
      <c r="J5" s="43">
        <v>0</v>
      </c>
      <c r="K5" s="44">
        <v>0</v>
      </c>
      <c r="L5" s="44">
        <v>0</v>
      </c>
      <c r="M5" s="41">
        <f t="shared" si="1"/>
        <v>1462019</v>
      </c>
      <c r="N5" s="41">
        <v>0</v>
      </c>
      <c r="O5" s="40">
        <v>0</v>
      </c>
      <c r="P5" s="42">
        <f t="shared" si="2"/>
        <v>1462019</v>
      </c>
      <c r="Q5" s="5">
        <v>27.43</v>
      </c>
    </row>
    <row r="6" spans="1:17" x14ac:dyDescent="0.25">
      <c r="A6" s="5" t="s">
        <v>94</v>
      </c>
      <c r="B6" s="5" t="s">
        <v>20</v>
      </c>
      <c r="C6" s="6">
        <v>42553</v>
      </c>
      <c r="D6" s="5">
        <f t="shared" si="3"/>
        <v>7</v>
      </c>
      <c r="E6" s="5">
        <f t="shared" si="4"/>
        <v>27</v>
      </c>
      <c r="F6" s="5">
        <f t="shared" si="5"/>
        <v>15.79</v>
      </c>
      <c r="G6" s="40">
        <v>83333</v>
      </c>
      <c r="H6" s="41">
        <f t="shared" si="0"/>
        <v>1315828.0699999998</v>
      </c>
      <c r="I6" s="42">
        <v>0</v>
      </c>
      <c r="J6" s="43">
        <v>0</v>
      </c>
      <c r="K6" s="44">
        <v>0</v>
      </c>
      <c r="L6" s="44">
        <v>0</v>
      </c>
      <c r="M6" s="41">
        <f t="shared" si="1"/>
        <v>1315828.0699999998</v>
      </c>
      <c r="N6" s="41">
        <f t="shared" ref="N6" si="7">M6*2%</f>
        <v>26316.561399999999</v>
      </c>
      <c r="O6" s="40">
        <v>0</v>
      </c>
      <c r="P6" s="42">
        <f t="shared" si="2"/>
        <v>1342144.6313999998</v>
      </c>
      <c r="Q6" s="5">
        <v>15.79</v>
      </c>
    </row>
    <row r="7" spans="1:17" x14ac:dyDescent="0.25">
      <c r="A7" s="5" t="s">
        <v>94</v>
      </c>
      <c r="B7" s="5" t="s">
        <v>20</v>
      </c>
      <c r="C7" s="6">
        <v>42553</v>
      </c>
      <c r="D7" s="5">
        <f t="shared" si="3"/>
        <v>7</v>
      </c>
      <c r="E7" s="5">
        <f t="shared" si="4"/>
        <v>27</v>
      </c>
      <c r="F7" s="5">
        <f t="shared" si="5"/>
        <v>15.81</v>
      </c>
      <c r="G7" s="40">
        <v>83333</v>
      </c>
      <c r="H7" s="41">
        <f t="shared" si="0"/>
        <v>1317494.73</v>
      </c>
      <c r="I7" s="42">
        <v>0</v>
      </c>
      <c r="J7" s="43">
        <v>0</v>
      </c>
      <c r="K7" s="44">
        <v>0</v>
      </c>
      <c r="L7" s="44">
        <v>0</v>
      </c>
      <c r="M7" s="41">
        <f t="shared" si="1"/>
        <v>1317494.73</v>
      </c>
      <c r="N7" s="41">
        <f t="shared" si="6"/>
        <v>26349.8946</v>
      </c>
      <c r="O7" s="40">
        <v>0</v>
      </c>
      <c r="P7" s="42">
        <f t="shared" si="2"/>
        <v>1343844.6246</v>
      </c>
      <c r="Q7" s="5">
        <v>15.81</v>
      </c>
    </row>
    <row r="8" spans="1:17" x14ac:dyDescent="0.25">
      <c r="A8" s="5" t="s">
        <v>21</v>
      </c>
      <c r="B8" s="5" t="s">
        <v>15</v>
      </c>
      <c r="C8" s="6">
        <v>42553</v>
      </c>
      <c r="D8" s="5">
        <f t="shared" si="3"/>
        <v>7</v>
      </c>
      <c r="E8" s="5">
        <f t="shared" si="4"/>
        <v>27</v>
      </c>
      <c r="F8" s="5">
        <f t="shared" si="5"/>
        <v>29.23</v>
      </c>
      <c r="G8" s="40">
        <v>53300</v>
      </c>
      <c r="H8" s="41">
        <f t="shared" si="0"/>
        <v>1557959</v>
      </c>
      <c r="I8" s="42">
        <v>0</v>
      </c>
      <c r="J8" s="43">
        <v>0</v>
      </c>
      <c r="K8" s="44">
        <v>0</v>
      </c>
      <c r="L8" s="44">
        <v>0</v>
      </c>
      <c r="M8" s="41">
        <f t="shared" si="1"/>
        <v>1557959</v>
      </c>
      <c r="N8" s="41">
        <v>0</v>
      </c>
      <c r="O8" s="40">
        <v>0</v>
      </c>
      <c r="P8" s="42">
        <v>1561423</v>
      </c>
      <c r="Q8" s="5">
        <v>29.23</v>
      </c>
    </row>
    <row r="9" spans="1:17" x14ac:dyDescent="0.25">
      <c r="A9" s="5" t="s">
        <v>24</v>
      </c>
      <c r="B9" s="5" t="s">
        <v>15</v>
      </c>
      <c r="C9" s="6">
        <v>42554</v>
      </c>
      <c r="D9" s="5">
        <f t="shared" si="3"/>
        <v>7</v>
      </c>
      <c r="E9" s="5">
        <f t="shared" si="4"/>
        <v>28</v>
      </c>
      <c r="F9" s="5">
        <f t="shared" si="5"/>
        <v>28</v>
      </c>
      <c r="G9" s="40">
        <v>53249.87</v>
      </c>
      <c r="H9" s="41">
        <f t="shared" si="0"/>
        <v>1490996.36</v>
      </c>
      <c r="I9" s="42">
        <v>0</v>
      </c>
      <c r="J9" s="43">
        <v>0</v>
      </c>
      <c r="K9" s="44">
        <v>0</v>
      </c>
      <c r="L9" s="44">
        <v>0</v>
      </c>
      <c r="M9" s="41">
        <f t="shared" si="1"/>
        <v>1490996.36</v>
      </c>
      <c r="N9" s="41">
        <v>0</v>
      </c>
      <c r="O9" s="40">
        <v>0</v>
      </c>
      <c r="P9" s="42">
        <f t="shared" si="2"/>
        <v>1490996.36</v>
      </c>
      <c r="Q9" s="5">
        <v>28</v>
      </c>
    </row>
    <row r="10" spans="1:17" x14ac:dyDescent="0.25">
      <c r="A10" s="5" t="s">
        <v>67</v>
      </c>
      <c r="B10" s="5" t="s">
        <v>15</v>
      </c>
      <c r="C10" s="6">
        <v>42554</v>
      </c>
      <c r="D10" s="5">
        <f t="shared" si="3"/>
        <v>7</v>
      </c>
      <c r="E10" s="5">
        <f t="shared" si="4"/>
        <v>28</v>
      </c>
      <c r="F10" s="5">
        <f t="shared" si="5"/>
        <v>32.01</v>
      </c>
      <c r="G10" s="40">
        <v>52954.720000000001</v>
      </c>
      <c r="H10" s="41">
        <f t="shared" si="0"/>
        <v>1695080.5872</v>
      </c>
      <c r="I10" s="42">
        <v>0</v>
      </c>
      <c r="J10" s="43">
        <v>0</v>
      </c>
      <c r="K10" s="44">
        <v>0</v>
      </c>
      <c r="L10" s="44">
        <v>0</v>
      </c>
      <c r="M10" s="41">
        <f t="shared" si="1"/>
        <v>1695080.5872</v>
      </c>
      <c r="N10" s="41">
        <v>0</v>
      </c>
      <c r="O10" s="40">
        <v>0</v>
      </c>
      <c r="P10" s="42">
        <f t="shared" si="2"/>
        <v>1695080.5872</v>
      </c>
      <c r="Q10" s="5">
        <v>32.01</v>
      </c>
    </row>
    <row r="11" spans="1:17" x14ac:dyDescent="0.25">
      <c r="A11" s="5" t="s">
        <v>32</v>
      </c>
      <c r="B11" s="5" t="s">
        <v>18</v>
      </c>
      <c r="C11" s="6">
        <v>42555</v>
      </c>
      <c r="D11" s="5">
        <f t="shared" si="3"/>
        <v>7</v>
      </c>
      <c r="E11" s="5">
        <f t="shared" si="4"/>
        <v>28</v>
      </c>
      <c r="F11" s="5">
        <f t="shared" si="5"/>
        <v>27.08</v>
      </c>
      <c r="G11" s="40">
        <v>49607.85</v>
      </c>
      <c r="H11" s="41">
        <f t="shared" si="0"/>
        <v>1343380.578</v>
      </c>
      <c r="I11" s="42">
        <v>0</v>
      </c>
      <c r="J11" s="43">
        <v>0</v>
      </c>
      <c r="K11" s="44">
        <v>0</v>
      </c>
      <c r="L11" s="44">
        <v>0</v>
      </c>
      <c r="M11" s="41">
        <f t="shared" si="1"/>
        <v>1343380.578</v>
      </c>
      <c r="N11" s="41">
        <v>0</v>
      </c>
      <c r="O11" s="40">
        <v>0</v>
      </c>
      <c r="P11" s="42">
        <f t="shared" si="2"/>
        <v>1343380.578</v>
      </c>
      <c r="Q11" s="5">
        <v>27.08</v>
      </c>
    </row>
    <row r="12" spans="1:17" x14ac:dyDescent="0.25">
      <c r="A12" s="5" t="s">
        <v>65</v>
      </c>
      <c r="B12" s="5" t="s">
        <v>66</v>
      </c>
      <c r="C12" s="6">
        <v>42556</v>
      </c>
      <c r="D12" s="5">
        <f t="shared" si="3"/>
        <v>7</v>
      </c>
      <c r="E12" s="5">
        <f t="shared" si="4"/>
        <v>28</v>
      </c>
      <c r="F12" s="5">
        <f t="shared" si="5"/>
        <v>20</v>
      </c>
      <c r="G12" s="40">
        <v>50860.57</v>
      </c>
      <c r="H12" s="41">
        <f t="shared" si="0"/>
        <v>1017211.4</v>
      </c>
      <c r="I12" s="42">
        <v>0</v>
      </c>
      <c r="J12" s="43">
        <f t="shared" ref="J12:J16" si="8">H12*12.5%</f>
        <v>127151.425</v>
      </c>
      <c r="K12" s="44">
        <f t="shared" ref="K12:K16" si="9">(I12+J12)*2%</f>
        <v>2543.0284999999999</v>
      </c>
      <c r="L12" s="44">
        <f t="shared" ref="L12:L16" si="10">(I12+J12)*1%</f>
        <v>1271.5142499999999</v>
      </c>
      <c r="M12" s="41">
        <f t="shared" ref="M12:M16" si="11">H12+I12+J12+K12+L12</f>
        <v>1148177.36775</v>
      </c>
      <c r="N12" s="41">
        <v>0</v>
      </c>
      <c r="O12" s="40">
        <f t="shared" ref="O12:O16" si="12">(H12+J12+K12+L12)*4/100</f>
        <v>45927.094709999998</v>
      </c>
      <c r="P12" s="42">
        <f t="shared" si="2"/>
        <v>1194104.4624600001</v>
      </c>
      <c r="Q12" s="5">
        <v>20</v>
      </c>
    </row>
    <row r="13" spans="1:17" x14ac:dyDescent="0.25">
      <c r="A13" s="5" t="s">
        <v>65</v>
      </c>
      <c r="B13" s="5" t="s">
        <v>66</v>
      </c>
      <c r="C13" s="6">
        <v>42556</v>
      </c>
      <c r="D13" s="5">
        <f t="shared" si="3"/>
        <v>7</v>
      </c>
      <c r="E13" s="5">
        <f t="shared" si="4"/>
        <v>28</v>
      </c>
      <c r="F13" s="5">
        <f t="shared" si="5"/>
        <v>19.98</v>
      </c>
      <c r="G13" s="40">
        <v>50860.57</v>
      </c>
      <c r="H13" s="41">
        <f t="shared" si="0"/>
        <v>1016194.1886</v>
      </c>
      <c r="I13" s="42">
        <v>0</v>
      </c>
      <c r="J13" s="43">
        <f t="shared" si="8"/>
        <v>127024.273575</v>
      </c>
      <c r="K13" s="44">
        <f t="shared" si="9"/>
        <v>2540.4854715000001</v>
      </c>
      <c r="L13" s="44">
        <f t="shared" si="10"/>
        <v>1270.2427357500001</v>
      </c>
      <c r="M13" s="41">
        <f t="shared" si="11"/>
        <v>1147029.1903822501</v>
      </c>
      <c r="N13" s="41">
        <v>0</v>
      </c>
      <c r="O13" s="40">
        <f t="shared" si="12"/>
        <v>45881.167615290004</v>
      </c>
      <c r="P13" s="42">
        <f t="shared" si="2"/>
        <v>1192910.3579975402</v>
      </c>
      <c r="Q13" s="5">
        <v>19.98</v>
      </c>
    </row>
    <row r="14" spans="1:17" x14ac:dyDescent="0.25">
      <c r="A14" s="5" t="s">
        <v>65</v>
      </c>
      <c r="B14" s="5" t="s">
        <v>66</v>
      </c>
      <c r="C14" s="6">
        <v>42556</v>
      </c>
      <c r="D14" s="5">
        <f t="shared" si="3"/>
        <v>7</v>
      </c>
      <c r="E14" s="5">
        <f t="shared" si="4"/>
        <v>28</v>
      </c>
      <c r="F14" s="5">
        <f t="shared" si="5"/>
        <v>20.010000000000002</v>
      </c>
      <c r="G14" s="40">
        <v>50860.57</v>
      </c>
      <c r="H14" s="41">
        <f t="shared" si="0"/>
        <v>1017720.0057000001</v>
      </c>
      <c r="I14" s="42">
        <v>0</v>
      </c>
      <c r="J14" s="43">
        <f t="shared" si="8"/>
        <v>127215.00071250001</v>
      </c>
      <c r="K14" s="44">
        <f t="shared" si="9"/>
        <v>2544.3000142500005</v>
      </c>
      <c r="L14" s="44">
        <f t="shared" si="10"/>
        <v>1272.1500071250002</v>
      </c>
      <c r="M14" s="41">
        <f t="shared" si="11"/>
        <v>1148751.456433875</v>
      </c>
      <c r="N14" s="41">
        <v>0</v>
      </c>
      <c r="O14" s="40">
        <f t="shared" si="12"/>
        <v>45950.058257354998</v>
      </c>
      <c r="P14" s="42">
        <f t="shared" si="2"/>
        <v>1194701.5146912299</v>
      </c>
      <c r="Q14" s="5">
        <v>20.010000000000002</v>
      </c>
    </row>
    <row r="15" spans="1:17" x14ac:dyDescent="0.25">
      <c r="A15" s="5" t="s">
        <v>65</v>
      </c>
      <c r="B15" s="5" t="s">
        <v>66</v>
      </c>
      <c r="C15" s="6">
        <v>42556</v>
      </c>
      <c r="D15" s="5">
        <f t="shared" si="3"/>
        <v>7</v>
      </c>
      <c r="E15" s="5">
        <f t="shared" si="4"/>
        <v>28</v>
      </c>
      <c r="F15" s="5">
        <f t="shared" si="5"/>
        <v>20</v>
      </c>
      <c r="G15" s="40">
        <v>50860.57</v>
      </c>
      <c r="H15" s="41">
        <f t="shared" si="0"/>
        <v>1017211.4</v>
      </c>
      <c r="I15" s="42">
        <v>0</v>
      </c>
      <c r="J15" s="43">
        <f t="shared" si="8"/>
        <v>127151.425</v>
      </c>
      <c r="K15" s="44">
        <f t="shared" si="9"/>
        <v>2543.0284999999999</v>
      </c>
      <c r="L15" s="44">
        <f t="shared" si="10"/>
        <v>1271.5142499999999</v>
      </c>
      <c r="M15" s="41">
        <f t="shared" si="11"/>
        <v>1148177.36775</v>
      </c>
      <c r="N15" s="41">
        <v>0</v>
      </c>
      <c r="O15" s="40">
        <f t="shared" si="12"/>
        <v>45927.094709999998</v>
      </c>
      <c r="P15" s="42">
        <f t="shared" si="2"/>
        <v>1194104.4624600001</v>
      </c>
      <c r="Q15" s="5">
        <v>20</v>
      </c>
    </row>
    <row r="16" spans="1:17" x14ac:dyDescent="0.25">
      <c r="A16" s="5" t="s">
        <v>65</v>
      </c>
      <c r="B16" s="5" t="s">
        <v>66</v>
      </c>
      <c r="C16" s="6">
        <v>42556</v>
      </c>
      <c r="D16" s="5">
        <f t="shared" si="3"/>
        <v>7</v>
      </c>
      <c r="E16" s="5">
        <f t="shared" si="4"/>
        <v>28</v>
      </c>
      <c r="F16" s="5">
        <f t="shared" si="5"/>
        <v>20.010000000000002</v>
      </c>
      <c r="G16" s="40">
        <v>50860.57</v>
      </c>
      <c r="H16" s="41">
        <f t="shared" si="0"/>
        <v>1017720.0057000001</v>
      </c>
      <c r="I16" s="42">
        <v>0</v>
      </c>
      <c r="J16" s="43">
        <f t="shared" si="8"/>
        <v>127215.00071250001</v>
      </c>
      <c r="K16" s="44">
        <f t="shared" si="9"/>
        <v>2544.3000142500005</v>
      </c>
      <c r="L16" s="44">
        <f t="shared" si="10"/>
        <v>1272.1500071250002</v>
      </c>
      <c r="M16" s="41">
        <f t="shared" si="11"/>
        <v>1148751.456433875</v>
      </c>
      <c r="N16" s="41">
        <v>0</v>
      </c>
      <c r="O16" s="40">
        <f t="shared" si="12"/>
        <v>45950.058257354998</v>
      </c>
      <c r="P16" s="42">
        <f t="shared" si="2"/>
        <v>1194701.5146912299</v>
      </c>
      <c r="Q16" s="5">
        <v>20.010000000000002</v>
      </c>
    </row>
    <row r="17" spans="1:17" x14ac:dyDescent="0.25">
      <c r="A17" s="5" t="s">
        <v>27</v>
      </c>
      <c r="B17" s="5" t="s">
        <v>18</v>
      </c>
      <c r="C17" s="6">
        <v>42556</v>
      </c>
      <c r="D17" s="5">
        <f t="shared" si="3"/>
        <v>7</v>
      </c>
      <c r="E17" s="5">
        <f t="shared" si="4"/>
        <v>28</v>
      </c>
      <c r="F17" s="5">
        <f t="shared" si="5"/>
        <v>26.21</v>
      </c>
      <c r="G17" s="40">
        <v>50000</v>
      </c>
      <c r="H17" s="41">
        <f t="shared" si="0"/>
        <v>1310500</v>
      </c>
      <c r="I17" s="42">
        <v>0</v>
      </c>
      <c r="J17" s="43">
        <v>0</v>
      </c>
      <c r="K17" s="44">
        <v>0</v>
      </c>
      <c r="L17" s="44">
        <v>0</v>
      </c>
      <c r="M17" s="41">
        <f t="shared" ref="M17:M19" si="13">+H17+J17</f>
        <v>1310500</v>
      </c>
      <c r="N17" s="41">
        <v>0</v>
      </c>
      <c r="O17" s="40">
        <v>0</v>
      </c>
      <c r="P17" s="42">
        <f t="shared" si="2"/>
        <v>1310500</v>
      </c>
      <c r="Q17" s="5">
        <v>26.21</v>
      </c>
    </row>
    <row r="18" spans="1:17" x14ac:dyDescent="0.25">
      <c r="A18" s="5" t="s">
        <v>67</v>
      </c>
      <c r="B18" s="5" t="s">
        <v>15</v>
      </c>
      <c r="C18" s="6">
        <v>42556</v>
      </c>
      <c r="D18" s="5">
        <f t="shared" si="3"/>
        <v>7</v>
      </c>
      <c r="E18" s="5">
        <f t="shared" si="4"/>
        <v>28</v>
      </c>
      <c r="F18" s="5">
        <f t="shared" si="5"/>
        <v>20.27</v>
      </c>
      <c r="G18" s="40">
        <v>53000</v>
      </c>
      <c r="H18" s="41">
        <f t="shared" si="0"/>
        <v>1074310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13"/>
        <v>1074310</v>
      </c>
      <c r="N18" s="41">
        <v>0</v>
      </c>
      <c r="O18" s="40">
        <v>0</v>
      </c>
      <c r="P18" s="42">
        <f t="shared" si="2"/>
        <v>1074310</v>
      </c>
      <c r="Q18" s="5">
        <v>20.27</v>
      </c>
    </row>
    <row r="19" spans="1:17" x14ac:dyDescent="0.25">
      <c r="A19" s="5" t="s">
        <v>21</v>
      </c>
      <c r="B19" s="5" t="s">
        <v>15</v>
      </c>
      <c r="C19" s="6">
        <v>42557</v>
      </c>
      <c r="D19" s="5">
        <f t="shared" si="3"/>
        <v>7</v>
      </c>
      <c r="E19" s="5">
        <f t="shared" si="4"/>
        <v>28</v>
      </c>
      <c r="F19" s="5">
        <f t="shared" si="5"/>
        <v>29.03</v>
      </c>
      <c r="G19" s="40">
        <v>53348.959999999999</v>
      </c>
      <c r="H19" s="41">
        <f t="shared" si="0"/>
        <v>1548720.3088</v>
      </c>
      <c r="I19" s="42">
        <v>0</v>
      </c>
      <c r="J19" s="43">
        <v>0</v>
      </c>
      <c r="K19" s="44">
        <v>0</v>
      </c>
      <c r="L19" s="44">
        <v>0</v>
      </c>
      <c r="M19" s="41">
        <f t="shared" si="13"/>
        <v>1548720.3088</v>
      </c>
      <c r="N19" s="41">
        <v>0</v>
      </c>
      <c r="O19" s="40">
        <v>0</v>
      </c>
      <c r="P19" s="42">
        <f t="shared" si="2"/>
        <v>1548720.3088</v>
      </c>
      <c r="Q19" s="5">
        <v>29.03</v>
      </c>
    </row>
    <row r="20" spans="1:17" x14ac:dyDescent="0.25">
      <c r="A20" s="5" t="s">
        <v>30</v>
      </c>
      <c r="B20" s="5" t="s">
        <v>15</v>
      </c>
      <c r="C20" s="6">
        <v>42557</v>
      </c>
      <c r="D20" s="5">
        <f t="shared" si="3"/>
        <v>7</v>
      </c>
      <c r="E20" s="5">
        <f t="shared" si="4"/>
        <v>28</v>
      </c>
      <c r="F20" s="5">
        <f t="shared" si="5"/>
        <v>31.6</v>
      </c>
      <c r="G20" s="40">
        <v>53300</v>
      </c>
      <c r="H20" s="41">
        <f t="shared" si="0"/>
        <v>1684280</v>
      </c>
      <c r="I20" s="42">
        <v>0</v>
      </c>
      <c r="J20" s="43">
        <v>0</v>
      </c>
      <c r="K20" s="44">
        <v>0</v>
      </c>
      <c r="L20" s="44">
        <v>0</v>
      </c>
      <c r="M20" s="41">
        <f t="shared" si="1"/>
        <v>1684280</v>
      </c>
      <c r="N20" s="41">
        <v>0</v>
      </c>
      <c r="O20" s="40">
        <v>0</v>
      </c>
      <c r="P20" s="42">
        <f t="shared" si="2"/>
        <v>1684280</v>
      </c>
      <c r="Q20" s="5">
        <v>31.6</v>
      </c>
    </row>
    <row r="21" spans="1:17" x14ac:dyDescent="0.25">
      <c r="A21" s="5" t="s">
        <v>33</v>
      </c>
      <c r="B21" s="5" t="s">
        <v>18</v>
      </c>
      <c r="C21" s="6">
        <v>42558</v>
      </c>
      <c r="D21" s="5">
        <f t="shared" si="3"/>
        <v>7</v>
      </c>
      <c r="E21" s="5">
        <f t="shared" si="4"/>
        <v>28</v>
      </c>
      <c r="F21" s="5">
        <f t="shared" si="5"/>
        <v>28.74</v>
      </c>
      <c r="G21" s="40">
        <v>49694.32</v>
      </c>
      <c r="H21" s="41">
        <f t="shared" si="0"/>
        <v>1428214.7567999999</v>
      </c>
      <c r="I21" s="42">
        <v>0</v>
      </c>
      <c r="J21" s="43">
        <v>0</v>
      </c>
      <c r="K21" s="44">
        <v>0</v>
      </c>
      <c r="L21" s="44">
        <v>0</v>
      </c>
      <c r="M21" s="41">
        <f t="shared" si="1"/>
        <v>1428214.7567999999</v>
      </c>
      <c r="N21" s="41">
        <v>0</v>
      </c>
      <c r="O21" s="40">
        <v>0</v>
      </c>
      <c r="P21" s="42">
        <f t="shared" si="2"/>
        <v>1428214.7567999999</v>
      </c>
      <c r="Q21" s="5">
        <v>28.74</v>
      </c>
    </row>
    <row r="22" spans="1:17" x14ac:dyDescent="0.25">
      <c r="A22" s="5" t="s">
        <v>30</v>
      </c>
      <c r="B22" s="5" t="s">
        <v>18</v>
      </c>
      <c r="C22" s="6">
        <v>42559</v>
      </c>
      <c r="D22" s="5">
        <f t="shared" si="3"/>
        <v>7</v>
      </c>
      <c r="E22" s="5">
        <f t="shared" si="4"/>
        <v>28</v>
      </c>
      <c r="F22" s="5">
        <f t="shared" si="5"/>
        <v>27.5</v>
      </c>
      <c r="G22" s="40">
        <v>50300</v>
      </c>
      <c r="H22" s="41">
        <f t="shared" si="0"/>
        <v>1383250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1"/>
        <v>1383250</v>
      </c>
      <c r="N22" s="41">
        <v>0</v>
      </c>
      <c r="O22" s="40">
        <v>0</v>
      </c>
      <c r="P22" s="42">
        <f t="shared" si="2"/>
        <v>1383250</v>
      </c>
      <c r="Q22" s="5">
        <v>27.5</v>
      </c>
    </row>
    <row r="23" spans="1:17" x14ac:dyDescent="0.25">
      <c r="A23" s="5" t="s">
        <v>22</v>
      </c>
      <c r="B23" s="5" t="s">
        <v>15</v>
      </c>
      <c r="C23" s="6">
        <v>42559</v>
      </c>
      <c r="D23" s="5">
        <f t="shared" si="3"/>
        <v>7</v>
      </c>
      <c r="E23" s="5">
        <f t="shared" si="4"/>
        <v>28</v>
      </c>
      <c r="F23" s="5">
        <f t="shared" si="5"/>
        <v>31.01</v>
      </c>
      <c r="G23" s="40">
        <v>54500</v>
      </c>
      <c r="H23" s="41">
        <f t="shared" si="0"/>
        <v>1690045</v>
      </c>
      <c r="I23" s="42">
        <v>0</v>
      </c>
      <c r="J23" s="43">
        <v>0</v>
      </c>
      <c r="K23" s="44">
        <v>0</v>
      </c>
      <c r="L23" s="44">
        <v>0</v>
      </c>
      <c r="M23" s="41">
        <f t="shared" si="1"/>
        <v>1690045</v>
      </c>
      <c r="N23" s="41">
        <v>0</v>
      </c>
      <c r="O23" s="40">
        <v>0</v>
      </c>
      <c r="P23" s="42">
        <f t="shared" si="2"/>
        <v>1690045</v>
      </c>
      <c r="Q23" s="5">
        <v>31.01</v>
      </c>
    </row>
    <row r="24" spans="1:17" x14ac:dyDescent="0.25">
      <c r="A24" s="5" t="s">
        <v>30</v>
      </c>
      <c r="B24" s="5" t="s">
        <v>15</v>
      </c>
      <c r="C24" s="6">
        <v>42559</v>
      </c>
      <c r="D24" s="5">
        <f t="shared" si="3"/>
        <v>7</v>
      </c>
      <c r="E24" s="5">
        <f t="shared" si="4"/>
        <v>28</v>
      </c>
      <c r="F24" s="5">
        <f t="shared" si="5"/>
        <v>30.99</v>
      </c>
      <c r="G24" s="40">
        <v>53243.08</v>
      </c>
      <c r="H24" s="41">
        <f t="shared" si="0"/>
        <v>1650003.0492</v>
      </c>
      <c r="I24" s="42">
        <v>0</v>
      </c>
      <c r="J24" s="43">
        <v>0</v>
      </c>
      <c r="K24" s="44">
        <v>0</v>
      </c>
      <c r="L24" s="44">
        <v>0</v>
      </c>
      <c r="M24" s="41">
        <f t="shared" si="1"/>
        <v>1650003.0492</v>
      </c>
      <c r="N24" s="41">
        <v>0</v>
      </c>
      <c r="O24" s="40">
        <v>0</v>
      </c>
      <c r="P24" s="42">
        <f t="shared" si="2"/>
        <v>1650003.0492</v>
      </c>
      <c r="Q24" s="5">
        <v>30.99</v>
      </c>
    </row>
    <row r="25" spans="1:17" x14ac:dyDescent="0.25">
      <c r="A25" s="5" t="s">
        <v>21</v>
      </c>
      <c r="B25" s="5" t="s">
        <v>15</v>
      </c>
      <c r="C25" s="6">
        <v>42559</v>
      </c>
      <c r="D25" s="5">
        <f t="shared" si="3"/>
        <v>7</v>
      </c>
      <c r="E25" s="5">
        <f t="shared" si="4"/>
        <v>28</v>
      </c>
      <c r="F25" s="5">
        <f t="shared" si="5"/>
        <v>29.36</v>
      </c>
      <c r="G25" s="40">
        <v>53500</v>
      </c>
      <c r="H25" s="41">
        <f t="shared" si="0"/>
        <v>1570760</v>
      </c>
      <c r="I25" s="42">
        <v>0</v>
      </c>
      <c r="J25" s="43">
        <v>0</v>
      </c>
      <c r="K25" s="44">
        <v>0</v>
      </c>
      <c r="L25" s="44">
        <v>0</v>
      </c>
      <c r="M25" s="41">
        <f t="shared" si="1"/>
        <v>1570760</v>
      </c>
      <c r="N25" s="41">
        <v>0</v>
      </c>
      <c r="O25" s="40">
        <v>0</v>
      </c>
      <c r="P25" s="42">
        <f t="shared" si="2"/>
        <v>1570760</v>
      </c>
      <c r="Q25" s="5">
        <v>29.36</v>
      </c>
    </row>
    <row r="26" spans="1:17" x14ac:dyDescent="0.25">
      <c r="A26" s="5" t="s">
        <v>30</v>
      </c>
      <c r="B26" s="5" t="s">
        <v>15</v>
      </c>
      <c r="C26" s="6">
        <v>42559</v>
      </c>
      <c r="D26" s="5">
        <f t="shared" si="3"/>
        <v>7</v>
      </c>
      <c r="E26" s="5">
        <f t="shared" si="4"/>
        <v>28</v>
      </c>
      <c r="F26" s="5">
        <f t="shared" si="5"/>
        <v>27.37</v>
      </c>
      <c r="G26" s="40">
        <v>52900</v>
      </c>
      <c r="H26" s="41">
        <f t="shared" si="0"/>
        <v>1447873</v>
      </c>
      <c r="I26" s="42">
        <v>0</v>
      </c>
      <c r="J26" s="43">
        <v>0</v>
      </c>
      <c r="K26" s="44">
        <v>0</v>
      </c>
      <c r="L26" s="44">
        <v>0</v>
      </c>
      <c r="M26" s="41">
        <f t="shared" si="1"/>
        <v>1447873</v>
      </c>
      <c r="N26" s="41">
        <v>0</v>
      </c>
      <c r="O26" s="40">
        <v>0</v>
      </c>
      <c r="P26" s="42">
        <f t="shared" si="2"/>
        <v>1447873</v>
      </c>
      <c r="Q26" s="5">
        <v>27.37</v>
      </c>
    </row>
    <row r="27" spans="1:17" x14ac:dyDescent="0.25">
      <c r="A27" s="5" t="s">
        <v>24</v>
      </c>
      <c r="B27" s="5" t="s">
        <v>18</v>
      </c>
      <c r="C27" s="6">
        <v>42560</v>
      </c>
      <c r="D27" s="5">
        <f t="shared" si="3"/>
        <v>7</v>
      </c>
      <c r="E27" s="5">
        <f t="shared" si="4"/>
        <v>28</v>
      </c>
      <c r="F27" s="5">
        <f t="shared" si="5"/>
        <v>27.49</v>
      </c>
      <c r="G27" s="40">
        <v>49356.94</v>
      </c>
      <c r="H27" s="41">
        <f t="shared" si="0"/>
        <v>1356822.2805999999</v>
      </c>
      <c r="I27" s="42">
        <v>0</v>
      </c>
      <c r="J27" s="43">
        <v>0</v>
      </c>
      <c r="K27" s="44">
        <v>0</v>
      </c>
      <c r="L27" s="44">
        <v>0</v>
      </c>
      <c r="M27" s="41">
        <f t="shared" si="1"/>
        <v>1356822.2805999999</v>
      </c>
      <c r="N27" s="41">
        <v>0</v>
      </c>
      <c r="O27" s="40">
        <v>0</v>
      </c>
      <c r="P27" s="42">
        <f t="shared" si="2"/>
        <v>1356822.2805999999</v>
      </c>
      <c r="Q27" s="5">
        <v>27.49</v>
      </c>
    </row>
    <row r="28" spans="1:17" x14ac:dyDescent="0.25">
      <c r="A28" s="5" t="s">
        <v>17</v>
      </c>
      <c r="B28" s="5" t="s">
        <v>18</v>
      </c>
      <c r="C28" s="6">
        <v>42560</v>
      </c>
      <c r="D28" s="5">
        <f t="shared" si="3"/>
        <v>7</v>
      </c>
      <c r="E28" s="5">
        <f t="shared" si="4"/>
        <v>28</v>
      </c>
      <c r="F28" s="5">
        <f t="shared" si="5"/>
        <v>28.57</v>
      </c>
      <c r="G28" s="40">
        <v>50000</v>
      </c>
      <c r="H28" s="41">
        <f t="shared" si="0"/>
        <v>1428500</v>
      </c>
      <c r="I28" s="42">
        <v>0</v>
      </c>
      <c r="J28" s="43">
        <v>0</v>
      </c>
      <c r="K28" s="44">
        <v>0</v>
      </c>
      <c r="L28" s="44">
        <v>0</v>
      </c>
      <c r="M28" s="41">
        <f t="shared" si="1"/>
        <v>1428500</v>
      </c>
      <c r="N28" s="41">
        <v>0</v>
      </c>
      <c r="O28" s="40">
        <v>0</v>
      </c>
      <c r="P28" s="42">
        <f t="shared" si="2"/>
        <v>1428500</v>
      </c>
      <c r="Q28" s="5">
        <v>28.57</v>
      </c>
    </row>
    <row r="29" spans="1:17" x14ac:dyDescent="0.25">
      <c r="A29" s="5" t="s">
        <v>67</v>
      </c>
      <c r="B29" s="5" t="s">
        <v>15</v>
      </c>
      <c r="C29" s="6">
        <v>42560</v>
      </c>
      <c r="D29" s="5">
        <f t="shared" si="3"/>
        <v>7</v>
      </c>
      <c r="E29" s="5">
        <f t="shared" si="4"/>
        <v>28</v>
      </c>
      <c r="F29" s="5">
        <f t="shared" si="5"/>
        <v>28.83</v>
      </c>
      <c r="G29" s="40">
        <v>52900</v>
      </c>
      <c r="H29" s="41">
        <f t="shared" si="0"/>
        <v>1525107</v>
      </c>
      <c r="I29" s="42">
        <v>0</v>
      </c>
      <c r="J29" s="43">
        <v>0</v>
      </c>
      <c r="K29" s="44">
        <v>0</v>
      </c>
      <c r="L29" s="44">
        <v>0</v>
      </c>
      <c r="M29" s="41">
        <f t="shared" si="1"/>
        <v>1525107</v>
      </c>
      <c r="N29" s="41">
        <v>0</v>
      </c>
      <c r="O29" s="40">
        <v>0</v>
      </c>
      <c r="P29" s="42">
        <f t="shared" si="2"/>
        <v>1525107</v>
      </c>
      <c r="Q29" s="5">
        <v>28.83</v>
      </c>
    </row>
    <row r="30" spans="1:17" x14ac:dyDescent="0.25">
      <c r="A30" s="5" t="s">
        <v>22</v>
      </c>
      <c r="B30" s="5" t="s">
        <v>15</v>
      </c>
      <c r="C30" s="6">
        <v>42560</v>
      </c>
      <c r="D30" s="5">
        <f t="shared" si="3"/>
        <v>7</v>
      </c>
      <c r="E30" s="5">
        <f t="shared" si="4"/>
        <v>28</v>
      </c>
      <c r="F30" s="5">
        <f t="shared" si="5"/>
        <v>34.33</v>
      </c>
      <c r="G30" s="40">
        <v>54897.35</v>
      </c>
      <c r="H30" s="41">
        <f t="shared" si="0"/>
        <v>1884626.0254999998</v>
      </c>
      <c r="I30" s="42">
        <v>0</v>
      </c>
      <c r="J30" s="43">
        <v>0</v>
      </c>
      <c r="K30" s="44">
        <v>0</v>
      </c>
      <c r="L30" s="44">
        <v>0</v>
      </c>
      <c r="M30" s="41">
        <f t="shared" si="1"/>
        <v>1884626.0254999998</v>
      </c>
      <c r="N30" s="41">
        <v>0</v>
      </c>
      <c r="O30" s="40">
        <v>0</v>
      </c>
      <c r="P30" s="42">
        <f t="shared" si="2"/>
        <v>1884626.0254999998</v>
      </c>
      <c r="Q30" s="5">
        <v>34.33</v>
      </c>
    </row>
    <row r="31" spans="1:17" x14ac:dyDescent="0.25">
      <c r="A31" s="5" t="s">
        <v>16</v>
      </c>
      <c r="B31" s="5" t="s">
        <v>15</v>
      </c>
      <c r="C31" s="6">
        <v>42560</v>
      </c>
      <c r="D31" s="5">
        <f t="shared" si="3"/>
        <v>7</v>
      </c>
      <c r="E31" s="5">
        <f t="shared" si="4"/>
        <v>28</v>
      </c>
      <c r="F31" s="5">
        <f t="shared" si="5"/>
        <v>31</v>
      </c>
      <c r="G31" s="40">
        <v>55800</v>
      </c>
      <c r="H31" s="41">
        <f t="shared" si="0"/>
        <v>1729800</v>
      </c>
      <c r="I31" s="42">
        <v>0</v>
      </c>
      <c r="J31" s="43">
        <v>0</v>
      </c>
      <c r="K31" s="44">
        <v>0</v>
      </c>
      <c r="L31" s="44">
        <v>0</v>
      </c>
      <c r="M31" s="41">
        <f t="shared" si="1"/>
        <v>1729800</v>
      </c>
      <c r="N31" s="41">
        <v>0</v>
      </c>
      <c r="O31" s="40">
        <v>0</v>
      </c>
      <c r="P31" s="42">
        <f t="shared" si="2"/>
        <v>1729800</v>
      </c>
      <c r="Q31" s="5">
        <v>31</v>
      </c>
    </row>
    <row r="32" spans="1:17" x14ac:dyDescent="0.25">
      <c r="A32" s="5" t="s">
        <v>32</v>
      </c>
      <c r="B32" s="5" t="s">
        <v>15</v>
      </c>
      <c r="C32" s="6">
        <v>42560</v>
      </c>
      <c r="D32" s="5">
        <f t="shared" si="3"/>
        <v>7</v>
      </c>
      <c r="E32" s="5">
        <f t="shared" si="4"/>
        <v>28</v>
      </c>
      <c r="F32" s="5">
        <f t="shared" si="5"/>
        <v>27.74</v>
      </c>
      <c r="G32" s="40">
        <v>53235.13</v>
      </c>
      <c r="H32" s="41">
        <f t="shared" si="0"/>
        <v>1476742.5061999999</v>
      </c>
      <c r="I32" s="42">
        <v>0</v>
      </c>
      <c r="J32" s="43">
        <v>0</v>
      </c>
      <c r="K32" s="44">
        <v>0</v>
      </c>
      <c r="L32" s="44">
        <v>0</v>
      </c>
      <c r="M32" s="41">
        <f t="shared" si="1"/>
        <v>1476742.5061999999</v>
      </c>
      <c r="N32" s="41">
        <v>0</v>
      </c>
      <c r="O32" s="40">
        <v>0</v>
      </c>
      <c r="P32" s="42">
        <f t="shared" si="2"/>
        <v>1476742.5061999999</v>
      </c>
      <c r="Q32" s="5">
        <v>27.74</v>
      </c>
    </row>
    <row r="33" spans="1:17" x14ac:dyDescent="0.25">
      <c r="A33" s="5" t="s">
        <v>12</v>
      </c>
      <c r="B33" s="5" t="s">
        <v>13</v>
      </c>
      <c r="C33" s="6">
        <v>42560</v>
      </c>
      <c r="D33" s="5">
        <f t="shared" si="3"/>
        <v>7</v>
      </c>
      <c r="E33" s="5">
        <f t="shared" si="4"/>
        <v>28</v>
      </c>
      <c r="F33" s="5">
        <f t="shared" si="5"/>
        <v>26.89</v>
      </c>
      <c r="G33" s="40">
        <v>53431.4</v>
      </c>
      <c r="H33" s="41">
        <f t="shared" si="0"/>
        <v>1436770.3460000001</v>
      </c>
      <c r="I33" s="42">
        <v>0</v>
      </c>
      <c r="J33" s="43">
        <v>0</v>
      </c>
      <c r="K33" s="44">
        <v>0</v>
      </c>
      <c r="L33" s="44">
        <v>0</v>
      </c>
      <c r="M33" s="41">
        <f t="shared" si="1"/>
        <v>1436770.3460000001</v>
      </c>
      <c r="N33" s="41">
        <f t="shared" ref="N33:N96" si="14">M33*2%</f>
        <v>28735.406920000005</v>
      </c>
      <c r="O33" s="40">
        <v>0</v>
      </c>
      <c r="P33" s="42">
        <f t="shared" si="2"/>
        <v>1465505.7529200001</v>
      </c>
      <c r="Q33" s="5">
        <v>26.89</v>
      </c>
    </row>
    <row r="34" spans="1:17" x14ac:dyDescent="0.25">
      <c r="A34" s="5" t="s">
        <v>68</v>
      </c>
      <c r="B34" s="5" t="s">
        <v>18</v>
      </c>
      <c r="C34" s="6">
        <v>42560</v>
      </c>
      <c r="D34" s="5">
        <f t="shared" si="3"/>
        <v>7</v>
      </c>
      <c r="E34" s="5">
        <f t="shared" si="4"/>
        <v>28</v>
      </c>
      <c r="F34" s="5">
        <f t="shared" si="5"/>
        <v>24.37</v>
      </c>
      <c r="G34" s="40">
        <v>49000</v>
      </c>
      <c r="H34" s="41">
        <f t="shared" si="0"/>
        <v>1194130</v>
      </c>
      <c r="I34" s="42">
        <v>0</v>
      </c>
      <c r="J34" s="43">
        <v>0</v>
      </c>
      <c r="K34" s="44">
        <v>0</v>
      </c>
      <c r="L34" s="44">
        <v>0</v>
      </c>
      <c r="M34" s="41">
        <f t="shared" si="1"/>
        <v>1194130</v>
      </c>
      <c r="N34" s="41">
        <v>0</v>
      </c>
      <c r="O34" s="40">
        <v>0</v>
      </c>
      <c r="P34" s="42">
        <f t="shared" si="2"/>
        <v>1194130</v>
      </c>
      <c r="Q34" s="5">
        <v>24.37</v>
      </c>
    </row>
    <row r="35" spans="1:17" x14ac:dyDescent="0.25">
      <c r="A35" s="5" t="s">
        <v>33</v>
      </c>
      <c r="B35" s="5" t="s">
        <v>15</v>
      </c>
      <c r="C35" s="6">
        <v>42561</v>
      </c>
      <c r="D35" s="5">
        <f t="shared" si="3"/>
        <v>7</v>
      </c>
      <c r="E35" s="5">
        <f t="shared" si="4"/>
        <v>29</v>
      </c>
      <c r="F35" s="5">
        <f t="shared" si="5"/>
        <v>27.83</v>
      </c>
      <c r="G35" s="40">
        <v>53000</v>
      </c>
      <c r="H35" s="41">
        <f t="shared" si="0"/>
        <v>1474990</v>
      </c>
      <c r="I35" s="42">
        <v>0</v>
      </c>
      <c r="J35" s="43">
        <v>0</v>
      </c>
      <c r="K35" s="44">
        <v>0</v>
      </c>
      <c r="L35" s="44">
        <v>0</v>
      </c>
      <c r="M35" s="41">
        <f t="shared" si="1"/>
        <v>1474990</v>
      </c>
      <c r="N35" s="41">
        <v>0</v>
      </c>
      <c r="O35" s="40">
        <v>0</v>
      </c>
      <c r="P35" s="42">
        <f t="shared" si="2"/>
        <v>1474990</v>
      </c>
      <c r="Q35" s="5">
        <v>27.83</v>
      </c>
    </row>
    <row r="36" spans="1:17" x14ac:dyDescent="0.25">
      <c r="A36" s="5" t="s">
        <v>33</v>
      </c>
      <c r="B36" s="5" t="s">
        <v>15</v>
      </c>
      <c r="C36" s="6">
        <v>42561</v>
      </c>
      <c r="D36" s="5">
        <f t="shared" si="3"/>
        <v>7</v>
      </c>
      <c r="E36" s="5">
        <f t="shared" si="4"/>
        <v>29</v>
      </c>
      <c r="F36" s="5">
        <f t="shared" si="5"/>
        <v>27.1</v>
      </c>
      <c r="G36" s="40">
        <v>52942.36</v>
      </c>
      <c r="H36" s="41">
        <f t="shared" si="0"/>
        <v>1434737.956</v>
      </c>
      <c r="I36" s="42">
        <v>0</v>
      </c>
      <c r="J36" s="43">
        <v>0</v>
      </c>
      <c r="K36" s="44">
        <v>0</v>
      </c>
      <c r="L36" s="44">
        <v>0</v>
      </c>
      <c r="M36" s="41">
        <f t="shared" si="1"/>
        <v>1434737.956</v>
      </c>
      <c r="N36" s="41">
        <v>0</v>
      </c>
      <c r="O36" s="40">
        <v>0</v>
      </c>
      <c r="P36" s="42">
        <f t="shared" si="2"/>
        <v>1434737.956</v>
      </c>
      <c r="Q36" s="5">
        <v>27.1</v>
      </c>
    </row>
    <row r="37" spans="1:17" x14ac:dyDescent="0.25">
      <c r="A37" s="5" t="s">
        <v>30</v>
      </c>
      <c r="B37" s="5" t="s">
        <v>18</v>
      </c>
      <c r="C37" s="6">
        <v>42562</v>
      </c>
      <c r="D37" s="5">
        <f t="shared" si="3"/>
        <v>7</v>
      </c>
      <c r="E37" s="5">
        <f t="shared" si="4"/>
        <v>29</v>
      </c>
      <c r="F37" s="5">
        <f t="shared" si="5"/>
        <v>26.46</v>
      </c>
      <c r="G37" s="40">
        <v>50300</v>
      </c>
      <c r="H37" s="41">
        <f t="shared" si="0"/>
        <v>1330938</v>
      </c>
      <c r="I37" s="42">
        <v>0</v>
      </c>
      <c r="J37" s="43">
        <v>0</v>
      </c>
      <c r="K37" s="44">
        <v>0</v>
      </c>
      <c r="L37" s="44">
        <v>0</v>
      </c>
      <c r="M37" s="41">
        <f t="shared" si="1"/>
        <v>1330938</v>
      </c>
      <c r="N37" s="41">
        <v>0</v>
      </c>
      <c r="O37" s="40">
        <v>0</v>
      </c>
      <c r="P37" s="42">
        <f t="shared" si="2"/>
        <v>1330938</v>
      </c>
      <c r="Q37" s="5">
        <v>26.46</v>
      </c>
    </row>
    <row r="38" spans="1:17" x14ac:dyDescent="0.25">
      <c r="A38" s="5" t="s">
        <v>67</v>
      </c>
      <c r="B38" s="5" t="s">
        <v>18</v>
      </c>
      <c r="C38" s="6">
        <v>42563</v>
      </c>
      <c r="D38" s="5">
        <f t="shared" si="3"/>
        <v>7</v>
      </c>
      <c r="E38" s="5">
        <f t="shared" si="4"/>
        <v>29</v>
      </c>
      <c r="F38" s="5">
        <f t="shared" si="5"/>
        <v>30.36</v>
      </c>
      <c r="G38" s="40">
        <v>50000</v>
      </c>
      <c r="H38" s="41">
        <f t="shared" si="0"/>
        <v>1518000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1"/>
        <v>1518000</v>
      </c>
      <c r="N38" s="41">
        <v>0</v>
      </c>
      <c r="O38" s="40">
        <v>0</v>
      </c>
      <c r="P38" s="42">
        <f t="shared" si="2"/>
        <v>1518000</v>
      </c>
      <c r="Q38" s="5">
        <v>30.36</v>
      </c>
    </row>
    <row r="39" spans="1:17" x14ac:dyDescent="0.25">
      <c r="A39" s="5" t="s">
        <v>67</v>
      </c>
      <c r="B39" s="5" t="s">
        <v>18</v>
      </c>
      <c r="C39" s="6">
        <v>42563</v>
      </c>
      <c r="D39" s="5">
        <f t="shared" si="3"/>
        <v>7</v>
      </c>
      <c r="E39" s="5">
        <f t="shared" si="4"/>
        <v>29</v>
      </c>
      <c r="F39" s="5">
        <f t="shared" si="5"/>
        <v>29.38</v>
      </c>
      <c r="G39" s="40">
        <v>50000</v>
      </c>
      <c r="H39" s="41">
        <f t="shared" si="0"/>
        <v>1469000</v>
      </c>
      <c r="I39" s="42">
        <v>0</v>
      </c>
      <c r="J39" s="43">
        <v>0</v>
      </c>
      <c r="K39" s="44">
        <v>0</v>
      </c>
      <c r="L39" s="44">
        <v>0</v>
      </c>
      <c r="M39" s="41">
        <f t="shared" si="1"/>
        <v>1469000</v>
      </c>
      <c r="N39" s="41">
        <v>0</v>
      </c>
      <c r="O39" s="40">
        <v>0</v>
      </c>
      <c r="P39" s="42">
        <f t="shared" si="2"/>
        <v>1469000</v>
      </c>
      <c r="Q39" s="5">
        <v>29.38</v>
      </c>
    </row>
    <row r="40" spans="1:17" x14ac:dyDescent="0.25">
      <c r="A40" s="5" t="s">
        <v>98</v>
      </c>
      <c r="B40" s="5" t="s">
        <v>99</v>
      </c>
      <c r="C40" s="6">
        <v>42563</v>
      </c>
      <c r="D40" s="5">
        <f t="shared" si="3"/>
        <v>7</v>
      </c>
      <c r="E40" s="5">
        <f t="shared" si="4"/>
        <v>29</v>
      </c>
      <c r="F40" s="5">
        <f t="shared" si="5"/>
        <v>34.56</v>
      </c>
      <c r="G40" s="40">
        <v>54200</v>
      </c>
      <c r="H40" s="41">
        <f t="shared" si="0"/>
        <v>1873152.0000000002</v>
      </c>
      <c r="I40" s="42">
        <v>0</v>
      </c>
      <c r="J40" s="43">
        <v>0</v>
      </c>
      <c r="K40" s="44">
        <v>0</v>
      </c>
      <c r="L40" s="44">
        <v>0</v>
      </c>
      <c r="M40" s="41">
        <f t="shared" si="1"/>
        <v>1873152.0000000002</v>
      </c>
      <c r="N40" s="41">
        <f t="shared" si="14"/>
        <v>37463.040000000008</v>
      </c>
      <c r="O40" s="40">
        <f>3200*Q40</f>
        <v>110592</v>
      </c>
      <c r="P40" s="42">
        <f t="shared" si="2"/>
        <v>2021207.0400000003</v>
      </c>
      <c r="Q40" s="5">
        <v>34.56</v>
      </c>
    </row>
    <row r="41" spans="1:17" x14ac:dyDescent="0.25">
      <c r="A41" s="5" t="s">
        <v>33</v>
      </c>
      <c r="B41" s="5" t="s">
        <v>15</v>
      </c>
      <c r="C41" s="6">
        <v>42563</v>
      </c>
      <c r="D41" s="5">
        <f t="shared" si="3"/>
        <v>7</v>
      </c>
      <c r="E41" s="5">
        <f t="shared" si="4"/>
        <v>29</v>
      </c>
      <c r="F41" s="5">
        <f t="shared" si="5"/>
        <v>24.87</v>
      </c>
      <c r="G41" s="40">
        <v>53051.72</v>
      </c>
      <c r="H41" s="41">
        <f t="shared" si="0"/>
        <v>1319396.2764000001</v>
      </c>
      <c r="I41" s="42">
        <v>0</v>
      </c>
      <c r="J41" s="43">
        <v>0</v>
      </c>
      <c r="K41" s="44">
        <v>0</v>
      </c>
      <c r="L41" s="44">
        <v>0</v>
      </c>
      <c r="M41" s="41">
        <f t="shared" si="1"/>
        <v>1319396.2764000001</v>
      </c>
      <c r="N41" s="41">
        <v>0</v>
      </c>
      <c r="O41" s="40">
        <v>0</v>
      </c>
      <c r="P41" s="42">
        <f t="shared" si="2"/>
        <v>1319396.2764000001</v>
      </c>
      <c r="Q41" s="5">
        <v>24.87</v>
      </c>
    </row>
    <row r="42" spans="1:17" x14ac:dyDescent="0.25">
      <c r="A42" s="5" t="s">
        <v>12</v>
      </c>
      <c r="B42" s="5" t="s">
        <v>13</v>
      </c>
      <c r="C42" s="6">
        <v>42564</v>
      </c>
      <c r="D42" s="5">
        <f t="shared" si="3"/>
        <v>7</v>
      </c>
      <c r="E42" s="5">
        <f t="shared" si="4"/>
        <v>29</v>
      </c>
      <c r="F42" s="5">
        <f t="shared" si="5"/>
        <v>27.81</v>
      </c>
      <c r="G42" s="40">
        <v>53431.4</v>
      </c>
      <c r="H42" s="41">
        <f t="shared" si="0"/>
        <v>1485927.2339999999</v>
      </c>
      <c r="I42" s="42">
        <v>0</v>
      </c>
      <c r="J42" s="43">
        <v>0</v>
      </c>
      <c r="K42" s="44">
        <v>0</v>
      </c>
      <c r="L42" s="44">
        <v>0</v>
      </c>
      <c r="M42" s="41">
        <f t="shared" si="1"/>
        <v>1485927.2339999999</v>
      </c>
      <c r="N42" s="41">
        <f t="shared" si="14"/>
        <v>29718.544679999999</v>
      </c>
      <c r="O42" s="40">
        <v>0</v>
      </c>
      <c r="P42" s="42">
        <f t="shared" si="2"/>
        <v>1515645.77868</v>
      </c>
      <c r="Q42" s="5">
        <v>27.81</v>
      </c>
    </row>
    <row r="43" spans="1:17" x14ac:dyDescent="0.25">
      <c r="A43" s="5" t="s">
        <v>14</v>
      </c>
      <c r="B43" s="5" t="s">
        <v>18</v>
      </c>
      <c r="C43" s="6">
        <v>42564</v>
      </c>
      <c r="D43" s="5">
        <f t="shared" si="3"/>
        <v>7</v>
      </c>
      <c r="E43" s="5">
        <f t="shared" si="4"/>
        <v>29</v>
      </c>
      <c r="F43" s="5">
        <f t="shared" si="5"/>
        <v>28.16</v>
      </c>
      <c r="G43" s="40">
        <v>49000</v>
      </c>
      <c r="H43" s="41">
        <f t="shared" si="0"/>
        <v>1379840</v>
      </c>
      <c r="I43" s="42">
        <v>0</v>
      </c>
      <c r="J43" s="43">
        <v>0</v>
      </c>
      <c r="K43" s="44">
        <v>0</v>
      </c>
      <c r="L43" s="44">
        <v>0</v>
      </c>
      <c r="M43" s="41">
        <f t="shared" si="1"/>
        <v>1379840</v>
      </c>
      <c r="N43" s="41">
        <v>0</v>
      </c>
      <c r="O43" s="40">
        <v>0</v>
      </c>
      <c r="P43" s="42">
        <f t="shared" si="2"/>
        <v>1379840</v>
      </c>
      <c r="Q43" s="5">
        <v>28.16</v>
      </c>
    </row>
    <row r="44" spans="1:17" x14ac:dyDescent="0.25">
      <c r="A44" s="5" t="s">
        <v>16</v>
      </c>
      <c r="B44" s="5" t="s">
        <v>15</v>
      </c>
      <c r="C44" s="6">
        <v>42565</v>
      </c>
      <c r="D44" s="5">
        <f t="shared" si="3"/>
        <v>7</v>
      </c>
      <c r="E44" s="5">
        <f t="shared" si="4"/>
        <v>29</v>
      </c>
      <c r="F44" s="5">
        <f t="shared" si="5"/>
        <v>29.05</v>
      </c>
      <c r="G44" s="40">
        <v>55800</v>
      </c>
      <c r="H44" s="41">
        <f t="shared" si="0"/>
        <v>1620990</v>
      </c>
      <c r="I44" s="42">
        <v>0</v>
      </c>
      <c r="J44" s="43">
        <v>0</v>
      </c>
      <c r="K44" s="44">
        <v>0</v>
      </c>
      <c r="L44" s="44">
        <v>0</v>
      </c>
      <c r="M44" s="41">
        <f t="shared" si="1"/>
        <v>1620990</v>
      </c>
      <c r="N44" s="41">
        <v>0</v>
      </c>
      <c r="O44" s="40">
        <v>0</v>
      </c>
      <c r="P44" s="42">
        <f t="shared" si="2"/>
        <v>1620990</v>
      </c>
      <c r="Q44" s="5">
        <v>29.05</v>
      </c>
    </row>
    <row r="45" spans="1:17" x14ac:dyDescent="0.25">
      <c r="A45" s="5" t="s">
        <v>12</v>
      </c>
      <c r="B45" s="5" t="s">
        <v>13</v>
      </c>
      <c r="C45" s="6">
        <v>42565</v>
      </c>
      <c r="D45" s="5">
        <f t="shared" si="3"/>
        <v>7</v>
      </c>
      <c r="E45" s="5">
        <f t="shared" si="4"/>
        <v>29</v>
      </c>
      <c r="F45" s="5">
        <f t="shared" si="5"/>
        <v>25.62</v>
      </c>
      <c r="G45" s="40">
        <v>53431.4</v>
      </c>
      <c r="H45" s="41">
        <f t="shared" si="0"/>
        <v>1368912.4680000001</v>
      </c>
      <c r="I45" s="42">
        <v>0</v>
      </c>
      <c r="J45" s="43">
        <v>0</v>
      </c>
      <c r="K45" s="44">
        <v>0</v>
      </c>
      <c r="L45" s="44">
        <v>0</v>
      </c>
      <c r="M45" s="41">
        <f t="shared" si="1"/>
        <v>1368912.4680000001</v>
      </c>
      <c r="N45" s="41">
        <f t="shared" si="14"/>
        <v>27378.249360000002</v>
      </c>
      <c r="O45" s="40">
        <v>0</v>
      </c>
      <c r="P45" s="42">
        <f t="shared" si="2"/>
        <v>1396290.7173600001</v>
      </c>
      <c r="Q45" s="5">
        <v>25.62</v>
      </c>
    </row>
    <row r="46" spans="1:17" x14ac:dyDescent="0.25">
      <c r="A46" s="5" t="s">
        <v>93</v>
      </c>
      <c r="B46" s="5" t="s">
        <v>20</v>
      </c>
      <c r="C46" s="6">
        <v>42565</v>
      </c>
      <c r="D46" s="5">
        <f t="shared" si="3"/>
        <v>7</v>
      </c>
      <c r="E46" s="5">
        <f t="shared" si="4"/>
        <v>29</v>
      </c>
      <c r="F46" s="5">
        <f t="shared" si="5"/>
        <v>20.25</v>
      </c>
      <c r="G46" s="40">
        <v>82352</v>
      </c>
      <c r="H46" s="41">
        <f t="shared" si="0"/>
        <v>1667628</v>
      </c>
      <c r="I46" s="42">
        <v>0</v>
      </c>
      <c r="J46" s="43">
        <v>0</v>
      </c>
      <c r="K46" s="44">
        <v>0</v>
      </c>
      <c r="L46" s="44">
        <v>0</v>
      </c>
      <c r="M46" s="41">
        <f t="shared" si="1"/>
        <v>1667628</v>
      </c>
      <c r="N46" s="41">
        <f t="shared" si="14"/>
        <v>33352.559999999998</v>
      </c>
      <c r="O46" s="40">
        <v>0</v>
      </c>
      <c r="P46" s="42">
        <f t="shared" si="2"/>
        <v>1700980.56</v>
      </c>
      <c r="Q46" s="5">
        <v>20.25</v>
      </c>
    </row>
    <row r="47" spans="1:17" x14ac:dyDescent="0.25">
      <c r="A47" s="5" t="s">
        <v>93</v>
      </c>
      <c r="B47" s="5" t="s">
        <v>20</v>
      </c>
      <c r="C47" s="6">
        <v>42565</v>
      </c>
      <c r="D47" s="5">
        <f t="shared" si="3"/>
        <v>7</v>
      </c>
      <c r="E47" s="5">
        <f t="shared" si="4"/>
        <v>29</v>
      </c>
      <c r="F47" s="5">
        <f t="shared" si="5"/>
        <v>20.04</v>
      </c>
      <c r="G47" s="40">
        <v>82352</v>
      </c>
      <c r="H47" s="41">
        <f t="shared" si="0"/>
        <v>1650334.0799999998</v>
      </c>
      <c r="I47" s="42">
        <v>0</v>
      </c>
      <c r="J47" s="43">
        <v>0</v>
      </c>
      <c r="K47" s="44">
        <v>0</v>
      </c>
      <c r="L47" s="44">
        <v>0</v>
      </c>
      <c r="M47" s="41">
        <f t="shared" si="1"/>
        <v>1650334.0799999998</v>
      </c>
      <c r="N47" s="41">
        <f t="shared" si="14"/>
        <v>33006.681599999996</v>
      </c>
      <c r="O47" s="40">
        <v>0</v>
      </c>
      <c r="P47" s="42">
        <f t="shared" si="2"/>
        <v>1683340.7615999999</v>
      </c>
      <c r="Q47" s="5">
        <v>20.04</v>
      </c>
    </row>
    <row r="48" spans="1:17" x14ac:dyDescent="0.25">
      <c r="A48" s="5" t="s">
        <v>98</v>
      </c>
      <c r="B48" s="5" t="s">
        <v>99</v>
      </c>
      <c r="C48" s="6">
        <v>42566</v>
      </c>
      <c r="D48" s="5">
        <f t="shared" si="3"/>
        <v>7</v>
      </c>
      <c r="E48" s="5">
        <f t="shared" si="4"/>
        <v>29</v>
      </c>
      <c r="F48" s="5">
        <f t="shared" si="5"/>
        <v>28.4</v>
      </c>
      <c r="G48" s="40">
        <v>54200</v>
      </c>
      <c r="H48" s="41">
        <f t="shared" si="0"/>
        <v>1539280</v>
      </c>
      <c r="I48" s="42">
        <v>0</v>
      </c>
      <c r="J48" s="43">
        <v>0</v>
      </c>
      <c r="K48" s="44">
        <v>0</v>
      </c>
      <c r="L48" s="44">
        <v>0</v>
      </c>
      <c r="M48" s="41">
        <f t="shared" si="1"/>
        <v>1539280</v>
      </c>
      <c r="N48" s="41">
        <f t="shared" si="14"/>
        <v>30785.600000000002</v>
      </c>
      <c r="O48" s="40">
        <f>3200*Q48</f>
        <v>90880</v>
      </c>
      <c r="P48" s="42">
        <f t="shared" si="2"/>
        <v>1660945.6</v>
      </c>
      <c r="Q48" s="5">
        <v>28.4</v>
      </c>
    </row>
    <row r="49" spans="1:17" x14ac:dyDescent="0.25">
      <c r="A49" s="5" t="s">
        <v>100</v>
      </c>
      <c r="B49" s="5" t="s">
        <v>20</v>
      </c>
      <c r="C49" s="6">
        <v>42568</v>
      </c>
      <c r="D49" s="5">
        <f t="shared" si="3"/>
        <v>7</v>
      </c>
      <c r="E49" s="5">
        <f t="shared" si="4"/>
        <v>30</v>
      </c>
      <c r="F49" s="5">
        <f t="shared" si="5"/>
        <v>20.440000000000001</v>
      </c>
      <c r="G49" s="40">
        <v>79411.7</v>
      </c>
      <c r="H49" s="41">
        <f t="shared" si="0"/>
        <v>1623175.148</v>
      </c>
      <c r="I49" s="42">
        <v>0</v>
      </c>
      <c r="J49" s="43">
        <v>0</v>
      </c>
      <c r="K49" s="44">
        <v>0</v>
      </c>
      <c r="L49" s="44">
        <v>0</v>
      </c>
      <c r="M49" s="41">
        <f t="shared" si="1"/>
        <v>1623175.148</v>
      </c>
      <c r="N49" s="41">
        <f t="shared" si="14"/>
        <v>32463.502960000002</v>
      </c>
      <c r="O49" s="40">
        <v>0</v>
      </c>
      <c r="P49" s="42">
        <f t="shared" si="2"/>
        <v>1655638.65096</v>
      </c>
      <c r="Q49" s="5">
        <v>20.440000000000001</v>
      </c>
    </row>
    <row r="50" spans="1:17" x14ac:dyDescent="0.25">
      <c r="A50" s="5" t="s">
        <v>33</v>
      </c>
      <c r="B50" s="5" t="s">
        <v>15</v>
      </c>
      <c r="C50" s="6">
        <v>42568</v>
      </c>
      <c r="D50" s="5">
        <f t="shared" si="3"/>
        <v>7</v>
      </c>
      <c r="E50" s="5">
        <f t="shared" si="4"/>
        <v>30</v>
      </c>
      <c r="F50" s="5">
        <f t="shared" si="5"/>
        <v>20.149999999999999</v>
      </c>
      <c r="G50" s="40">
        <v>53300</v>
      </c>
      <c r="H50" s="41">
        <f t="shared" si="0"/>
        <v>1073995</v>
      </c>
      <c r="I50" s="42">
        <v>0</v>
      </c>
      <c r="J50" s="43">
        <v>0</v>
      </c>
      <c r="K50" s="44">
        <v>0</v>
      </c>
      <c r="L50" s="44">
        <v>0</v>
      </c>
      <c r="M50" s="41">
        <f t="shared" si="1"/>
        <v>1073995</v>
      </c>
      <c r="N50" s="41">
        <v>0</v>
      </c>
      <c r="O50" s="40">
        <v>0</v>
      </c>
      <c r="P50" s="42">
        <f t="shared" si="2"/>
        <v>1073995</v>
      </c>
      <c r="Q50" s="5">
        <v>20.149999999999999</v>
      </c>
    </row>
    <row r="51" spans="1:17" x14ac:dyDescent="0.25">
      <c r="A51" s="5" t="s">
        <v>67</v>
      </c>
      <c r="B51" s="5" t="s">
        <v>15</v>
      </c>
      <c r="C51" s="6">
        <v>42568</v>
      </c>
      <c r="D51" s="5">
        <f t="shared" si="3"/>
        <v>7</v>
      </c>
      <c r="E51" s="5">
        <f t="shared" si="4"/>
        <v>30</v>
      </c>
      <c r="F51" s="5">
        <f t="shared" si="5"/>
        <v>28.48</v>
      </c>
      <c r="G51" s="40">
        <v>53068.58</v>
      </c>
      <c r="H51" s="41">
        <f t="shared" si="0"/>
        <v>1511393.1584000001</v>
      </c>
      <c r="I51" s="42">
        <v>0</v>
      </c>
      <c r="J51" s="43">
        <v>0</v>
      </c>
      <c r="K51" s="44">
        <v>0</v>
      </c>
      <c r="L51" s="44">
        <v>0</v>
      </c>
      <c r="M51" s="41">
        <f t="shared" si="1"/>
        <v>1511393.1584000001</v>
      </c>
      <c r="N51" s="41">
        <v>0</v>
      </c>
      <c r="O51" s="40">
        <v>0</v>
      </c>
      <c r="P51" s="42">
        <f t="shared" si="2"/>
        <v>1511393.1584000001</v>
      </c>
      <c r="Q51" s="5">
        <v>28.48</v>
      </c>
    </row>
    <row r="52" spans="1:17" x14ac:dyDescent="0.25">
      <c r="A52" s="5" t="s">
        <v>33</v>
      </c>
      <c r="B52" s="5" t="s">
        <v>15</v>
      </c>
      <c r="C52" s="6">
        <v>42568</v>
      </c>
      <c r="D52" s="5">
        <f t="shared" si="3"/>
        <v>7</v>
      </c>
      <c r="E52" s="5">
        <f t="shared" si="4"/>
        <v>30</v>
      </c>
      <c r="F52" s="5">
        <f t="shared" si="5"/>
        <v>26.78</v>
      </c>
      <c r="G52" s="40">
        <v>53300</v>
      </c>
      <c r="H52" s="41">
        <f t="shared" si="0"/>
        <v>1427374</v>
      </c>
      <c r="I52" s="42">
        <v>0</v>
      </c>
      <c r="J52" s="43">
        <v>0</v>
      </c>
      <c r="K52" s="44">
        <v>0</v>
      </c>
      <c r="L52" s="44">
        <v>0</v>
      </c>
      <c r="M52" s="41">
        <f t="shared" si="1"/>
        <v>1427374</v>
      </c>
      <c r="N52" s="41">
        <v>0</v>
      </c>
      <c r="O52" s="40">
        <v>0</v>
      </c>
      <c r="P52" s="42">
        <f t="shared" si="2"/>
        <v>1427374</v>
      </c>
      <c r="Q52" s="5">
        <v>26.78</v>
      </c>
    </row>
    <row r="53" spans="1:17" x14ac:dyDescent="0.25">
      <c r="A53" s="5" t="s">
        <v>30</v>
      </c>
      <c r="B53" s="5" t="s">
        <v>15</v>
      </c>
      <c r="C53" s="6">
        <v>42568</v>
      </c>
      <c r="D53" s="5">
        <f t="shared" si="3"/>
        <v>7</v>
      </c>
      <c r="E53" s="5">
        <f t="shared" si="4"/>
        <v>30</v>
      </c>
      <c r="F53" s="5">
        <f t="shared" si="5"/>
        <v>26.65</v>
      </c>
      <c r="G53" s="40">
        <v>53500</v>
      </c>
      <c r="H53" s="41">
        <f t="shared" si="0"/>
        <v>1425775</v>
      </c>
      <c r="I53" s="42">
        <v>0</v>
      </c>
      <c r="J53" s="43">
        <v>0</v>
      </c>
      <c r="K53" s="44">
        <v>0</v>
      </c>
      <c r="L53" s="44">
        <v>0</v>
      </c>
      <c r="M53" s="41">
        <f t="shared" si="1"/>
        <v>1425775</v>
      </c>
      <c r="N53" s="41">
        <v>0</v>
      </c>
      <c r="O53" s="40">
        <v>0</v>
      </c>
      <c r="P53" s="42">
        <f t="shared" si="2"/>
        <v>1425775</v>
      </c>
      <c r="Q53" s="5">
        <v>26.65</v>
      </c>
    </row>
    <row r="54" spans="1:17" x14ac:dyDescent="0.25">
      <c r="A54" s="5" t="s">
        <v>67</v>
      </c>
      <c r="B54" s="5" t="s">
        <v>15</v>
      </c>
      <c r="C54" s="6">
        <v>42568</v>
      </c>
      <c r="D54" s="5">
        <f t="shared" si="3"/>
        <v>7</v>
      </c>
      <c r="E54" s="5">
        <f t="shared" si="4"/>
        <v>30</v>
      </c>
      <c r="F54" s="5">
        <f t="shared" si="5"/>
        <v>28.56</v>
      </c>
      <c r="G54" s="40">
        <v>53300</v>
      </c>
      <c r="H54" s="41">
        <f t="shared" si="0"/>
        <v>1522248</v>
      </c>
      <c r="I54" s="42">
        <v>0</v>
      </c>
      <c r="J54" s="43">
        <v>0</v>
      </c>
      <c r="K54" s="44">
        <v>0</v>
      </c>
      <c r="L54" s="44">
        <v>0</v>
      </c>
      <c r="M54" s="41">
        <f t="shared" si="1"/>
        <v>1522248</v>
      </c>
      <c r="N54" s="41">
        <v>0</v>
      </c>
      <c r="O54" s="40">
        <v>0</v>
      </c>
      <c r="P54" s="42">
        <f t="shared" si="2"/>
        <v>1522248</v>
      </c>
      <c r="Q54" s="5">
        <v>28.56</v>
      </c>
    </row>
    <row r="55" spans="1:17" x14ac:dyDescent="0.25">
      <c r="A55" s="5" t="s">
        <v>12</v>
      </c>
      <c r="B55" s="5" t="s">
        <v>13</v>
      </c>
      <c r="C55" s="6">
        <v>42568</v>
      </c>
      <c r="D55" s="5">
        <f t="shared" si="3"/>
        <v>7</v>
      </c>
      <c r="E55" s="5">
        <f t="shared" si="4"/>
        <v>30</v>
      </c>
      <c r="F55" s="5">
        <f t="shared" si="5"/>
        <v>27.61</v>
      </c>
      <c r="G55" s="40">
        <v>53431.4</v>
      </c>
      <c r="H55" s="41">
        <f t="shared" si="0"/>
        <v>1475240.9539999999</v>
      </c>
      <c r="I55" s="42">
        <v>0</v>
      </c>
      <c r="J55" s="43">
        <v>0</v>
      </c>
      <c r="K55" s="44">
        <v>0</v>
      </c>
      <c r="L55" s="44">
        <v>0</v>
      </c>
      <c r="M55" s="41">
        <f t="shared" si="1"/>
        <v>1475240.9539999999</v>
      </c>
      <c r="N55" s="41">
        <f t="shared" si="14"/>
        <v>29504.819079999997</v>
      </c>
      <c r="O55" s="40">
        <v>0</v>
      </c>
      <c r="P55" s="42">
        <f t="shared" si="2"/>
        <v>1504745.77308</v>
      </c>
      <c r="Q55" s="5">
        <v>27.61</v>
      </c>
    </row>
    <row r="56" spans="1:17" x14ac:dyDescent="0.25">
      <c r="A56" s="5" t="s">
        <v>98</v>
      </c>
      <c r="B56" s="5" t="s">
        <v>99</v>
      </c>
      <c r="C56" s="6">
        <v>42569</v>
      </c>
      <c r="D56" s="5">
        <f t="shared" si="3"/>
        <v>7</v>
      </c>
      <c r="E56" s="5">
        <f t="shared" si="4"/>
        <v>30</v>
      </c>
      <c r="F56" s="5">
        <f t="shared" si="5"/>
        <v>28.38</v>
      </c>
      <c r="G56" s="40">
        <v>54200</v>
      </c>
      <c r="H56" s="41">
        <f t="shared" si="0"/>
        <v>1538196</v>
      </c>
      <c r="I56" s="42">
        <v>0</v>
      </c>
      <c r="J56" s="43">
        <v>0</v>
      </c>
      <c r="K56" s="44">
        <v>0</v>
      </c>
      <c r="L56" s="44">
        <v>0</v>
      </c>
      <c r="M56" s="41">
        <f t="shared" si="1"/>
        <v>1538196</v>
      </c>
      <c r="N56" s="41">
        <f t="shared" si="14"/>
        <v>30763.920000000002</v>
      </c>
      <c r="O56" s="40">
        <f>3200*Q56</f>
        <v>90816</v>
      </c>
      <c r="P56" s="42">
        <f t="shared" si="2"/>
        <v>1659775.92</v>
      </c>
      <c r="Q56" s="5">
        <v>28.38</v>
      </c>
    </row>
    <row r="57" spans="1:17" x14ac:dyDescent="0.25">
      <c r="A57" s="5" t="s">
        <v>12</v>
      </c>
      <c r="B57" s="5" t="s">
        <v>13</v>
      </c>
      <c r="C57" s="6">
        <v>42569</v>
      </c>
      <c r="D57" s="5">
        <f t="shared" si="3"/>
        <v>7</v>
      </c>
      <c r="E57" s="5">
        <f t="shared" si="4"/>
        <v>30</v>
      </c>
      <c r="F57" s="5">
        <f t="shared" si="5"/>
        <v>27.24</v>
      </c>
      <c r="G57" s="40">
        <v>53431.4</v>
      </c>
      <c r="H57" s="41">
        <f t="shared" si="0"/>
        <v>1455471.3359999999</v>
      </c>
      <c r="I57" s="42">
        <v>0</v>
      </c>
      <c r="J57" s="43">
        <v>0</v>
      </c>
      <c r="K57" s="44">
        <v>0</v>
      </c>
      <c r="L57" s="44">
        <v>0</v>
      </c>
      <c r="M57" s="41">
        <f t="shared" si="1"/>
        <v>1455471.3359999999</v>
      </c>
      <c r="N57" s="41">
        <f t="shared" si="14"/>
        <v>29109.426719999999</v>
      </c>
      <c r="O57" s="40">
        <v>0</v>
      </c>
      <c r="P57" s="42">
        <f t="shared" si="2"/>
        <v>1484580.76272</v>
      </c>
      <c r="Q57" s="5">
        <v>27.24</v>
      </c>
    </row>
    <row r="58" spans="1:17" x14ac:dyDescent="0.25">
      <c r="A58" s="5" t="s">
        <v>31</v>
      </c>
      <c r="B58" s="5" t="s">
        <v>18</v>
      </c>
      <c r="C58" s="6">
        <v>42569</v>
      </c>
      <c r="D58" s="5">
        <f t="shared" si="3"/>
        <v>7</v>
      </c>
      <c r="E58" s="5">
        <f t="shared" si="4"/>
        <v>30</v>
      </c>
      <c r="F58" s="5">
        <f t="shared" si="5"/>
        <v>27.13</v>
      </c>
      <c r="G58" s="40">
        <v>50336.03</v>
      </c>
      <c r="H58" s="41">
        <f t="shared" si="0"/>
        <v>1365616.4938999999</v>
      </c>
      <c r="I58" s="42">
        <v>0</v>
      </c>
      <c r="J58" s="43">
        <v>0</v>
      </c>
      <c r="K58" s="44">
        <v>0</v>
      </c>
      <c r="L58" s="44">
        <v>0</v>
      </c>
      <c r="M58" s="41">
        <f t="shared" si="1"/>
        <v>1365616.4938999999</v>
      </c>
      <c r="N58" s="41">
        <v>0</v>
      </c>
      <c r="O58" s="40">
        <v>0</v>
      </c>
      <c r="P58" s="42">
        <f t="shared" si="2"/>
        <v>1365616.4938999999</v>
      </c>
      <c r="Q58" s="5">
        <v>27.13</v>
      </c>
    </row>
    <row r="59" spans="1:17" x14ac:dyDescent="0.25">
      <c r="A59" s="5" t="s">
        <v>33</v>
      </c>
      <c r="B59" s="5" t="s">
        <v>18</v>
      </c>
      <c r="C59" s="6">
        <v>42570</v>
      </c>
      <c r="D59" s="5">
        <f t="shared" si="3"/>
        <v>7</v>
      </c>
      <c r="E59" s="5">
        <f t="shared" si="4"/>
        <v>30</v>
      </c>
      <c r="F59" s="5">
        <f t="shared" si="5"/>
        <v>29.22</v>
      </c>
      <c r="G59" s="40">
        <v>49000</v>
      </c>
      <c r="H59" s="41">
        <f t="shared" si="0"/>
        <v>1431780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1"/>
        <v>1431780</v>
      </c>
      <c r="N59" s="41">
        <v>0</v>
      </c>
      <c r="O59" s="40">
        <v>0</v>
      </c>
      <c r="P59" s="42">
        <f t="shared" si="2"/>
        <v>1431780</v>
      </c>
      <c r="Q59" s="5">
        <v>29.22</v>
      </c>
    </row>
    <row r="60" spans="1:17" x14ac:dyDescent="0.25">
      <c r="A60" s="5" t="s">
        <v>14</v>
      </c>
      <c r="B60" s="5" t="s">
        <v>18</v>
      </c>
      <c r="C60" s="6">
        <v>42570</v>
      </c>
      <c r="D60" s="5">
        <f t="shared" si="3"/>
        <v>7</v>
      </c>
      <c r="E60" s="5">
        <f t="shared" si="4"/>
        <v>30</v>
      </c>
      <c r="F60" s="5">
        <f t="shared" si="5"/>
        <v>26.66</v>
      </c>
      <c r="G60" s="40">
        <v>49000</v>
      </c>
      <c r="H60" s="41">
        <f t="shared" si="0"/>
        <v>1306340</v>
      </c>
      <c r="I60" s="42">
        <v>0</v>
      </c>
      <c r="J60" s="43">
        <v>0</v>
      </c>
      <c r="K60" s="44">
        <v>0</v>
      </c>
      <c r="L60" s="44">
        <v>0</v>
      </c>
      <c r="M60" s="41">
        <f t="shared" si="1"/>
        <v>1306340</v>
      </c>
      <c r="N60" s="41">
        <v>0</v>
      </c>
      <c r="O60" s="40">
        <v>0</v>
      </c>
      <c r="P60" s="42">
        <f t="shared" si="2"/>
        <v>1306340</v>
      </c>
      <c r="Q60" s="5">
        <v>26.66</v>
      </c>
    </row>
    <row r="61" spans="1:17" x14ac:dyDescent="0.25">
      <c r="A61" s="5" t="s">
        <v>14</v>
      </c>
      <c r="B61" s="5" t="s">
        <v>18</v>
      </c>
      <c r="C61" s="6">
        <v>42570</v>
      </c>
      <c r="D61" s="5">
        <f t="shared" si="3"/>
        <v>7</v>
      </c>
      <c r="E61" s="5">
        <f t="shared" si="4"/>
        <v>30</v>
      </c>
      <c r="F61" s="5">
        <f t="shared" si="5"/>
        <v>26.95</v>
      </c>
      <c r="G61" s="40">
        <v>49000</v>
      </c>
      <c r="H61" s="41">
        <f t="shared" si="0"/>
        <v>1320550</v>
      </c>
      <c r="I61" s="42">
        <v>0</v>
      </c>
      <c r="J61" s="43">
        <v>0</v>
      </c>
      <c r="K61" s="44">
        <v>0</v>
      </c>
      <c r="L61" s="44">
        <v>0</v>
      </c>
      <c r="M61" s="41">
        <f t="shared" si="1"/>
        <v>1320550</v>
      </c>
      <c r="N61" s="41">
        <v>0</v>
      </c>
      <c r="O61" s="40">
        <v>0</v>
      </c>
      <c r="P61" s="42">
        <f t="shared" si="2"/>
        <v>1320550</v>
      </c>
      <c r="Q61" s="5">
        <v>26.95</v>
      </c>
    </row>
    <row r="62" spans="1:17" x14ac:dyDescent="0.25">
      <c r="A62" s="5" t="s">
        <v>31</v>
      </c>
      <c r="B62" s="5" t="s">
        <v>18</v>
      </c>
      <c r="C62" s="6">
        <v>42570</v>
      </c>
      <c r="D62" s="5">
        <f t="shared" si="3"/>
        <v>7</v>
      </c>
      <c r="E62" s="5">
        <f t="shared" si="4"/>
        <v>30</v>
      </c>
      <c r="F62" s="5">
        <f t="shared" si="5"/>
        <v>29.58</v>
      </c>
      <c r="G62" s="40">
        <v>50067.67</v>
      </c>
      <c r="H62" s="41">
        <f t="shared" si="0"/>
        <v>1481001.6785999998</v>
      </c>
      <c r="I62" s="42">
        <v>0</v>
      </c>
      <c r="J62" s="43">
        <v>0</v>
      </c>
      <c r="K62" s="44">
        <v>0</v>
      </c>
      <c r="L62" s="44">
        <v>0</v>
      </c>
      <c r="M62" s="41">
        <f t="shared" si="1"/>
        <v>1481001.6785999998</v>
      </c>
      <c r="N62" s="41">
        <v>0</v>
      </c>
      <c r="O62" s="40">
        <v>0</v>
      </c>
      <c r="P62" s="42">
        <f t="shared" si="2"/>
        <v>1481001.6785999998</v>
      </c>
      <c r="Q62" s="5">
        <v>29.58</v>
      </c>
    </row>
    <row r="63" spans="1:17" x14ac:dyDescent="0.25">
      <c r="A63" s="5" t="s">
        <v>33</v>
      </c>
      <c r="B63" s="5" t="s">
        <v>15</v>
      </c>
      <c r="C63" s="6">
        <v>42570</v>
      </c>
      <c r="D63" s="5">
        <f t="shared" si="3"/>
        <v>7</v>
      </c>
      <c r="E63" s="5">
        <f t="shared" si="4"/>
        <v>30</v>
      </c>
      <c r="F63" s="5">
        <f t="shared" si="5"/>
        <v>26.74</v>
      </c>
      <c r="G63" s="40">
        <v>53300</v>
      </c>
      <c r="H63" s="41">
        <f t="shared" si="0"/>
        <v>1425242</v>
      </c>
      <c r="I63" s="42">
        <v>0</v>
      </c>
      <c r="J63" s="43">
        <v>0</v>
      </c>
      <c r="K63" s="44">
        <v>0</v>
      </c>
      <c r="L63" s="44">
        <v>0</v>
      </c>
      <c r="M63" s="41">
        <f t="shared" si="1"/>
        <v>1425242</v>
      </c>
      <c r="N63" s="41">
        <v>0</v>
      </c>
      <c r="O63" s="40">
        <v>0</v>
      </c>
      <c r="P63" s="42">
        <f t="shared" si="2"/>
        <v>1425242</v>
      </c>
      <c r="Q63" s="5">
        <v>26.74</v>
      </c>
    </row>
    <row r="64" spans="1:17" x14ac:dyDescent="0.25">
      <c r="A64" s="5" t="s">
        <v>33</v>
      </c>
      <c r="B64" s="5" t="s">
        <v>15</v>
      </c>
      <c r="C64" s="6">
        <v>42570</v>
      </c>
      <c r="D64" s="5">
        <f t="shared" si="3"/>
        <v>7</v>
      </c>
      <c r="E64" s="5">
        <f t="shared" si="4"/>
        <v>30</v>
      </c>
      <c r="F64" s="5">
        <f t="shared" si="5"/>
        <v>27.42</v>
      </c>
      <c r="G64" s="40">
        <v>53500</v>
      </c>
      <c r="H64" s="41">
        <f t="shared" si="0"/>
        <v>1466970</v>
      </c>
      <c r="I64" s="42">
        <v>0</v>
      </c>
      <c r="J64" s="43">
        <v>0</v>
      </c>
      <c r="K64" s="44">
        <v>0</v>
      </c>
      <c r="L64" s="44">
        <v>0</v>
      </c>
      <c r="M64" s="41">
        <f t="shared" si="1"/>
        <v>1466970</v>
      </c>
      <c r="N64" s="41">
        <v>0</v>
      </c>
      <c r="O64" s="40">
        <v>0</v>
      </c>
      <c r="P64" s="42">
        <f t="shared" si="2"/>
        <v>1466970</v>
      </c>
      <c r="Q64" s="5">
        <v>27.42</v>
      </c>
    </row>
    <row r="65" spans="1:17" x14ac:dyDescent="0.25">
      <c r="A65" s="5" t="s">
        <v>34</v>
      </c>
      <c r="B65" s="5" t="s">
        <v>15</v>
      </c>
      <c r="C65" s="6">
        <v>42570</v>
      </c>
      <c r="D65" s="5">
        <f t="shared" si="3"/>
        <v>7</v>
      </c>
      <c r="E65" s="5">
        <f t="shared" si="4"/>
        <v>30</v>
      </c>
      <c r="F65" s="5">
        <f t="shared" si="5"/>
        <v>26.88</v>
      </c>
      <c r="G65" s="40">
        <v>55200</v>
      </c>
      <c r="H65" s="41">
        <f t="shared" si="0"/>
        <v>1483776</v>
      </c>
      <c r="I65" s="42">
        <v>0</v>
      </c>
      <c r="J65" s="43">
        <v>0</v>
      </c>
      <c r="K65" s="44">
        <v>0</v>
      </c>
      <c r="L65" s="44">
        <v>0</v>
      </c>
      <c r="M65" s="41">
        <f t="shared" si="1"/>
        <v>1483776</v>
      </c>
      <c r="N65" s="41">
        <v>0</v>
      </c>
      <c r="O65" s="40">
        <v>0</v>
      </c>
      <c r="P65" s="42">
        <f t="shared" si="2"/>
        <v>1483776</v>
      </c>
      <c r="Q65" s="5">
        <v>26.88</v>
      </c>
    </row>
    <row r="66" spans="1:17" x14ac:dyDescent="0.25">
      <c r="A66" s="5" t="s">
        <v>33</v>
      </c>
      <c r="B66" s="5" t="s">
        <v>15</v>
      </c>
      <c r="C66" s="6">
        <v>42571</v>
      </c>
      <c r="D66" s="5">
        <f t="shared" si="3"/>
        <v>7</v>
      </c>
      <c r="E66" s="5">
        <f t="shared" si="4"/>
        <v>30</v>
      </c>
      <c r="F66" s="5">
        <f t="shared" si="5"/>
        <v>23.72</v>
      </c>
      <c r="G66" s="40">
        <v>53316.74</v>
      </c>
      <c r="H66" s="41">
        <f t="shared" ref="H66:H100" si="15">+F66*G66</f>
        <v>1264673.0728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100" si="16">+H66+J66</f>
        <v>1264673.0728</v>
      </c>
      <c r="N66" s="41">
        <v>0</v>
      </c>
      <c r="O66" s="40">
        <v>0</v>
      </c>
      <c r="P66" s="42">
        <f t="shared" ref="P66:P100" si="17">+M66+N66+O66</f>
        <v>1264673.0728</v>
      </c>
      <c r="Q66" s="5">
        <v>23.72</v>
      </c>
    </row>
    <row r="67" spans="1:17" x14ac:dyDescent="0.25">
      <c r="A67" s="5" t="s">
        <v>32</v>
      </c>
      <c r="B67" s="5" t="s">
        <v>15</v>
      </c>
      <c r="C67" s="6">
        <v>42572</v>
      </c>
      <c r="D67" s="5">
        <f t="shared" ref="D67:D100" si="18">MONTH(C67)</f>
        <v>7</v>
      </c>
      <c r="E67" s="5">
        <f t="shared" ref="E67:E100" si="19">WEEKNUM(C67)</f>
        <v>30</v>
      </c>
      <c r="F67" s="5">
        <f t="shared" ref="F67:F100" si="20">Q67</f>
        <v>16.88</v>
      </c>
      <c r="G67" s="40">
        <v>53300</v>
      </c>
      <c r="H67" s="41">
        <f t="shared" si="15"/>
        <v>899704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6"/>
        <v>899704</v>
      </c>
      <c r="N67" s="41">
        <v>0</v>
      </c>
      <c r="O67" s="40">
        <v>0</v>
      </c>
      <c r="P67" s="42">
        <f t="shared" si="17"/>
        <v>899704</v>
      </c>
      <c r="Q67" s="5">
        <v>16.88</v>
      </c>
    </row>
    <row r="68" spans="1:17" x14ac:dyDescent="0.25">
      <c r="A68" s="5" t="s">
        <v>16</v>
      </c>
      <c r="B68" s="5" t="s">
        <v>18</v>
      </c>
      <c r="C68" s="6">
        <v>42573</v>
      </c>
      <c r="D68" s="5">
        <f t="shared" si="18"/>
        <v>7</v>
      </c>
      <c r="E68" s="5">
        <f t="shared" si="19"/>
        <v>30</v>
      </c>
      <c r="F68" s="5">
        <f t="shared" si="20"/>
        <v>31.02</v>
      </c>
      <c r="G68" s="40">
        <v>51412.03</v>
      </c>
      <c r="H68" s="41">
        <f t="shared" si="15"/>
        <v>1594801.1705999998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6"/>
        <v>1594801.1705999998</v>
      </c>
      <c r="N68" s="41">
        <v>0</v>
      </c>
      <c r="O68" s="40">
        <v>0</v>
      </c>
      <c r="P68" s="42">
        <f t="shared" si="17"/>
        <v>1594801.1705999998</v>
      </c>
      <c r="Q68" s="5">
        <v>31.02</v>
      </c>
    </row>
    <row r="69" spans="1:17" x14ac:dyDescent="0.25">
      <c r="A69" s="5" t="s">
        <v>69</v>
      </c>
      <c r="B69" s="5" t="s">
        <v>18</v>
      </c>
      <c r="C69" s="6">
        <v>42573</v>
      </c>
      <c r="D69" s="5">
        <f t="shared" si="18"/>
        <v>7</v>
      </c>
      <c r="E69" s="5">
        <f t="shared" si="19"/>
        <v>30</v>
      </c>
      <c r="F69" s="5">
        <f t="shared" si="20"/>
        <v>20.53</v>
      </c>
      <c r="G69" s="40">
        <v>49000</v>
      </c>
      <c r="H69" s="41">
        <f t="shared" si="15"/>
        <v>1005970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6"/>
        <v>1005970</v>
      </c>
      <c r="N69" s="41">
        <v>0</v>
      </c>
      <c r="O69" s="40">
        <v>0</v>
      </c>
      <c r="P69" s="42">
        <f t="shared" si="17"/>
        <v>1005970</v>
      </c>
      <c r="Q69" s="5">
        <v>20.53</v>
      </c>
    </row>
    <row r="70" spans="1:17" x14ac:dyDescent="0.25">
      <c r="A70" s="5" t="s">
        <v>32</v>
      </c>
      <c r="B70" s="5" t="s">
        <v>15</v>
      </c>
      <c r="C70" s="6">
        <v>42573</v>
      </c>
      <c r="D70" s="5">
        <f t="shared" si="18"/>
        <v>7</v>
      </c>
      <c r="E70" s="5">
        <f t="shared" si="19"/>
        <v>30</v>
      </c>
      <c r="F70" s="5">
        <f t="shared" si="20"/>
        <v>26.78</v>
      </c>
      <c r="G70" s="40">
        <v>53340.26</v>
      </c>
      <c r="H70" s="41">
        <f t="shared" si="15"/>
        <v>1428452.1628</v>
      </c>
      <c r="I70" s="42">
        <v>0</v>
      </c>
      <c r="J70" s="43">
        <v>0</v>
      </c>
      <c r="K70" s="44">
        <v>0</v>
      </c>
      <c r="L70" s="44">
        <v>0</v>
      </c>
      <c r="M70" s="41">
        <f t="shared" si="16"/>
        <v>1428452.1628</v>
      </c>
      <c r="N70" s="41">
        <v>0</v>
      </c>
      <c r="O70" s="40">
        <v>0</v>
      </c>
      <c r="P70" s="42">
        <f t="shared" si="17"/>
        <v>1428452.1628</v>
      </c>
      <c r="Q70" s="5">
        <v>26.78</v>
      </c>
    </row>
    <row r="71" spans="1:17" x14ac:dyDescent="0.25">
      <c r="A71" s="5" t="s">
        <v>12</v>
      </c>
      <c r="B71" s="5" t="s">
        <v>13</v>
      </c>
      <c r="C71" s="6">
        <v>42573</v>
      </c>
      <c r="D71" s="5">
        <f t="shared" si="18"/>
        <v>7</v>
      </c>
      <c r="E71" s="5">
        <f t="shared" si="19"/>
        <v>30</v>
      </c>
      <c r="F71" s="5">
        <f t="shared" si="20"/>
        <v>27.6</v>
      </c>
      <c r="G71" s="40">
        <v>53431.4</v>
      </c>
      <c r="H71" s="41">
        <f t="shared" si="15"/>
        <v>1474706.6400000001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6"/>
        <v>1474706.6400000001</v>
      </c>
      <c r="N71" s="41">
        <f t="shared" si="14"/>
        <v>29494.132800000003</v>
      </c>
      <c r="O71" s="40">
        <v>0</v>
      </c>
      <c r="P71" s="42">
        <f t="shared" si="17"/>
        <v>1504200.7728000002</v>
      </c>
      <c r="Q71" s="5">
        <v>27.6</v>
      </c>
    </row>
    <row r="72" spans="1:17" x14ac:dyDescent="0.25">
      <c r="A72" s="5" t="s">
        <v>100</v>
      </c>
      <c r="B72" s="5" t="s">
        <v>20</v>
      </c>
      <c r="C72" s="6">
        <v>42573</v>
      </c>
      <c r="D72" s="5">
        <f t="shared" si="18"/>
        <v>7</v>
      </c>
      <c r="E72" s="5">
        <f t="shared" si="19"/>
        <v>30</v>
      </c>
      <c r="F72" s="5">
        <f t="shared" si="20"/>
        <v>19.88</v>
      </c>
      <c r="G72" s="40">
        <v>79411.7</v>
      </c>
      <c r="H72" s="41">
        <f t="shared" si="15"/>
        <v>1578704.5959999999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6"/>
        <v>1578704.5959999999</v>
      </c>
      <c r="N72" s="41">
        <f t="shared" si="14"/>
        <v>31574.091919999999</v>
      </c>
      <c r="O72" s="40">
        <v>0</v>
      </c>
      <c r="P72" s="42">
        <f t="shared" si="17"/>
        <v>1610278.6879199999</v>
      </c>
      <c r="Q72" s="5">
        <v>19.88</v>
      </c>
    </row>
    <row r="73" spans="1:17" x14ac:dyDescent="0.25">
      <c r="A73" s="5" t="s">
        <v>24</v>
      </c>
      <c r="B73" s="5" t="s">
        <v>101</v>
      </c>
      <c r="C73" s="6">
        <v>42573</v>
      </c>
      <c r="D73" s="5">
        <f t="shared" si="18"/>
        <v>7</v>
      </c>
      <c r="E73" s="5">
        <f t="shared" si="19"/>
        <v>30</v>
      </c>
      <c r="F73" s="5">
        <f t="shared" si="20"/>
        <v>31.54</v>
      </c>
      <c r="G73" s="40">
        <v>54800</v>
      </c>
      <c r="H73" s="41">
        <f t="shared" si="15"/>
        <v>1728392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6"/>
        <v>1728392</v>
      </c>
      <c r="N73" s="41">
        <v>0</v>
      </c>
      <c r="O73" s="40">
        <v>0</v>
      </c>
      <c r="P73" s="42">
        <f t="shared" si="17"/>
        <v>1728392</v>
      </c>
      <c r="Q73" s="5">
        <v>31.54</v>
      </c>
    </row>
    <row r="74" spans="1:17" x14ac:dyDescent="0.25">
      <c r="A74" s="5" t="s">
        <v>24</v>
      </c>
      <c r="B74" s="5" t="s">
        <v>101</v>
      </c>
      <c r="C74" s="6">
        <v>42573</v>
      </c>
      <c r="D74" s="5">
        <f t="shared" si="18"/>
        <v>7</v>
      </c>
      <c r="E74" s="5">
        <f t="shared" si="19"/>
        <v>30</v>
      </c>
      <c r="F74" s="5">
        <f t="shared" si="20"/>
        <v>30.26</v>
      </c>
      <c r="G74" s="40">
        <v>54800</v>
      </c>
      <c r="H74" s="41">
        <f t="shared" si="15"/>
        <v>1658248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6"/>
        <v>1658248</v>
      </c>
      <c r="N74" s="41">
        <v>0</v>
      </c>
      <c r="O74" s="40">
        <v>0</v>
      </c>
      <c r="P74" s="42">
        <f t="shared" si="17"/>
        <v>1658248</v>
      </c>
      <c r="Q74" s="5">
        <v>30.26</v>
      </c>
    </row>
    <row r="75" spans="1:17" x14ac:dyDescent="0.25">
      <c r="A75" s="5" t="s">
        <v>24</v>
      </c>
      <c r="B75" s="5" t="s">
        <v>101</v>
      </c>
      <c r="C75" s="6">
        <v>42573</v>
      </c>
      <c r="D75" s="5">
        <f t="shared" si="18"/>
        <v>7</v>
      </c>
      <c r="E75" s="5">
        <f t="shared" si="19"/>
        <v>30</v>
      </c>
      <c r="F75" s="5">
        <f t="shared" si="20"/>
        <v>30.1</v>
      </c>
      <c r="G75" s="40">
        <v>54800</v>
      </c>
      <c r="H75" s="41">
        <f t="shared" si="15"/>
        <v>1649480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6"/>
        <v>1649480</v>
      </c>
      <c r="N75" s="41">
        <v>0</v>
      </c>
      <c r="O75" s="40">
        <v>0</v>
      </c>
      <c r="P75" s="42">
        <f t="shared" si="17"/>
        <v>1649480</v>
      </c>
      <c r="Q75" s="5">
        <v>30.1</v>
      </c>
    </row>
    <row r="76" spans="1:17" x14ac:dyDescent="0.25">
      <c r="A76" s="5" t="s">
        <v>24</v>
      </c>
      <c r="B76" s="5" t="s">
        <v>101</v>
      </c>
      <c r="C76" s="6">
        <v>42573</v>
      </c>
      <c r="D76" s="5">
        <f t="shared" si="18"/>
        <v>7</v>
      </c>
      <c r="E76" s="5">
        <f t="shared" si="19"/>
        <v>30</v>
      </c>
      <c r="F76" s="5">
        <f t="shared" si="20"/>
        <v>25.82</v>
      </c>
      <c r="G76" s="40">
        <v>54800</v>
      </c>
      <c r="H76" s="41">
        <f t="shared" si="15"/>
        <v>1414936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6"/>
        <v>1414936</v>
      </c>
      <c r="N76" s="41">
        <v>0</v>
      </c>
      <c r="O76" s="40">
        <v>0</v>
      </c>
      <c r="P76" s="42">
        <f t="shared" si="17"/>
        <v>1414936</v>
      </c>
      <c r="Q76" s="5">
        <v>25.82</v>
      </c>
    </row>
    <row r="77" spans="1:17" x14ac:dyDescent="0.25">
      <c r="A77" s="5" t="s">
        <v>33</v>
      </c>
      <c r="B77" s="5" t="s">
        <v>15</v>
      </c>
      <c r="C77" s="6">
        <v>42574</v>
      </c>
      <c r="D77" s="5">
        <f t="shared" si="18"/>
        <v>7</v>
      </c>
      <c r="E77" s="5">
        <f t="shared" si="19"/>
        <v>30</v>
      </c>
      <c r="F77" s="5">
        <f t="shared" si="20"/>
        <v>26.99</v>
      </c>
      <c r="G77" s="40">
        <v>53500</v>
      </c>
      <c r="H77" s="41">
        <f t="shared" si="15"/>
        <v>1443965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6"/>
        <v>1443965</v>
      </c>
      <c r="N77" s="41">
        <v>0</v>
      </c>
      <c r="O77" s="40">
        <v>0</v>
      </c>
      <c r="P77" s="42">
        <f t="shared" si="17"/>
        <v>1443965</v>
      </c>
      <c r="Q77" s="5">
        <v>26.99</v>
      </c>
    </row>
    <row r="78" spans="1:17" x14ac:dyDescent="0.25">
      <c r="A78" s="5" t="s">
        <v>21</v>
      </c>
      <c r="B78" s="5" t="s">
        <v>15</v>
      </c>
      <c r="C78" s="6">
        <v>42574</v>
      </c>
      <c r="D78" s="5">
        <f t="shared" si="18"/>
        <v>7</v>
      </c>
      <c r="E78" s="5">
        <f t="shared" si="19"/>
        <v>30</v>
      </c>
      <c r="F78" s="5">
        <f t="shared" si="20"/>
        <v>26.93</v>
      </c>
      <c r="G78" s="40">
        <v>50900</v>
      </c>
      <c r="H78" s="41">
        <f t="shared" si="15"/>
        <v>1370737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6"/>
        <v>1370737</v>
      </c>
      <c r="N78" s="41">
        <v>0</v>
      </c>
      <c r="O78" s="40">
        <v>0</v>
      </c>
      <c r="P78" s="42">
        <f t="shared" si="17"/>
        <v>1370737</v>
      </c>
      <c r="Q78" s="5">
        <v>26.93</v>
      </c>
    </row>
    <row r="79" spans="1:17" x14ac:dyDescent="0.25">
      <c r="A79" s="5" t="s">
        <v>67</v>
      </c>
      <c r="B79" s="5" t="s">
        <v>15</v>
      </c>
      <c r="C79" s="6">
        <v>42575</v>
      </c>
      <c r="D79" s="5">
        <f t="shared" si="18"/>
        <v>7</v>
      </c>
      <c r="E79" s="5">
        <f t="shared" si="19"/>
        <v>31</v>
      </c>
      <c r="F79" s="5">
        <f t="shared" si="20"/>
        <v>26.77</v>
      </c>
      <c r="G79" s="40">
        <v>53000</v>
      </c>
      <c r="H79" s="41">
        <f t="shared" si="15"/>
        <v>1418810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6"/>
        <v>1418810</v>
      </c>
      <c r="N79" s="41">
        <v>0</v>
      </c>
      <c r="O79" s="40">
        <v>0</v>
      </c>
      <c r="P79" s="42">
        <f t="shared" si="17"/>
        <v>1418810</v>
      </c>
      <c r="Q79" s="5">
        <v>26.77</v>
      </c>
    </row>
    <row r="80" spans="1:17" x14ac:dyDescent="0.25">
      <c r="A80" s="5" t="s">
        <v>102</v>
      </c>
      <c r="B80" s="5" t="s">
        <v>18</v>
      </c>
      <c r="C80" s="6">
        <v>42576</v>
      </c>
      <c r="D80" s="5">
        <f t="shared" si="18"/>
        <v>7</v>
      </c>
      <c r="E80" s="5">
        <f t="shared" si="19"/>
        <v>31</v>
      </c>
      <c r="F80" s="5">
        <f t="shared" si="20"/>
        <v>32.03</v>
      </c>
      <c r="G80" s="40">
        <v>41500</v>
      </c>
      <c r="H80" s="41">
        <f t="shared" si="15"/>
        <v>1329245</v>
      </c>
      <c r="I80" s="42">
        <v>0</v>
      </c>
      <c r="J80" s="43">
        <f t="shared" ref="J80" si="21">H80*12.5%</f>
        <v>166155.625</v>
      </c>
      <c r="K80" s="44">
        <v>0</v>
      </c>
      <c r="L80" s="44">
        <v>0</v>
      </c>
      <c r="M80" s="41">
        <f t="shared" si="16"/>
        <v>1495400.625</v>
      </c>
      <c r="N80" s="41">
        <f t="shared" si="14"/>
        <v>29908.012500000001</v>
      </c>
      <c r="O80" s="40">
        <v>0</v>
      </c>
      <c r="P80" s="42">
        <f t="shared" si="17"/>
        <v>1525308.6375</v>
      </c>
      <c r="Q80" s="5">
        <v>32.03</v>
      </c>
    </row>
    <row r="81" spans="1:17" x14ac:dyDescent="0.25">
      <c r="A81" s="5" t="s">
        <v>30</v>
      </c>
      <c r="B81" s="5" t="s">
        <v>18</v>
      </c>
      <c r="C81" s="6">
        <v>42576</v>
      </c>
      <c r="D81" s="5">
        <f t="shared" si="18"/>
        <v>7</v>
      </c>
      <c r="E81" s="5">
        <f t="shared" si="19"/>
        <v>31</v>
      </c>
      <c r="F81" s="5">
        <f t="shared" si="20"/>
        <v>28.41</v>
      </c>
      <c r="G81" s="40">
        <v>49268.11</v>
      </c>
      <c r="H81" s="41">
        <f t="shared" si="15"/>
        <v>1399707.0051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6"/>
        <v>1399707.0051</v>
      </c>
      <c r="N81" s="41">
        <v>0</v>
      </c>
      <c r="O81" s="40">
        <v>0</v>
      </c>
      <c r="P81" s="42">
        <f t="shared" si="17"/>
        <v>1399707.0051</v>
      </c>
      <c r="Q81" s="5">
        <v>28.41</v>
      </c>
    </row>
    <row r="82" spans="1:17" x14ac:dyDescent="0.25">
      <c r="A82" s="5" t="s">
        <v>30</v>
      </c>
      <c r="B82" s="5" t="s">
        <v>18</v>
      </c>
      <c r="C82" s="6">
        <v>42576</v>
      </c>
      <c r="D82" s="5">
        <f t="shared" si="18"/>
        <v>7</v>
      </c>
      <c r="E82" s="5">
        <f t="shared" si="19"/>
        <v>31</v>
      </c>
      <c r="F82" s="5">
        <f t="shared" si="20"/>
        <v>30.95</v>
      </c>
      <c r="G82" s="40">
        <v>49000</v>
      </c>
      <c r="H82" s="41">
        <f t="shared" si="15"/>
        <v>1516550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6"/>
        <v>1516550</v>
      </c>
      <c r="N82" s="41">
        <v>0</v>
      </c>
      <c r="O82" s="40">
        <v>0</v>
      </c>
      <c r="P82" s="42">
        <f t="shared" si="17"/>
        <v>1516550</v>
      </c>
      <c r="Q82" s="5">
        <v>30.95</v>
      </c>
    </row>
    <row r="83" spans="1:17" x14ac:dyDescent="0.25">
      <c r="A83" s="5" t="s">
        <v>67</v>
      </c>
      <c r="B83" s="5" t="s">
        <v>15</v>
      </c>
      <c r="C83" s="6">
        <v>42576</v>
      </c>
      <c r="D83" s="5">
        <f t="shared" si="18"/>
        <v>7</v>
      </c>
      <c r="E83" s="5">
        <f t="shared" si="19"/>
        <v>31</v>
      </c>
      <c r="F83" s="5">
        <f t="shared" si="20"/>
        <v>26.79</v>
      </c>
      <c r="G83" s="40">
        <v>53216.59</v>
      </c>
      <c r="H83" s="41">
        <f t="shared" si="15"/>
        <v>1425672.4460999998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6"/>
        <v>1425672.4460999998</v>
      </c>
      <c r="N83" s="41">
        <v>0</v>
      </c>
      <c r="O83" s="40">
        <v>0</v>
      </c>
      <c r="P83" s="42">
        <f t="shared" si="17"/>
        <v>1425672.4460999998</v>
      </c>
      <c r="Q83" s="5">
        <v>26.79</v>
      </c>
    </row>
    <row r="84" spans="1:17" x14ac:dyDescent="0.25">
      <c r="A84" s="5" t="s">
        <v>12</v>
      </c>
      <c r="B84" s="5" t="s">
        <v>13</v>
      </c>
      <c r="C84" s="6">
        <v>42577</v>
      </c>
      <c r="D84" s="5">
        <f t="shared" si="18"/>
        <v>7</v>
      </c>
      <c r="E84" s="5">
        <f t="shared" si="19"/>
        <v>31</v>
      </c>
      <c r="F84" s="5">
        <f t="shared" si="20"/>
        <v>29.54</v>
      </c>
      <c r="G84" s="40">
        <v>53431.4</v>
      </c>
      <c r="H84" s="41">
        <f t="shared" si="15"/>
        <v>1578363.5560000001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6"/>
        <v>1578363.5560000001</v>
      </c>
      <c r="N84" s="41">
        <f t="shared" si="14"/>
        <v>31567.271120000001</v>
      </c>
      <c r="O84" s="40">
        <v>0</v>
      </c>
      <c r="P84" s="42">
        <f t="shared" si="17"/>
        <v>1609930.82712</v>
      </c>
      <c r="Q84" s="5">
        <v>29.54</v>
      </c>
    </row>
    <row r="85" spans="1:17" x14ac:dyDescent="0.25">
      <c r="A85" s="5" t="s">
        <v>67</v>
      </c>
      <c r="B85" s="5" t="s">
        <v>15</v>
      </c>
      <c r="C85" s="6">
        <v>42577</v>
      </c>
      <c r="D85" s="5">
        <f t="shared" si="18"/>
        <v>7</v>
      </c>
      <c r="E85" s="5">
        <f t="shared" si="19"/>
        <v>31</v>
      </c>
      <c r="F85" s="5">
        <f t="shared" si="20"/>
        <v>20</v>
      </c>
      <c r="G85" s="40">
        <v>53000</v>
      </c>
      <c r="H85" s="41">
        <f t="shared" si="15"/>
        <v>1060000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6"/>
        <v>1060000</v>
      </c>
      <c r="N85" s="41">
        <v>0</v>
      </c>
      <c r="O85" s="40">
        <v>0</v>
      </c>
      <c r="P85" s="42">
        <f t="shared" si="17"/>
        <v>1060000</v>
      </c>
      <c r="Q85" s="5">
        <v>20</v>
      </c>
    </row>
    <row r="86" spans="1:17" x14ac:dyDescent="0.25">
      <c r="A86" s="5" t="s">
        <v>21</v>
      </c>
      <c r="B86" s="5" t="s">
        <v>15</v>
      </c>
      <c r="C86" s="6">
        <v>42577</v>
      </c>
      <c r="D86" s="5">
        <f t="shared" si="18"/>
        <v>7</v>
      </c>
      <c r="E86" s="5">
        <f t="shared" si="19"/>
        <v>31</v>
      </c>
      <c r="F86" s="5">
        <f t="shared" si="20"/>
        <v>28.07</v>
      </c>
      <c r="G86" s="40">
        <v>53057.4</v>
      </c>
      <c r="H86" s="41">
        <f t="shared" si="15"/>
        <v>1489321.2180000001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6"/>
        <v>1489321.2180000001</v>
      </c>
      <c r="N86" s="41">
        <v>0</v>
      </c>
      <c r="O86" s="40">
        <v>0</v>
      </c>
      <c r="P86" s="42">
        <f t="shared" si="17"/>
        <v>1489321.2180000001</v>
      </c>
      <c r="Q86" s="5">
        <v>28.07</v>
      </c>
    </row>
    <row r="87" spans="1:17" x14ac:dyDescent="0.25">
      <c r="A87" s="5" t="s">
        <v>32</v>
      </c>
      <c r="B87" s="5" t="s">
        <v>15</v>
      </c>
      <c r="C87" s="6">
        <v>42578</v>
      </c>
      <c r="D87" s="5">
        <f t="shared" si="18"/>
        <v>7</v>
      </c>
      <c r="E87" s="5">
        <f t="shared" si="19"/>
        <v>31</v>
      </c>
      <c r="F87" s="5">
        <f t="shared" si="20"/>
        <v>26.85</v>
      </c>
      <c r="G87" s="40">
        <v>53206.48</v>
      </c>
      <c r="H87" s="41">
        <f t="shared" si="15"/>
        <v>1428593.9880000001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6"/>
        <v>1428593.9880000001</v>
      </c>
      <c r="N87" s="41">
        <v>0</v>
      </c>
      <c r="O87" s="40">
        <v>0</v>
      </c>
      <c r="P87" s="42">
        <f t="shared" si="17"/>
        <v>1428593.9880000001</v>
      </c>
      <c r="Q87" s="5">
        <v>26.85</v>
      </c>
    </row>
    <row r="88" spans="1:17" x14ac:dyDescent="0.25">
      <c r="A88" s="5" t="s">
        <v>102</v>
      </c>
      <c r="B88" s="5" t="s">
        <v>18</v>
      </c>
      <c r="C88" s="6">
        <v>42581</v>
      </c>
      <c r="D88" s="5">
        <f t="shared" si="18"/>
        <v>7</v>
      </c>
      <c r="E88" s="5">
        <f t="shared" si="19"/>
        <v>31</v>
      </c>
      <c r="F88" s="5">
        <f t="shared" si="20"/>
        <v>29.76</v>
      </c>
      <c r="G88" s="40">
        <v>41500</v>
      </c>
      <c r="H88" s="41">
        <f t="shared" si="15"/>
        <v>1235040</v>
      </c>
      <c r="I88" s="42">
        <v>0</v>
      </c>
      <c r="J88" s="43">
        <f t="shared" ref="J88" si="22">H88*12.5%</f>
        <v>154380</v>
      </c>
      <c r="K88" s="44">
        <v>0</v>
      </c>
      <c r="L88" s="44">
        <v>0</v>
      </c>
      <c r="M88" s="41">
        <f t="shared" si="16"/>
        <v>1389420</v>
      </c>
      <c r="N88" s="41">
        <f t="shared" ref="N88" si="23">M88*2%</f>
        <v>27788.400000000001</v>
      </c>
      <c r="O88" s="40">
        <v>0</v>
      </c>
      <c r="P88" s="42">
        <f t="shared" si="17"/>
        <v>1417208.4</v>
      </c>
      <c r="Q88" s="5">
        <v>29.76</v>
      </c>
    </row>
    <row r="89" spans="1:17" x14ac:dyDescent="0.25">
      <c r="A89" s="5" t="s">
        <v>30</v>
      </c>
      <c r="B89" s="5" t="s">
        <v>18</v>
      </c>
      <c r="C89" s="6">
        <v>42578</v>
      </c>
      <c r="D89" s="5">
        <f t="shared" si="18"/>
        <v>7</v>
      </c>
      <c r="E89" s="5">
        <f t="shared" si="19"/>
        <v>31</v>
      </c>
      <c r="F89" s="5">
        <f t="shared" si="20"/>
        <v>27.64</v>
      </c>
      <c r="G89" s="40">
        <v>49594.98</v>
      </c>
      <c r="H89" s="41">
        <f t="shared" si="15"/>
        <v>1370805.2472000001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6"/>
        <v>1370805.2472000001</v>
      </c>
      <c r="N89" s="41">
        <v>0</v>
      </c>
      <c r="O89" s="40">
        <v>0</v>
      </c>
      <c r="P89" s="42">
        <f t="shared" si="17"/>
        <v>1370805.2472000001</v>
      </c>
      <c r="Q89" s="5">
        <v>27.64</v>
      </c>
    </row>
    <row r="90" spans="1:17" x14ac:dyDescent="0.25">
      <c r="A90" s="5" t="s">
        <v>12</v>
      </c>
      <c r="B90" s="5" t="s">
        <v>13</v>
      </c>
      <c r="C90" s="6">
        <v>42579</v>
      </c>
      <c r="D90" s="5">
        <f t="shared" si="18"/>
        <v>7</v>
      </c>
      <c r="E90" s="5">
        <f t="shared" si="19"/>
        <v>31</v>
      </c>
      <c r="F90" s="5">
        <f t="shared" si="20"/>
        <v>29.93</v>
      </c>
      <c r="G90" s="40">
        <v>53431.4</v>
      </c>
      <c r="H90" s="41">
        <f t="shared" si="15"/>
        <v>1599201.8020000001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6"/>
        <v>1599201.8020000001</v>
      </c>
      <c r="N90" s="41">
        <f t="shared" si="14"/>
        <v>31984.036040000003</v>
      </c>
      <c r="O90" s="40">
        <v>0</v>
      </c>
      <c r="P90" s="42">
        <f t="shared" si="17"/>
        <v>1631185.8380400001</v>
      </c>
      <c r="Q90" s="5">
        <v>29.93</v>
      </c>
    </row>
    <row r="91" spans="1:17" x14ac:dyDescent="0.25">
      <c r="A91" s="5" t="s">
        <v>69</v>
      </c>
      <c r="B91" s="5" t="s">
        <v>15</v>
      </c>
      <c r="C91" s="6">
        <v>42579</v>
      </c>
      <c r="D91" s="5">
        <f t="shared" si="18"/>
        <v>7</v>
      </c>
      <c r="E91" s="5">
        <f t="shared" si="19"/>
        <v>31</v>
      </c>
      <c r="F91" s="5">
        <f t="shared" si="20"/>
        <v>30.9</v>
      </c>
      <c r="G91" s="40">
        <v>53500</v>
      </c>
      <c r="H91" s="41">
        <f t="shared" si="15"/>
        <v>1653150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6"/>
        <v>1653150</v>
      </c>
      <c r="N91" s="41">
        <v>0</v>
      </c>
      <c r="O91" s="40">
        <v>0</v>
      </c>
      <c r="P91" s="42">
        <f t="shared" si="17"/>
        <v>1653150</v>
      </c>
      <c r="Q91" s="5">
        <v>30.9</v>
      </c>
    </row>
    <row r="92" spans="1:17" x14ac:dyDescent="0.25">
      <c r="A92" s="5" t="s">
        <v>24</v>
      </c>
      <c r="B92" s="5" t="s">
        <v>15</v>
      </c>
      <c r="C92" s="6">
        <v>42579</v>
      </c>
      <c r="D92" s="5">
        <f t="shared" si="18"/>
        <v>7</v>
      </c>
      <c r="E92" s="5">
        <f t="shared" si="19"/>
        <v>31</v>
      </c>
      <c r="F92" s="5">
        <f t="shared" si="20"/>
        <v>34.24</v>
      </c>
      <c r="G92" s="40">
        <v>53447.39</v>
      </c>
      <c r="H92" s="41">
        <f t="shared" si="15"/>
        <v>1830038.6336000001</v>
      </c>
      <c r="I92" s="42">
        <v>0</v>
      </c>
      <c r="J92" s="43">
        <v>0</v>
      </c>
      <c r="K92" s="44">
        <v>0</v>
      </c>
      <c r="L92" s="44">
        <v>0</v>
      </c>
      <c r="M92" s="41">
        <f t="shared" si="16"/>
        <v>1830038.6336000001</v>
      </c>
      <c r="N92" s="41">
        <v>0</v>
      </c>
      <c r="O92" s="40">
        <v>0</v>
      </c>
      <c r="P92" s="42">
        <f t="shared" si="17"/>
        <v>1830038.6336000001</v>
      </c>
      <c r="Q92" s="5">
        <v>34.24</v>
      </c>
    </row>
    <row r="93" spans="1:17" x14ac:dyDescent="0.25">
      <c r="A93" s="5" t="s">
        <v>103</v>
      </c>
      <c r="B93" s="5" t="s">
        <v>101</v>
      </c>
      <c r="C93" s="6">
        <v>42579</v>
      </c>
      <c r="D93" s="5">
        <f t="shared" si="18"/>
        <v>7</v>
      </c>
      <c r="E93" s="5">
        <f t="shared" si="19"/>
        <v>31</v>
      </c>
      <c r="F93" s="5">
        <f t="shared" si="20"/>
        <v>18.510000000000002</v>
      </c>
      <c r="G93" s="40">
        <v>47647.07</v>
      </c>
      <c r="H93" s="41">
        <f t="shared" si="15"/>
        <v>881947.26570000011</v>
      </c>
      <c r="I93" s="42">
        <v>0</v>
      </c>
      <c r="J93" s="43">
        <v>0</v>
      </c>
      <c r="K93" s="44">
        <v>0</v>
      </c>
      <c r="L93" s="44">
        <v>0</v>
      </c>
      <c r="M93" s="41">
        <f t="shared" si="16"/>
        <v>881947.26570000011</v>
      </c>
      <c r="N93" s="41">
        <f t="shared" si="14"/>
        <v>17638.945314000004</v>
      </c>
      <c r="O93" s="40">
        <f>6200*Q93</f>
        <v>114762.00000000001</v>
      </c>
      <c r="P93" s="42">
        <f t="shared" si="17"/>
        <v>1014348.2110140001</v>
      </c>
      <c r="Q93" s="5">
        <v>18.510000000000002</v>
      </c>
    </row>
    <row r="94" spans="1:17" x14ac:dyDescent="0.25">
      <c r="A94" s="5" t="s">
        <v>103</v>
      </c>
      <c r="B94" s="5" t="s">
        <v>101</v>
      </c>
      <c r="C94" s="6">
        <v>42579</v>
      </c>
      <c r="D94" s="5">
        <f t="shared" si="18"/>
        <v>7</v>
      </c>
      <c r="E94" s="5">
        <f t="shared" si="19"/>
        <v>31</v>
      </c>
      <c r="F94" s="5">
        <f t="shared" si="20"/>
        <v>20.32</v>
      </c>
      <c r="G94" s="40">
        <v>47647.07</v>
      </c>
      <c r="H94" s="41">
        <f t="shared" si="15"/>
        <v>968188.46239999996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6"/>
        <v>968188.46239999996</v>
      </c>
      <c r="N94" s="41">
        <f t="shared" si="14"/>
        <v>19363.769248000001</v>
      </c>
      <c r="O94" s="40">
        <f>6200*Q94</f>
        <v>125984</v>
      </c>
      <c r="P94" s="42">
        <f t="shared" si="17"/>
        <v>1113536.231648</v>
      </c>
      <c r="Q94" s="5">
        <v>20.32</v>
      </c>
    </row>
    <row r="95" spans="1:17" x14ac:dyDescent="0.25">
      <c r="A95" s="5" t="s">
        <v>103</v>
      </c>
      <c r="B95" s="5" t="s">
        <v>101</v>
      </c>
      <c r="C95" s="6">
        <v>42579</v>
      </c>
      <c r="D95" s="5">
        <f t="shared" si="18"/>
        <v>7</v>
      </c>
      <c r="E95" s="5">
        <f t="shared" si="19"/>
        <v>31</v>
      </c>
      <c r="F95" s="5">
        <f t="shared" si="20"/>
        <v>20.21</v>
      </c>
      <c r="G95" s="40">
        <v>47647.07</v>
      </c>
      <c r="H95" s="41">
        <f t="shared" si="15"/>
        <v>962947.28470000008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6"/>
        <v>962947.28470000008</v>
      </c>
      <c r="N95" s="41">
        <f t="shared" si="14"/>
        <v>19258.945694000002</v>
      </c>
      <c r="O95" s="40">
        <f>6200*Q95</f>
        <v>125302</v>
      </c>
      <c r="P95" s="42">
        <f t="shared" si="17"/>
        <v>1107508.2303940002</v>
      </c>
      <c r="Q95" s="5">
        <v>20.21</v>
      </c>
    </row>
    <row r="96" spans="1:17" x14ac:dyDescent="0.25">
      <c r="A96" s="5" t="s">
        <v>103</v>
      </c>
      <c r="B96" s="5" t="s">
        <v>101</v>
      </c>
      <c r="C96" s="6">
        <v>42581</v>
      </c>
      <c r="D96" s="5">
        <f t="shared" si="18"/>
        <v>7</v>
      </c>
      <c r="E96" s="5">
        <f t="shared" si="19"/>
        <v>31</v>
      </c>
      <c r="F96" s="5">
        <f t="shared" si="20"/>
        <v>19.440000000000001</v>
      </c>
      <c r="G96" s="40">
        <v>47647.07</v>
      </c>
      <c r="H96" s="41">
        <f t="shared" si="15"/>
        <v>926259.04080000008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6"/>
        <v>926259.04080000008</v>
      </c>
      <c r="N96" s="41">
        <f t="shared" si="14"/>
        <v>18525.180816000004</v>
      </c>
      <c r="O96" s="40">
        <f>6200*Q96</f>
        <v>120528.00000000001</v>
      </c>
      <c r="P96" s="42">
        <f t="shared" si="17"/>
        <v>1065312.2216160002</v>
      </c>
      <c r="Q96" s="5">
        <v>19.440000000000001</v>
      </c>
    </row>
    <row r="97" spans="1:17" x14ac:dyDescent="0.25">
      <c r="A97" s="5" t="s">
        <v>24</v>
      </c>
      <c r="B97" s="5" t="s">
        <v>15</v>
      </c>
      <c r="C97" s="6">
        <v>42578</v>
      </c>
      <c r="D97" s="5">
        <f t="shared" si="18"/>
        <v>7</v>
      </c>
      <c r="E97" s="5">
        <f t="shared" si="19"/>
        <v>31</v>
      </c>
      <c r="F97" s="5">
        <f t="shared" si="20"/>
        <v>20.100000000000001</v>
      </c>
      <c r="G97" s="40">
        <v>53416.23</v>
      </c>
      <c r="H97" s="41">
        <f t="shared" si="15"/>
        <v>1073666.2230000002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6"/>
        <v>1073666.2230000002</v>
      </c>
      <c r="N97" s="41">
        <v>0</v>
      </c>
      <c r="O97" s="40">
        <v>0</v>
      </c>
      <c r="P97" s="42">
        <f t="shared" si="17"/>
        <v>1073666.2230000002</v>
      </c>
      <c r="Q97" s="5">
        <v>20.100000000000001</v>
      </c>
    </row>
    <row r="98" spans="1:17" x14ac:dyDescent="0.25">
      <c r="A98" s="5" t="s">
        <v>27</v>
      </c>
      <c r="B98" s="5" t="s">
        <v>18</v>
      </c>
      <c r="C98" s="6">
        <v>42582</v>
      </c>
      <c r="D98" s="5">
        <f t="shared" si="18"/>
        <v>7</v>
      </c>
      <c r="E98" s="5">
        <f t="shared" si="19"/>
        <v>32</v>
      </c>
      <c r="F98" s="5">
        <f t="shared" si="20"/>
        <v>20.77</v>
      </c>
      <c r="G98" s="40">
        <v>49714.33</v>
      </c>
      <c r="H98" s="41">
        <f t="shared" si="15"/>
        <v>1032566.6341</v>
      </c>
      <c r="I98" s="42">
        <v>0</v>
      </c>
      <c r="J98" s="43">
        <v>0</v>
      </c>
      <c r="K98" s="44">
        <v>0</v>
      </c>
      <c r="L98" s="44">
        <v>0</v>
      </c>
      <c r="M98" s="41">
        <f t="shared" si="16"/>
        <v>1032566.6341</v>
      </c>
      <c r="N98" s="41">
        <v>0</v>
      </c>
      <c r="O98" s="40">
        <v>0</v>
      </c>
      <c r="P98" s="42">
        <f t="shared" si="17"/>
        <v>1032566.6341</v>
      </c>
      <c r="Q98" s="5">
        <v>20.77</v>
      </c>
    </row>
    <row r="99" spans="1:17" x14ac:dyDescent="0.25">
      <c r="A99" s="5" t="s">
        <v>30</v>
      </c>
      <c r="B99" s="5" t="s">
        <v>15</v>
      </c>
      <c r="C99" s="6">
        <v>42582</v>
      </c>
      <c r="D99" s="5">
        <f t="shared" si="18"/>
        <v>7</v>
      </c>
      <c r="E99" s="5">
        <f t="shared" si="19"/>
        <v>32</v>
      </c>
      <c r="F99" s="5">
        <f t="shared" si="20"/>
        <v>27.45</v>
      </c>
      <c r="G99" s="40">
        <v>51448.81</v>
      </c>
      <c r="H99" s="41">
        <f t="shared" si="15"/>
        <v>1412269.8344999999</v>
      </c>
      <c r="I99" s="42">
        <v>0</v>
      </c>
      <c r="J99" s="43">
        <v>0</v>
      </c>
      <c r="K99" s="44">
        <v>0</v>
      </c>
      <c r="L99" s="44">
        <v>0</v>
      </c>
      <c r="M99" s="41">
        <f t="shared" si="16"/>
        <v>1412269.8344999999</v>
      </c>
      <c r="N99" s="41">
        <v>0</v>
      </c>
      <c r="O99" s="40">
        <v>0</v>
      </c>
      <c r="P99" s="42">
        <f t="shared" si="17"/>
        <v>1412269.8344999999</v>
      </c>
      <c r="Q99" s="5">
        <v>27.45</v>
      </c>
    </row>
    <row r="100" spans="1:17" x14ac:dyDescent="0.25">
      <c r="A100" s="5" t="s">
        <v>69</v>
      </c>
      <c r="B100" s="5" t="s">
        <v>15</v>
      </c>
      <c r="C100" s="6">
        <v>42582</v>
      </c>
      <c r="D100" s="5">
        <f t="shared" si="18"/>
        <v>7</v>
      </c>
      <c r="E100" s="5">
        <f t="shared" si="19"/>
        <v>32</v>
      </c>
      <c r="F100" s="5">
        <f t="shared" si="20"/>
        <v>28.6</v>
      </c>
      <c r="G100" s="40">
        <v>53500</v>
      </c>
      <c r="H100" s="41">
        <f t="shared" si="15"/>
        <v>1530100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16"/>
        <v>1530100</v>
      </c>
      <c r="N100" s="41">
        <v>0</v>
      </c>
      <c r="O100" s="40">
        <v>0</v>
      </c>
      <c r="P100" s="42">
        <f t="shared" si="17"/>
        <v>1530100</v>
      </c>
      <c r="Q100" s="5">
        <v>28.6</v>
      </c>
    </row>
  </sheetData>
  <autoFilter ref="A1:Q100"/>
  <hyperlinks>
    <hyperlink ref="K1" r:id="rId1"/>
    <hyperlink ref="L1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C1" workbookViewId="0">
      <selection activeCell="A2" sqref="A2: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103</v>
      </c>
      <c r="B2" s="5" t="s">
        <v>101</v>
      </c>
      <c r="C2" s="6">
        <v>42584</v>
      </c>
      <c r="D2" s="5">
        <f>MONTH(C2)</f>
        <v>8</v>
      </c>
      <c r="E2" s="5">
        <f>WEEKNUM(C2)</f>
        <v>32</v>
      </c>
      <c r="F2" s="5">
        <v>20.074999999999999</v>
      </c>
      <c r="G2" s="40">
        <v>47647.07</v>
      </c>
      <c r="H2" s="41">
        <f>F2*G2</f>
        <v>956514.93024999998</v>
      </c>
      <c r="I2" s="42">
        <v>0</v>
      </c>
      <c r="J2" s="43">
        <v>0</v>
      </c>
      <c r="K2" s="44">
        <v>0</v>
      </c>
      <c r="L2" s="44">
        <v>0</v>
      </c>
      <c r="M2" s="41">
        <f>H2+I2+J2+K2+L2</f>
        <v>956514.93024999998</v>
      </c>
      <c r="N2" s="41">
        <f>M2*2%</f>
        <v>19130.298605</v>
      </c>
      <c r="O2" s="40">
        <f>6200*F2</f>
        <v>124465</v>
      </c>
      <c r="P2" s="42">
        <f>M2+N2+O2</f>
        <v>1100110.2288549999</v>
      </c>
      <c r="Q2" s="5">
        <v>20.059999999999999</v>
      </c>
    </row>
    <row r="3" spans="1:17" x14ac:dyDescent="0.25">
      <c r="A3" s="5" t="s">
        <v>12</v>
      </c>
      <c r="B3" s="5" t="s">
        <v>13</v>
      </c>
      <c r="C3" s="6">
        <v>42584</v>
      </c>
      <c r="D3" s="5">
        <f t="shared" ref="D3:D44" si="0">MONTH(C3)</f>
        <v>8</v>
      </c>
      <c r="E3" s="5">
        <f t="shared" ref="E3:E44" si="1">WEEKNUM(C3)</f>
        <v>32</v>
      </c>
      <c r="F3" s="5">
        <v>27.72</v>
      </c>
      <c r="G3" s="40">
        <v>53431.4</v>
      </c>
      <c r="H3" s="41">
        <f t="shared" ref="H3:H44" si="2">F3*G3</f>
        <v>1481118.4080000001</v>
      </c>
      <c r="I3" s="42">
        <v>0</v>
      </c>
      <c r="J3" s="43">
        <v>0</v>
      </c>
      <c r="K3" s="44">
        <v>0</v>
      </c>
      <c r="L3" s="44">
        <v>0</v>
      </c>
      <c r="M3" s="41">
        <f t="shared" ref="M3:M44" si="3">H3+I3+J3+K3+L3</f>
        <v>1481118.4080000001</v>
      </c>
      <c r="N3" s="41">
        <f>M3*2%</f>
        <v>29622.368160000002</v>
      </c>
      <c r="O3" s="40">
        <v>0</v>
      </c>
      <c r="P3" s="42">
        <f t="shared" ref="P3:P44" si="4">M3+N3+O3</f>
        <v>1510740.7761600001</v>
      </c>
      <c r="Q3" s="5">
        <v>27.65</v>
      </c>
    </row>
    <row r="4" spans="1:17" x14ac:dyDescent="0.25">
      <c r="A4" s="5" t="s">
        <v>104</v>
      </c>
      <c r="B4" s="5" t="s">
        <v>18</v>
      </c>
      <c r="C4" s="6">
        <v>42584</v>
      </c>
      <c r="D4" s="5">
        <f t="shared" si="0"/>
        <v>8</v>
      </c>
      <c r="E4" s="5">
        <f t="shared" si="1"/>
        <v>32</v>
      </c>
      <c r="F4" s="5">
        <v>20.56</v>
      </c>
      <c r="G4" s="40">
        <v>49019.6</v>
      </c>
      <c r="H4" s="41">
        <f t="shared" si="2"/>
        <v>1007842.9759999999</v>
      </c>
      <c r="I4" s="42">
        <v>0</v>
      </c>
      <c r="J4" s="43">
        <v>0</v>
      </c>
      <c r="K4" s="44">
        <v>0</v>
      </c>
      <c r="L4" s="44">
        <v>0</v>
      </c>
      <c r="M4" s="41">
        <f t="shared" si="3"/>
        <v>1007842.9759999999</v>
      </c>
      <c r="N4" s="41">
        <v>20156.859519999998</v>
      </c>
      <c r="O4" s="40">
        <v>0</v>
      </c>
      <c r="P4" s="42">
        <f t="shared" si="4"/>
        <v>1027999.83552</v>
      </c>
      <c r="Q4" s="5">
        <v>20.56</v>
      </c>
    </row>
    <row r="5" spans="1:17" x14ac:dyDescent="0.25">
      <c r="A5" s="5" t="s">
        <v>104</v>
      </c>
      <c r="B5" s="5" t="s">
        <v>18</v>
      </c>
      <c r="C5" s="6">
        <v>42584</v>
      </c>
      <c r="D5" s="5">
        <f t="shared" si="0"/>
        <v>8</v>
      </c>
      <c r="E5" s="5">
        <f t="shared" si="1"/>
        <v>32</v>
      </c>
      <c r="F5" s="5">
        <v>33.04</v>
      </c>
      <c r="G5" s="40">
        <v>49019.6</v>
      </c>
      <c r="H5" s="41">
        <f t="shared" si="2"/>
        <v>1619607.5839999998</v>
      </c>
      <c r="I5" s="42">
        <v>0</v>
      </c>
      <c r="J5" s="43">
        <v>0</v>
      </c>
      <c r="K5" s="44">
        <v>0</v>
      </c>
      <c r="L5" s="44">
        <v>0</v>
      </c>
      <c r="M5" s="41">
        <f t="shared" si="3"/>
        <v>1619607.5839999998</v>
      </c>
      <c r="N5" s="41">
        <v>32392.151679999995</v>
      </c>
      <c r="O5" s="40">
        <v>0</v>
      </c>
      <c r="P5" s="42">
        <f t="shared" si="4"/>
        <v>1651999.7356799997</v>
      </c>
      <c r="Q5" s="5">
        <v>32.92</v>
      </c>
    </row>
    <row r="6" spans="1:17" x14ac:dyDescent="0.25">
      <c r="A6" s="5" t="s">
        <v>16</v>
      </c>
      <c r="B6" s="5" t="s">
        <v>18</v>
      </c>
      <c r="C6" s="6">
        <v>42585</v>
      </c>
      <c r="D6" s="5">
        <f t="shared" si="0"/>
        <v>8</v>
      </c>
      <c r="E6" s="5">
        <f t="shared" si="1"/>
        <v>32</v>
      </c>
      <c r="F6" s="5">
        <v>31.01</v>
      </c>
      <c r="G6" s="40">
        <v>51200</v>
      </c>
      <c r="H6" s="41">
        <f t="shared" si="2"/>
        <v>1587712</v>
      </c>
      <c r="I6" s="42">
        <v>0</v>
      </c>
      <c r="J6" s="43">
        <v>0</v>
      </c>
      <c r="K6" s="44">
        <v>0</v>
      </c>
      <c r="L6" s="44">
        <v>0</v>
      </c>
      <c r="M6" s="41">
        <f t="shared" si="3"/>
        <v>1587712</v>
      </c>
      <c r="N6" s="41">
        <v>0</v>
      </c>
      <c r="O6" s="40">
        <v>0</v>
      </c>
      <c r="P6" s="42">
        <f t="shared" si="4"/>
        <v>1587712</v>
      </c>
      <c r="Q6" s="5">
        <v>30.95</v>
      </c>
    </row>
    <row r="7" spans="1:17" x14ac:dyDescent="0.25">
      <c r="A7" s="5" t="s">
        <v>34</v>
      </c>
      <c r="B7" s="5" t="s">
        <v>18</v>
      </c>
      <c r="C7" s="6">
        <v>42585</v>
      </c>
      <c r="D7" s="5">
        <f t="shared" si="0"/>
        <v>8</v>
      </c>
      <c r="E7" s="5">
        <f t="shared" si="1"/>
        <v>32</v>
      </c>
      <c r="F7" s="5">
        <v>29.63</v>
      </c>
      <c r="G7" s="40">
        <v>50500</v>
      </c>
      <c r="H7" s="41">
        <f t="shared" si="2"/>
        <v>1496315</v>
      </c>
      <c r="I7" s="42">
        <v>0</v>
      </c>
      <c r="J7" s="43">
        <v>0</v>
      </c>
      <c r="K7" s="44">
        <v>0</v>
      </c>
      <c r="L7" s="44">
        <v>0</v>
      </c>
      <c r="M7" s="41">
        <f t="shared" si="3"/>
        <v>1496315</v>
      </c>
      <c r="N7" s="41">
        <v>0</v>
      </c>
      <c r="O7" s="40">
        <v>0</v>
      </c>
      <c r="P7" s="42">
        <f t="shared" si="4"/>
        <v>1496315</v>
      </c>
      <c r="Q7" s="5">
        <v>29.49</v>
      </c>
    </row>
    <row r="8" spans="1:17" x14ac:dyDescent="0.25">
      <c r="A8" s="5" t="s">
        <v>32</v>
      </c>
      <c r="B8" s="5" t="s">
        <v>15</v>
      </c>
      <c r="C8" s="6">
        <v>42585</v>
      </c>
      <c r="D8" s="5">
        <f t="shared" si="0"/>
        <v>8</v>
      </c>
      <c r="E8" s="5">
        <f t="shared" si="1"/>
        <v>32</v>
      </c>
      <c r="F8" s="5">
        <v>20.95</v>
      </c>
      <c r="G8" s="40">
        <v>50900</v>
      </c>
      <c r="H8" s="41">
        <f t="shared" si="2"/>
        <v>1066355</v>
      </c>
      <c r="I8" s="42">
        <v>0</v>
      </c>
      <c r="J8" s="43">
        <v>0</v>
      </c>
      <c r="K8" s="44">
        <v>0</v>
      </c>
      <c r="L8" s="44">
        <v>0</v>
      </c>
      <c r="M8" s="41">
        <f t="shared" si="3"/>
        <v>1066355</v>
      </c>
      <c r="N8" s="41">
        <v>0</v>
      </c>
      <c r="O8" s="40">
        <v>0</v>
      </c>
      <c r="P8" s="42">
        <f t="shared" si="4"/>
        <v>1066355</v>
      </c>
      <c r="Q8" s="5">
        <v>20.85</v>
      </c>
    </row>
    <row r="9" spans="1:17" x14ac:dyDescent="0.25">
      <c r="A9" s="5" t="s">
        <v>31</v>
      </c>
      <c r="B9" s="5" t="s">
        <v>15</v>
      </c>
      <c r="C9" s="6">
        <v>42585</v>
      </c>
      <c r="D9" s="5">
        <f t="shared" si="0"/>
        <v>8</v>
      </c>
      <c r="E9" s="5">
        <f t="shared" si="1"/>
        <v>32</v>
      </c>
      <c r="F9" s="5">
        <v>29.98</v>
      </c>
      <c r="G9" s="40">
        <v>51928.15</v>
      </c>
      <c r="H9" s="41">
        <f t="shared" si="2"/>
        <v>1556805.9370000002</v>
      </c>
      <c r="I9" s="42">
        <v>0</v>
      </c>
      <c r="J9" s="43">
        <v>0</v>
      </c>
      <c r="K9" s="44">
        <v>0</v>
      </c>
      <c r="L9" s="44">
        <v>0</v>
      </c>
      <c r="M9" s="41">
        <f t="shared" si="3"/>
        <v>1556805.9370000002</v>
      </c>
      <c r="N9" s="41">
        <v>0</v>
      </c>
      <c r="O9" s="40">
        <v>0</v>
      </c>
      <c r="P9" s="42">
        <f t="shared" si="4"/>
        <v>1556805.9370000002</v>
      </c>
      <c r="Q9" s="5">
        <v>29.91</v>
      </c>
    </row>
    <row r="10" spans="1:17" x14ac:dyDescent="0.25">
      <c r="A10" s="5" t="s">
        <v>32</v>
      </c>
      <c r="B10" s="5" t="s">
        <v>15</v>
      </c>
      <c r="C10" s="6">
        <v>42585</v>
      </c>
      <c r="D10" s="5">
        <f t="shared" si="0"/>
        <v>8</v>
      </c>
      <c r="E10" s="5">
        <f t="shared" si="1"/>
        <v>32</v>
      </c>
      <c r="F10" s="5">
        <v>21</v>
      </c>
      <c r="G10" s="40">
        <v>50900</v>
      </c>
      <c r="H10" s="41">
        <f t="shared" si="2"/>
        <v>1068900</v>
      </c>
      <c r="I10" s="42">
        <v>0</v>
      </c>
      <c r="J10" s="43">
        <v>0</v>
      </c>
      <c r="K10" s="44">
        <v>0</v>
      </c>
      <c r="L10" s="44">
        <v>0</v>
      </c>
      <c r="M10" s="41">
        <f t="shared" si="3"/>
        <v>1068900</v>
      </c>
      <c r="N10" s="41">
        <v>0</v>
      </c>
      <c r="O10" s="40">
        <v>0</v>
      </c>
      <c r="P10" s="42">
        <f t="shared" si="4"/>
        <v>1068900</v>
      </c>
      <c r="Q10" s="5">
        <v>20.94</v>
      </c>
    </row>
    <row r="11" spans="1:17" x14ac:dyDescent="0.25">
      <c r="A11" s="5" t="s">
        <v>31</v>
      </c>
      <c r="B11" s="5" t="s">
        <v>15</v>
      </c>
      <c r="C11" s="6">
        <v>42585</v>
      </c>
      <c r="D11" s="5">
        <f t="shared" si="0"/>
        <v>8</v>
      </c>
      <c r="E11" s="5">
        <f t="shared" si="1"/>
        <v>32</v>
      </c>
      <c r="F11" s="5">
        <v>30.35</v>
      </c>
      <c r="G11" s="40">
        <v>53500</v>
      </c>
      <c r="H11" s="41">
        <f t="shared" si="2"/>
        <v>1623725</v>
      </c>
      <c r="I11" s="42">
        <v>0</v>
      </c>
      <c r="J11" s="43">
        <v>0</v>
      </c>
      <c r="K11" s="44">
        <v>0</v>
      </c>
      <c r="L11" s="44">
        <v>0</v>
      </c>
      <c r="M11" s="41">
        <f t="shared" si="3"/>
        <v>1623725</v>
      </c>
      <c r="N11" s="41">
        <v>0</v>
      </c>
      <c r="O11" s="40">
        <v>0</v>
      </c>
      <c r="P11" s="42">
        <f t="shared" si="4"/>
        <v>1623725</v>
      </c>
      <c r="Q11" s="5">
        <v>30.17</v>
      </c>
    </row>
    <row r="12" spans="1:17" x14ac:dyDescent="0.25">
      <c r="A12" s="5" t="s">
        <v>65</v>
      </c>
      <c r="B12" s="5" t="s">
        <v>66</v>
      </c>
      <c r="C12" s="6">
        <v>42586</v>
      </c>
      <c r="D12" s="5">
        <f t="shared" si="0"/>
        <v>8</v>
      </c>
      <c r="E12" s="5">
        <f t="shared" si="1"/>
        <v>32</v>
      </c>
      <c r="F12" s="5">
        <v>20</v>
      </c>
      <c r="G12" s="40">
        <v>50935.31</v>
      </c>
      <c r="H12" s="41">
        <f t="shared" si="2"/>
        <v>1018706.2</v>
      </c>
      <c r="I12" s="42">
        <v>0</v>
      </c>
      <c r="J12" s="43">
        <f>H12*12.5%</f>
        <v>127338.27499999999</v>
      </c>
      <c r="K12" s="44">
        <f>J12*2%</f>
        <v>2546.7655</v>
      </c>
      <c r="L12" s="44">
        <f>J12*1%</f>
        <v>1273.38275</v>
      </c>
      <c r="M12" s="41">
        <f t="shared" si="3"/>
        <v>1149864.6232499999</v>
      </c>
      <c r="N12" s="41">
        <v>0</v>
      </c>
      <c r="O12" s="40">
        <f>M12*4%+1600*F12</f>
        <v>77994.584929999997</v>
      </c>
      <c r="P12" s="42">
        <f t="shared" si="4"/>
        <v>1227859.2081799998</v>
      </c>
      <c r="Q12" s="5">
        <v>19.97</v>
      </c>
    </row>
    <row r="13" spans="1:17" x14ac:dyDescent="0.25">
      <c r="A13" s="5" t="s">
        <v>65</v>
      </c>
      <c r="B13" s="5" t="s">
        <v>66</v>
      </c>
      <c r="C13" s="6">
        <v>42586</v>
      </c>
      <c r="D13" s="5">
        <f t="shared" si="0"/>
        <v>8</v>
      </c>
      <c r="E13" s="5">
        <f t="shared" si="1"/>
        <v>32</v>
      </c>
      <c r="F13" s="5">
        <v>20</v>
      </c>
      <c r="G13" s="40">
        <v>50935.31</v>
      </c>
      <c r="H13" s="41">
        <f t="shared" si="2"/>
        <v>1018706.2</v>
      </c>
      <c r="I13" s="42">
        <v>0</v>
      </c>
      <c r="J13" s="43">
        <f>H13*12.5%</f>
        <v>127338.27499999999</v>
      </c>
      <c r="K13" s="44">
        <f>J13*2%</f>
        <v>2546.7655</v>
      </c>
      <c r="L13" s="44">
        <f>J13*1%</f>
        <v>1273.38275</v>
      </c>
      <c r="M13" s="41">
        <f t="shared" si="3"/>
        <v>1149864.6232499999</v>
      </c>
      <c r="N13" s="41">
        <v>0</v>
      </c>
      <c r="O13" s="40">
        <f>M13*4%+1600*F13</f>
        <v>77994.584929999997</v>
      </c>
      <c r="P13" s="42">
        <f t="shared" si="4"/>
        <v>1227859.2081799998</v>
      </c>
      <c r="Q13" s="5">
        <v>20.02</v>
      </c>
    </row>
    <row r="14" spans="1:17" x14ac:dyDescent="0.25">
      <c r="A14" s="5" t="s">
        <v>65</v>
      </c>
      <c r="B14" s="5" t="s">
        <v>66</v>
      </c>
      <c r="C14" s="6">
        <v>42586</v>
      </c>
      <c r="D14" s="5">
        <f t="shared" si="0"/>
        <v>8</v>
      </c>
      <c r="E14" s="5">
        <f t="shared" si="1"/>
        <v>32</v>
      </c>
      <c r="F14" s="5">
        <v>20</v>
      </c>
      <c r="G14" s="40">
        <v>50935.31</v>
      </c>
      <c r="H14" s="41">
        <f t="shared" si="2"/>
        <v>1018706.2</v>
      </c>
      <c r="I14" s="42">
        <v>0</v>
      </c>
      <c r="J14" s="43">
        <f>H14*12.5%</f>
        <v>127338.27499999999</v>
      </c>
      <c r="K14" s="44">
        <f>J14*2%</f>
        <v>2546.7655</v>
      </c>
      <c r="L14" s="44">
        <f>J14*1%</f>
        <v>1273.38275</v>
      </c>
      <c r="M14" s="41">
        <f t="shared" si="3"/>
        <v>1149864.6232499999</v>
      </c>
      <c r="N14" s="41">
        <v>0</v>
      </c>
      <c r="O14" s="40">
        <f>M14*4%+1600*F14</f>
        <v>77994.584929999997</v>
      </c>
      <c r="P14" s="42">
        <f t="shared" si="4"/>
        <v>1227859.2081799998</v>
      </c>
      <c r="Q14" s="5">
        <v>19.989999999999998</v>
      </c>
    </row>
    <row r="15" spans="1:17" x14ac:dyDescent="0.25">
      <c r="A15" s="5" t="s">
        <v>65</v>
      </c>
      <c r="B15" s="5" t="s">
        <v>66</v>
      </c>
      <c r="C15" s="6">
        <v>42586</v>
      </c>
      <c r="D15" s="5">
        <f t="shared" si="0"/>
        <v>8</v>
      </c>
      <c r="E15" s="5">
        <f t="shared" si="1"/>
        <v>32</v>
      </c>
      <c r="F15" s="5">
        <v>20</v>
      </c>
      <c r="G15" s="40">
        <v>50935.31</v>
      </c>
      <c r="H15" s="41">
        <f t="shared" si="2"/>
        <v>1018706.2</v>
      </c>
      <c r="I15" s="42">
        <v>0</v>
      </c>
      <c r="J15" s="43">
        <f>H15*12.5%</f>
        <v>127338.27499999999</v>
      </c>
      <c r="K15" s="44">
        <f>J15*2%</f>
        <v>2546.7655</v>
      </c>
      <c r="L15" s="44">
        <f>J15*1%</f>
        <v>1273.38275</v>
      </c>
      <c r="M15" s="41">
        <f t="shared" si="3"/>
        <v>1149864.6232499999</v>
      </c>
      <c r="N15" s="41">
        <v>0</v>
      </c>
      <c r="O15" s="40">
        <f>M15*4%+1600*F15</f>
        <v>77994.584929999997</v>
      </c>
      <c r="P15" s="42">
        <f t="shared" si="4"/>
        <v>1227859.2081799998</v>
      </c>
      <c r="Q15" s="5">
        <v>19.850000000000001</v>
      </c>
    </row>
    <row r="16" spans="1:17" x14ac:dyDescent="0.25">
      <c r="A16" s="5" t="s">
        <v>65</v>
      </c>
      <c r="B16" s="5" t="s">
        <v>66</v>
      </c>
      <c r="C16" s="6">
        <v>42586</v>
      </c>
      <c r="D16" s="5">
        <f t="shared" si="0"/>
        <v>8</v>
      </c>
      <c r="E16" s="5">
        <f t="shared" si="1"/>
        <v>32</v>
      </c>
      <c r="F16" s="5">
        <v>20</v>
      </c>
      <c r="G16" s="40">
        <v>50935.31</v>
      </c>
      <c r="H16" s="41">
        <f t="shared" si="2"/>
        <v>1018706.2</v>
      </c>
      <c r="I16" s="42">
        <v>0</v>
      </c>
      <c r="J16" s="43">
        <f>H16*12.5%</f>
        <v>127338.27499999999</v>
      </c>
      <c r="K16" s="44">
        <f>J16*2%</f>
        <v>2546.7655</v>
      </c>
      <c r="L16" s="44">
        <f>J16*1%</f>
        <v>1273.38275</v>
      </c>
      <c r="M16" s="41">
        <f t="shared" si="3"/>
        <v>1149864.6232499999</v>
      </c>
      <c r="N16" s="41">
        <v>0</v>
      </c>
      <c r="O16" s="40">
        <f>M16*4%+1600*F16</f>
        <v>77994.584929999997</v>
      </c>
      <c r="P16" s="42">
        <f t="shared" si="4"/>
        <v>1227859.2081799998</v>
      </c>
      <c r="Q16" s="5">
        <v>20.02</v>
      </c>
    </row>
    <row r="17" spans="1:17" x14ac:dyDescent="0.25">
      <c r="A17" s="5" t="s">
        <v>69</v>
      </c>
      <c r="B17" s="5" t="s">
        <v>18</v>
      </c>
      <c r="C17" s="6">
        <v>42586</v>
      </c>
      <c r="D17" s="5">
        <f t="shared" si="0"/>
        <v>8</v>
      </c>
      <c r="E17" s="5">
        <f t="shared" si="1"/>
        <v>32</v>
      </c>
      <c r="F17" s="5">
        <v>25.43</v>
      </c>
      <c r="G17" s="40">
        <v>49000</v>
      </c>
      <c r="H17" s="41">
        <f t="shared" si="2"/>
        <v>1246070</v>
      </c>
      <c r="I17" s="42">
        <v>0</v>
      </c>
      <c r="J17" s="43">
        <v>0</v>
      </c>
      <c r="K17" s="44">
        <v>0</v>
      </c>
      <c r="L17" s="44">
        <v>0</v>
      </c>
      <c r="M17" s="41">
        <f t="shared" si="3"/>
        <v>1246070</v>
      </c>
      <c r="N17" s="41">
        <v>0</v>
      </c>
      <c r="O17" s="40">
        <v>0</v>
      </c>
      <c r="P17" s="42">
        <f t="shared" si="4"/>
        <v>1246070</v>
      </c>
      <c r="Q17" s="5">
        <v>25.38</v>
      </c>
    </row>
    <row r="18" spans="1:17" x14ac:dyDescent="0.25">
      <c r="A18" s="5" t="s">
        <v>16</v>
      </c>
      <c r="B18" s="5" t="s">
        <v>15</v>
      </c>
      <c r="C18" s="6">
        <v>42587</v>
      </c>
      <c r="D18" s="5">
        <f t="shared" si="0"/>
        <v>8</v>
      </c>
      <c r="E18" s="5">
        <f t="shared" si="1"/>
        <v>32</v>
      </c>
      <c r="F18" s="5">
        <v>31.085000000000001</v>
      </c>
      <c r="G18" s="40">
        <v>54789.15</v>
      </c>
      <c r="H18" s="41">
        <f t="shared" si="2"/>
        <v>1703120.7277500001</v>
      </c>
      <c r="I18" s="42">
        <v>0</v>
      </c>
      <c r="J18" s="43">
        <v>0</v>
      </c>
      <c r="K18" s="44">
        <v>0</v>
      </c>
      <c r="L18" s="44">
        <v>0</v>
      </c>
      <c r="M18" s="41">
        <f t="shared" si="3"/>
        <v>1703120.7277500001</v>
      </c>
      <c r="N18" s="41">
        <v>0</v>
      </c>
      <c r="O18" s="40">
        <v>0</v>
      </c>
      <c r="P18" s="42">
        <f t="shared" si="4"/>
        <v>1703120.7277500001</v>
      </c>
      <c r="Q18" s="5">
        <v>31</v>
      </c>
    </row>
    <row r="19" spans="1:17" x14ac:dyDescent="0.25">
      <c r="A19" s="5" t="s">
        <v>24</v>
      </c>
      <c r="B19" s="5" t="s">
        <v>18</v>
      </c>
      <c r="C19" s="6">
        <v>42587</v>
      </c>
      <c r="D19" s="5">
        <f t="shared" si="0"/>
        <v>8</v>
      </c>
      <c r="E19" s="5">
        <f t="shared" si="1"/>
        <v>32</v>
      </c>
      <c r="F19" s="5">
        <v>28.33</v>
      </c>
      <c r="G19" s="40">
        <v>49000</v>
      </c>
      <c r="H19" s="41">
        <f t="shared" si="2"/>
        <v>1388170</v>
      </c>
      <c r="I19" s="42">
        <v>0</v>
      </c>
      <c r="J19" s="43">
        <v>0</v>
      </c>
      <c r="K19" s="44">
        <v>0</v>
      </c>
      <c r="L19" s="44">
        <v>0</v>
      </c>
      <c r="M19" s="41">
        <f t="shared" si="3"/>
        <v>1388170</v>
      </c>
      <c r="N19" s="41">
        <v>0</v>
      </c>
      <c r="O19" s="40">
        <v>0</v>
      </c>
      <c r="P19" s="42">
        <f t="shared" si="4"/>
        <v>1388170</v>
      </c>
      <c r="Q19" s="5">
        <v>28.27</v>
      </c>
    </row>
    <row r="20" spans="1:17" x14ac:dyDescent="0.25">
      <c r="A20" s="5" t="s">
        <v>67</v>
      </c>
      <c r="B20" s="5" t="s">
        <v>15</v>
      </c>
      <c r="C20" s="6">
        <v>42588</v>
      </c>
      <c r="D20" s="5">
        <f t="shared" si="0"/>
        <v>8</v>
      </c>
      <c r="E20" s="5">
        <f t="shared" si="1"/>
        <v>32</v>
      </c>
      <c r="F20" s="5">
        <v>20.420000000000002</v>
      </c>
      <c r="G20" s="40">
        <v>50808.03</v>
      </c>
      <c r="H20" s="41">
        <f t="shared" si="2"/>
        <v>1037499.9726000001</v>
      </c>
      <c r="I20" s="42">
        <v>0</v>
      </c>
      <c r="J20" s="43">
        <v>0</v>
      </c>
      <c r="K20" s="44">
        <v>0</v>
      </c>
      <c r="L20" s="44">
        <v>0</v>
      </c>
      <c r="M20" s="41">
        <f t="shared" si="3"/>
        <v>1037499.9726000001</v>
      </c>
      <c r="N20" s="41">
        <v>0</v>
      </c>
      <c r="O20" s="40">
        <v>0</v>
      </c>
      <c r="P20" s="42">
        <f t="shared" si="4"/>
        <v>1037499.9726000001</v>
      </c>
      <c r="Q20" s="5">
        <v>20.350000000000001</v>
      </c>
    </row>
    <row r="21" spans="1:17" x14ac:dyDescent="0.25">
      <c r="A21" s="5" t="s">
        <v>65</v>
      </c>
      <c r="B21" s="5" t="s">
        <v>66</v>
      </c>
      <c r="C21" s="6">
        <v>42590</v>
      </c>
      <c r="D21" s="5">
        <f t="shared" si="0"/>
        <v>8</v>
      </c>
      <c r="E21" s="5">
        <f t="shared" si="1"/>
        <v>33</v>
      </c>
      <c r="F21" s="5">
        <v>20</v>
      </c>
      <c r="G21" s="40">
        <v>50935.3</v>
      </c>
      <c r="H21" s="41">
        <f t="shared" si="2"/>
        <v>1018706</v>
      </c>
      <c r="I21" s="42">
        <v>0</v>
      </c>
      <c r="J21" s="43">
        <f>H21*12.5%</f>
        <v>127338.25</v>
      </c>
      <c r="K21" s="44">
        <f>J21*2%</f>
        <v>2546.7649999999999</v>
      </c>
      <c r="L21" s="44">
        <f>J21*1%</f>
        <v>1273.3824999999999</v>
      </c>
      <c r="M21" s="41">
        <f t="shared" si="3"/>
        <v>1149864.3975</v>
      </c>
      <c r="N21" s="41">
        <v>0</v>
      </c>
      <c r="O21" s="40">
        <f>M21*4%+1600*F21</f>
        <v>77994.575899999996</v>
      </c>
      <c r="P21" s="42">
        <f t="shared" si="4"/>
        <v>1227858.9734</v>
      </c>
      <c r="Q21" s="5">
        <v>19.86</v>
      </c>
    </row>
    <row r="22" spans="1:17" x14ac:dyDescent="0.25">
      <c r="A22" s="5" t="s">
        <v>65</v>
      </c>
      <c r="B22" s="5" t="s">
        <v>66</v>
      </c>
      <c r="C22" s="6">
        <v>42590</v>
      </c>
      <c r="D22" s="5">
        <f t="shared" si="0"/>
        <v>8</v>
      </c>
      <c r="E22" s="5">
        <f t="shared" si="1"/>
        <v>33</v>
      </c>
      <c r="F22" s="5">
        <v>20.63</v>
      </c>
      <c r="G22" s="40">
        <v>50935.3</v>
      </c>
      <c r="H22" s="41">
        <f t="shared" si="2"/>
        <v>1050795.2390000001</v>
      </c>
      <c r="I22" s="42">
        <v>0</v>
      </c>
      <c r="J22" s="43">
        <f>H22*12.5%</f>
        <v>131349.40487500001</v>
      </c>
      <c r="K22" s="44">
        <f>J22*2%</f>
        <v>2626.9880975000001</v>
      </c>
      <c r="L22" s="44">
        <f>J22*1%</f>
        <v>1313.49404875</v>
      </c>
      <c r="M22" s="41">
        <f t="shared" si="3"/>
        <v>1186085.1260212502</v>
      </c>
      <c r="N22" s="41">
        <v>0</v>
      </c>
      <c r="O22" s="40">
        <f>M22*4%+1600*F22</f>
        <v>80451.405040850004</v>
      </c>
      <c r="P22" s="42">
        <f t="shared" si="4"/>
        <v>1266536.5310621001</v>
      </c>
      <c r="Q22" s="5">
        <v>20.66</v>
      </c>
    </row>
    <row r="23" spans="1:17" x14ac:dyDescent="0.25">
      <c r="A23" s="5" t="s">
        <v>65</v>
      </c>
      <c r="B23" s="5" t="s">
        <v>66</v>
      </c>
      <c r="C23" s="6">
        <v>42590</v>
      </c>
      <c r="D23" s="5">
        <f t="shared" si="0"/>
        <v>8</v>
      </c>
      <c r="E23" s="5">
        <f t="shared" si="1"/>
        <v>33</v>
      </c>
      <c r="F23" s="5">
        <v>20.190000000000001</v>
      </c>
      <c r="G23" s="40">
        <v>50935.3</v>
      </c>
      <c r="H23" s="41">
        <f t="shared" si="2"/>
        <v>1028383.7070000002</v>
      </c>
      <c r="I23" s="42">
        <v>0</v>
      </c>
      <c r="J23" s="43">
        <f>H23*12.5%</f>
        <v>128547.96337500002</v>
      </c>
      <c r="K23" s="44">
        <f>J23*2%</f>
        <v>2570.9592675000004</v>
      </c>
      <c r="L23" s="44">
        <f>J23*1%</f>
        <v>1285.4796337500002</v>
      </c>
      <c r="M23" s="41">
        <f t="shared" si="3"/>
        <v>1160788.1092762502</v>
      </c>
      <c r="N23" s="41">
        <v>0</v>
      </c>
      <c r="O23" s="40">
        <f>M23*4%+1600*F23</f>
        <v>78735.524371050007</v>
      </c>
      <c r="P23" s="42">
        <f t="shared" si="4"/>
        <v>1239523.6336473003</v>
      </c>
      <c r="Q23" s="5">
        <v>20.239999999999998</v>
      </c>
    </row>
    <row r="24" spans="1:17" x14ac:dyDescent="0.25">
      <c r="A24" s="5" t="s">
        <v>65</v>
      </c>
      <c r="B24" s="5" t="s">
        <v>66</v>
      </c>
      <c r="C24" s="6">
        <v>42590</v>
      </c>
      <c r="D24" s="5">
        <f t="shared" si="0"/>
        <v>8</v>
      </c>
      <c r="E24" s="5">
        <f t="shared" si="1"/>
        <v>33</v>
      </c>
      <c r="F24" s="5">
        <v>19.75</v>
      </c>
      <c r="G24" s="40">
        <v>50935.3</v>
      </c>
      <c r="H24" s="41">
        <f t="shared" si="2"/>
        <v>1005972.175</v>
      </c>
      <c r="I24" s="42">
        <v>0</v>
      </c>
      <c r="J24" s="43">
        <f>H24*12.5%</f>
        <v>125746.52187500001</v>
      </c>
      <c r="K24" s="44">
        <f>J24*2%</f>
        <v>2514.9304375000002</v>
      </c>
      <c r="L24" s="44">
        <f>J24*1%</f>
        <v>1257.4652187500001</v>
      </c>
      <c r="M24" s="41">
        <f t="shared" si="3"/>
        <v>1135491.0925312501</v>
      </c>
      <c r="N24" s="41">
        <v>0</v>
      </c>
      <c r="O24" s="40">
        <f>M24*4%+1600*F24</f>
        <v>77019.643701249996</v>
      </c>
      <c r="P24" s="42">
        <f t="shared" si="4"/>
        <v>1212510.7362325001</v>
      </c>
      <c r="Q24" s="5">
        <v>19.84</v>
      </c>
    </row>
    <row r="25" spans="1:17" x14ac:dyDescent="0.25">
      <c r="A25" s="5" t="s">
        <v>65</v>
      </c>
      <c r="B25" s="5" t="s">
        <v>66</v>
      </c>
      <c r="C25" s="6">
        <v>42590</v>
      </c>
      <c r="D25" s="5">
        <f t="shared" si="0"/>
        <v>8</v>
      </c>
      <c r="E25" s="5">
        <f t="shared" si="1"/>
        <v>33</v>
      </c>
      <c r="F25" s="5">
        <v>19.75</v>
      </c>
      <c r="G25" s="40">
        <v>50935.3</v>
      </c>
      <c r="H25" s="41">
        <f t="shared" si="2"/>
        <v>1005972.175</v>
      </c>
      <c r="I25" s="42">
        <v>0</v>
      </c>
      <c r="J25" s="43">
        <f>H25*12.5%</f>
        <v>125746.52187500001</v>
      </c>
      <c r="K25" s="44">
        <f>J25*2%</f>
        <v>2514.9304375000002</v>
      </c>
      <c r="L25" s="44">
        <f>J25*1%</f>
        <v>1257.4652187500001</v>
      </c>
      <c r="M25" s="41">
        <f t="shared" si="3"/>
        <v>1135491.0925312501</v>
      </c>
      <c r="N25" s="41">
        <v>0</v>
      </c>
      <c r="O25" s="40">
        <f>M25*4%+1600*F25</f>
        <v>77019.643701249996</v>
      </c>
      <c r="P25" s="42">
        <f t="shared" si="4"/>
        <v>1212510.7362325001</v>
      </c>
      <c r="Q25" s="5">
        <v>19.63</v>
      </c>
    </row>
    <row r="26" spans="1:17" x14ac:dyDescent="0.25">
      <c r="A26" s="5" t="s">
        <v>12</v>
      </c>
      <c r="B26" s="5" t="s">
        <v>13</v>
      </c>
      <c r="C26" s="6">
        <v>42590</v>
      </c>
      <c r="D26" s="5">
        <f t="shared" si="0"/>
        <v>8</v>
      </c>
      <c r="E26" s="5">
        <f t="shared" si="1"/>
        <v>33</v>
      </c>
      <c r="F26" s="5">
        <v>25.18</v>
      </c>
      <c r="G26" s="40">
        <v>53431.4</v>
      </c>
      <c r="H26" s="41">
        <f t="shared" si="2"/>
        <v>1345402.652</v>
      </c>
      <c r="I26" s="42">
        <v>0</v>
      </c>
      <c r="J26" s="43">
        <v>0</v>
      </c>
      <c r="K26" s="44">
        <v>0</v>
      </c>
      <c r="L26" s="44">
        <v>0</v>
      </c>
      <c r="M26" s="41">
        <f t="shared" si="3"/>
        <v>1345402.652</v>
      </c>
      <c r="N26" s="41">
        <f>M26*2%</f>
        <v>26908.053039999999</v>
      </c>
      <c r="O26" s="40">
        <v>0</v>
      </c>
      <c r="P26" s="42">
        <f t="shared" si="4"/>
        <v>1372310.7050399999</v>
      </c>
      <c r="Q26" s="5">
        <v>25.04</v>
      </c>
    </row>
    <row r="27" spans="1:17" x14ac:dyDescent="0.25">
      <c r="A27" s="5" t="s">
        <v>102</v>
      </c>
      <c r="B27" s="5" t="s">
        <v>18</v>
      </c>
      <c r="C27" s="6">
        <v>42592</v>
      </c>
      <c r="D27" s="5">
        <f t="shared" si="0"/>
        <v>8</v>
      </c>
      <c r="E27" s="5">
        <f t="shared" si="1"/>
        <v>33</v>
      </c>
      <c r="F27" s="5">
        <v>33.21</v>
      </c>
      <c r="G27" s="40">
        <v>41500</v>
      </c>
      <c r="H27" s="41">
        <f t="shared" si="2"/>
        <v>1378215</v>
      </c>
      <c r="I27" s="42">
        <v>0</v>
      </c>
      <c r="J27" s="43">
        <f>H27*12.5%</f>
        <v>172276.875</v>
      </c>
      <c r="K27" s="44">
        <v>0</v>
      </c>
      <c r="L27" s="44">
        <v>0</v>
      </c>
      <c r="M27" s="41">
        <f t="shared" si="3"/>
        <v>1550491.875</v>
      </c>
      <c r="N27" s="41">
        <f>M27*2%</f>
        <v>31009.837500000001</v>
      </c>
      <c r="O27" s="40">
        <f>3200*F27</f>
        <v>106272</v>
      </c>
      <c r="P27" s="42">
        <f t="shared" si="4"/>
        <v>1687773.7124999999</v>
      </c>
      <c r="Q27" s="5">
        <v>33.18</v>
      </c>
    </row>
    <row r="28" spans="1:17" x14ac:dyDescent="0.25">
      <c r="A28" s="5" t="s">
        <v>102</v>
      </c>
      <c r="B28" s="5" t="s">
        <v>18</v>
      </c>
      <c r="C28" s="6">
        <v>42593</v>
      </c>
      <c r="D28" s="5">
        <f t="shared" si="0"/>
        <v>8</v>
      </c>
      <c r="E28" s="5">
        <f t="shared" si="1"/>
        <v>33</v>
      </c>
      <c r="F28" s="5">
        <v>31.69</v>
      </c>
      <c r="G28" s="40">
        <v>41500</v>
      </c>
      <c r="H28" s="41">
        <f t="shared" si="2"/>
        <v>1315135</v>
      </c>
      <c r="I28" s="42">
        <v>0</v>
      </c>
      <c r="J28" s="43">
        <f>H28*12.5%</f>
        <v>164391.875</v>
      </c>
      <c r="K28" s="44">
        <v>0</v>
      </c>
      <c r="L28" s="44">
        <v>0</v>
      </c>
      <c r="M28" s="41">
        <f t="shared" si="3"/>
        <v>1479526.875</v>
      </c>
      <c r="N28" s="41">
        <f>M28*2%</f>
        <v>29590.537500000002</v>
      </c>
      <c r="O28" s="40">
        <f>3200*F28</f>
        <v>101408</v>
      </c>
      <c r="P28" s="42">
        <f t="shared" si="4"/>
        <v>1610525.4125000001</v>
      </c>
      <c r="Q28" s="5">
        <v>31.6</v>
      </c>
    </row>
    <row r="29" spans="1:17" x14ac:dyDescent="0.25">
      <c r="A29" s="5" t="s">
        <v>12</v>
      </c>
      <c r="B29" s="5" t="s">
        <v>13</v>
      </c>
      <c r="C29" s="6">
        <v>42593</v>
      </c>
      <c r="D29" s="5">
        <f t="shared" si="0"/>
        <v>8</v>
      </c>
      <c r="E29" s="5">
        <f t="shared" si="1"/>
        <v>33</v>
      </c>
      <c r="F29" s="5">
        <v>27.85</v>
      </c>
      <c r="G29" s="40">
        <v>53431.4</v>
      </c>
      <c r="H29" s="41">
        <f t="shared" si="2"/>
        <v>1488064.4900000002</v>
      </c>
      <c r="I29" s="42">
        <v>0</v>
      </c>
      <c r="J29" s="43">
        <v>0</v>
      </c>
      <c r="K29" s="44">
        <v>0</v>
      </c>
      <c r="L29" s="44">
        <v>0</v>
      </c>
      <c r="M29" s="41">
        <f t="shared" si="3"/>
        <v>1488064.4900000002</v>
      </c>
      <c r="N29" s="41">
        <f>M29*2%</f>
        <v>29761.289800000006</v>
      </c>
      <c r="O29" s="40">
        <v>0</v>
      </c>
      <c r="P29" s="42">
        <f t="shared" si="4"/>
        <v>1517825.7798000001</v>
      </c>
      <c r="Q29" s="5">
        <v>27.71</v>
      </c>
    </row>
    <row r="30" spans="1:17" x14ac:dyDescent="0.25">
      <c r="A30" s="5" t="s">
        <v>32</v>
      </c>
      <c r="B30" s="5" t="s">
        <v>15</v>
      </c>
      <c r="C30" s="6">
        <v>42593</v>
      </c>
      <c r="D30" s="5">
        <f t="shared" si="0"/>
        <v>8</v>
      </c>
      <c r="E30" s="5">
        <f t="shared" si="1"/>
        <v>33</v>
      </c>
      <c r="F30" s="5">
        <v>19.649999999999999</v>
      </c>
      <c r="G30" s="40">
        <v>50855.21</v>
      </c>
      <c r="H30" s="41">
        <f t="shared" si="2"/>
        <v>999304.8764999999</v>
      </c>
      <c r="I30" s="42">
        <v>0</v>
      </c>
      <c r="J30" s="43">
        <v>0</v>
      </c>
      <c r="K30" s="44">
        <v>0</v>
      </c>
      <c r="L30" s="44">
        <v>0</v>
      </c>
      <c r="M30" s="41">
        <f t="shared" si="3"/>
        <v>999304.8764999999</v>
      </c>
      <c r="N30" s="41">
        <v>0</v>
      </c>
      <c r="O30" s="40">
        <v>0</v>
      </c>
      <c r="P30" s="42">
        <f t="shared" si="4"/>
        <v>999304.8764999999</v>
      </c>
      <c r="Q30" s="5">
        <v>19.64</v>
      </c>
    </row>
    <row r="31" spans="1:17" x14ac:dyDescent="0.25">
      <c r="A31" s="5" t="s">
        <v>31</v>
      </c>
      <c r="B31" s="5" t="s">
        <v>15</v>
      </c>
      <c r="C31" s="6">
        <v>42593</v>
      </c>
      <c r="D31" s="5">
        <f t="shared" si="0"/>
        <v>8</v>
      </c>
      <c r="E31" s="5">
        <f t="shared" si="1"/>
        <v>33</v>
      </c>
      <c r="F31" s="5">
        <v>20.170000000000002</v>
      </c>
      <c r="G31" s="40">
        <v>50700</v>
      </c>
      <c r="H31" s="41">
        <f t="shared" si="2"/>
        <v>1022619.0000000001</v>
      </c>
      <c r="I31" s="42">
        <v>0</v>
      </c>
      <c r="J31" s="43">
        <v>0</v>
      </c>
      <c r="K31" s="44">
        <v>0</v>
      </c>
      <c r="L31" s="44">
        <v>0</v>
      </c>
      <c r="M31" s="41">
        <f t="shared" si="3"/>
        <v>1022619.0000000001</v>
      </c>
      <c r="N31" s="41">
        <v>0</v>
      </c>
      <c r="O31" s="40">
        <v>0</v>
      </c>
      <c r="P31" s="42">
        <f t="shared" si="4"/>
        <v>1022619.0000000001</v>
      </c>
      <c r="Q31" s="5">
        <v>20.2</v>
      </c>
    </row>
    <row r="32" spans="1:17" x14ac:dyDescent="0.25">
      <c r="A32" s="5" t="s">
        <v>102</v>
      </c>
      <c r="B32" s="5" t="s">
        <v>18</v>
      </c>
      <c r="C32" s="6">
        <v>42598</v>
      </c>
      <c r="D32" s="5">
        <f t="shared" si="0"/>
        <v>8</v>
      </c>
      <c r="E32" s="5">
        <f t="shared" si="1"/>
        <v>34</v>
      </c>
      <c r="F32" s="5">
        <v>33.090000000000003</v>
      </c>
      <c r="G32" s="40">
        <v>41500</v>
      </c>
      <c r="H32" s="41">
        <f t="shared" si="2"/>
        <v>1373235.0000000002</v>
      </c>
      <c r="I32" s="42">
        <v>0</v>
      </c>
      <c r="J32" s="43">
        <f>H32*12.5%</f>
        <v>171654.37500000003</v>
      </c>
      <c r="K32" s="44">
        <v>0</v>
      </c>
      <c r="L32" s="44">
        <v>0</v>
      </c>
      <c r="M32" s="41">
        <f t="shared" si="3"/>
        <v>1544889.3750000002</v>
      </c>
      <c r="N32" s="41">
        <f>M32*2%</f>
        <v>30897.787500000006</v>
      </c>
      <c r="O32" s="40">
        <f>3200*F32</f>
        <v>105888.00000000001</v>
      </c>
      <c r="P32" s="42">
        <f t="shared" si="4"/>
        <v>1681675.1625000003</v>
      </c>
      <c r="Q32" s="5">
        <v>33.06</v>
      </c>
    </row>
    <row r="33" spans="1:17" x14ac:dyDescent="0.25">
      <c r="A33" s="5" t="s">
        <v>102</v>
      </c>
      <c r="B33" s="5" t="s">
        <v>18</v>
      </c>
      <c r="C33" s="6">
        <v>42598</v>
      </c>
      <c r="D33" s="5">
        <f t="shared" si="0"/>
        <v>8</v>
      </c>
      <c r="E33" s="5">
        <f t="shared" si="1"/>
        <v>34</v>
      </c>
      <c r="F33" s="5">
        <v>31.75</v>
      </c>
      <c r="G33" s="40">
        <v>41500</v>
      </c>
      <c r="H33" s="41">
        <f t="shared" si="2"/>
        <v>1317625</v>
      </c>
      <c r="I33" s="42">
        <v>0</v>
      </c>
      <c r="J33" s="43">
        <f>H33*12.5%</f>
        <v>164703.125</v>
      </c>
      <c r="K33" s="44">
        <v>0</v>
      </c>
      <c r="L33" s="44">
        <v>0</v>
      </c>
      <c r="M33" s="41">
        <f t="shared" si="3"/>
        <v>1482328.125</v>
      </c>
      <c r="N33" s="41">
        <f>M33*2%</f>
        <v>29646.5625</v>
      </c>
      <c r="O33" s="40">
        <f>3200*F33</f>
        <v>101600</v>
      </c>
      <c r="P33" s="42">
        <f t="shared" si="4"/>
        <v>1613574.6875</v>
      </c>
      <c r="Q33" s="5">
        <v>31.69</v>
      </c>
    </row>
    <row r="34" spans="1:17" x14ac:dyDescent="0.25">
      <c r="A34" s="5" t="s">
        <v>34</v>
      </c>
      <c r="B34" s="5" t="s">
        <v>18</v>
      </c>
      <c r="C34" s="6">
        <v>42598</v>
      </c>
      <c r="D34" s="5">
        <f t="shared" si="0"/>
        <v>8</v>
      </c>
      <c r="E34" s="5">
        <f t="shared" si="1"/>
        <v>34</v>
      </c>
      <c r="F34" s="5">
        <v>31.29</v>
      </c>
      <c r="G34" s="40">
        <v>50500</v>
      </c>
      <c r="H34" s="41">
        <f t="shared" si="2"/>
        <v>1580145</v>
      </c>
      <c r="I34" s="42">
        <v>0</v>
      </c>
      <c r="J34" s="43">
        <v>0</v>
      </c>
      <c r="K34" s="44">
        <v>0</v>
      </c>
      <c r="L34" s="44">
        <v>0</v>
      </c>
      <c r="M34" s="41">
        <f t="shared" si="3"/>
        <v>1580145</v>
      </c>
      <c r="N34" s="41">
        <v>0</v>
      </c>
      <c r="O34" s="40">
        <v>0</v>
      </c>
      <c r="P34" s="42">
        <f t="shared" si="4"/>
        <v>1580145</v>
      </c>
      <c r="Q34" s="5">
        <v>31.16</v>
      </c>
    </row>
    <row r="35" spans="1:17" x14ac:dyDescent="0.25">
      <c r="A35" s="5" t="s">
        <v>69</v>
      </c>
      <c r="B35" s="5" t="s">
        <v>15</v>
      </c>
      <c r="C35" s="6">
        <v>42599</v>
      </c>
      <c r="D35" s="5">
        <f t="shared" si="0"/>
        <v>8</v>
      </c>
      <c r="E35" s="5">
        <f t="shared" si="1"/>
        <v>34</v>
      </c>
      <c r="F35" s="5">
        <v>20.76</v>
      </c>
      <c r="G35" s="40">
        <v>45957.8</v>
      </c>
      <c r="H35" s="41">
        <f t="shared" si="2"/>
        <v>954083.92800000019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3"/>
        <v>954083.92800000019</v>
      </c>
      <c r="N35" s="41">
        <v>0</v>
      </c>
      <c r="O35" s="40">
        <v>0</v>
      </c>
      <c r="P35" s="42">
        <f t="shared" si="4"/>
        <v>954083.92800000019</v>
      </c>
      <c r="Q35" s="5">
        <v>20.91</v>
      </c>
    </row>
    <row r="36" spans="1:17" x14ac:dyDescent="0.25">
      <c r="A36" s="5" t="s">
        <v>32</v>
      </c>
      <c r="B36" s="5" t="s">
        <v>15</v>
      </c>
      <c r="C36" s="6">
        <v>42602</v>
      </c>
      <c r="D36" s="5">
        <f t="shared" si="0"/>
        <v>8</v>
      </c>
      <c r="E36" s="5">
        <f t="shared" si="1"/>
        <v>34</v>
      </c>
      <c r="F36" s="5">
        <v>25.52</v>
      </c>
      <c r="G36" s="40">
        <v>50700</v>
      </c>
      <c r="H36" s="41">
        <f t="shared" si="2"/>
        <v>1293864</v>
      </c>
      <c r="I36" s="42">
        <v>0</v>
      </c>
      <c r="J36" s="43">
        <v>0</v>
      </c>
      <c r="K36" s="44">
        <v>0</v>
      </c>
      <c r="L36" s="44">
        <v>0</v>
      </c>
      <c r="M36" s="41">
        <f t="shared" si="3"/>
        <v>1293864</v>
      </c>
      <c r="N36" s="41">
        <v>0</v>
      </c>
      <c r="O36" s="40">
        <v>0</v>
      </c>
      <c r="P36" s="42">
        <f t="shared" si="4"/>
        <v>1293864</v>
      </c>
      <c r="Q36" s="5">
        <v>25.49</v>
      </c>
    </row>
    <row r="37" spans="1:17" x14ac:dyDescent="0.25">
      <c r="A37" s="5" t="s">
        <v>21</v>
      </c>
      <c r="B37" s="5" t="s">
        <v>15</v>
      </c>
      <c r="C37" s="6">
        <v>42603</v>
      </c>
      <c r="D37" s="5">
        <f t="shared" si="0"/>
        <v>8</v>
      </c>
      <c r="E37" s="5">
        <f t="shared" si="1"/>
        <v>35</v>
      </c>
      <c r="F37" s="5">
        <v>26.43</v>
      </c>
      <c r="G37" s="40">
        <v>50700</v>
      </c>
      <c r="H37" s="41">
        <f t="shared" si="2"/>
        <v>1340001</v>
      </c>
      <c r="I37" s="42">
        <v>0</v>
      </c>
      <c r="J37" s="43">
        <v>0</v>
      </c>
      <c r="K37" s="44">
        <v>0</v>
      </c>
      <c r="L37" s="44">
        <v>0</v>
      </c>
      <c r="M37" s="41">
        <f t="shared" si="3"/>
        <v>1340001</v>
      </c>
      <c r="N37" s="41">
        <v>0</v>
      </c>
      <c r="O37" s="40">
        <v>0</v>
      </c>
      <c r="P37" s="42">
        <f t="shared" si="4"/>
        <v>1340001</v>
      </c>
      <c r="Q37" s="5">
        <v>26.59</v>
      </c>
    </row>
    <row r="38" spans="1:17" x14ac:dyDescent="0.25">
      <c r="A38" s="5" t="s">
        <v>12</v>
      </c>
      <c r="B38" s="5" t="s">
        <v>13</v>
      </c>
      <c r="C38" s="6">
        <v>42612</v>
      </c>
      <c r="D38" s="5">
        <f t="shared" si="0"/>
        <v>8</v>
      </c>
      <c r="E38" s="5">
        <f t="shared" si="1"/>
        <v>36</v>
      </c>
      <c r="F38" s="5">
        <v>29.91</v>
      </c>
      <c r="G38" s="40">
        <v>54215.7</v>
      </c>
      <c r="H38" s="41">
        <f t="shared" si="2"/>
        <v>1621591.5869999998</v>
      </c>
      <c r="I38" s="42">
        <v>0</v>
      </c>
      <c r="J38" s="43">
        <v>0</v>
      </c>
      <c r="K38" s="44">
        <v>0</v>
      </c>
      <c r="L38" s="44">
        <v>0</v>
      </c>
      <c r="M38" s="41">
        <f t="shared" si="3"/>
        <v>1621591.5869999998</v>
      </c>
      <c r="N38" s="41">
        <f>M38*2%</f>
        <v>32431.831739999998</v>
      </c>
      <c r="O38" s="40">
        <v>0</v>
      </c>
      <c r="P38" s="42">
        <f t="shared" si="4"/>
        <v>1654023.4187399999</v>
      </c>
      <c r="Q38" s="5">
        <v>29.79</v>
      </c>
    </row>
    <row r="39" spans="1:17" x14ac:dyDescent="0.25">
      <c r="A39" s="5" t="s">
        <v>12</v>
      </c>
      <c r="B39" s="5" t="s">
        <v>13</v>
      </c>
      <c r="C39" s="6">
        <v>42608</v>
      </c>
      <c r="D39" s="5">
        <f t="shared" si="0"/>
        <v>8</v>
      </c>
      <c r="E39" s="5">
        <f t="shared" si="1"/>
        <v>35</v>
      </c>
      <c r="F39" s="5">
        <v>28.79</v>
      </c>
      <c r="G39" s="40">
        <v>54215.7</v>
      </c>
      <c r="H39" s="41">
        <f t="shared" si="2"/>
        <v>1560870.0029999998</v>
      </c>
      <c r="I39" s="42">
        <v>0</v>
      </c>
      <c r="J39" s="43">
        <v>0</v>
      </c>
      <c r="K39" s="44">
        <v>0</v>
      </c>
      <c r="L39" s="44">
        <v>0</v>
      </c>
      <c r="M39" s="41">
        <f t="shared" si="3"/>
        <v>1560870.0029999998</v>
      </c>
      <c r="N39" s="41">
        <f>M39*2%</f>
        <v>31217.400059999996</v>
      </c>
      <c r="O39" s="40">
        <v>0</v>
      </c>
      <c r="P39" s="42">
        <f t="shared" si="4"/>
        <v>1592087.4030599997</v>
      </c>
      <c r="Q39" s="5">
        <v>28.69</v>
      </c>
    </row>
    <row r="40" spans="1:17" x14ac:dyDescent="0.25">
      <c r="A40" s="5" t="s">
        <v>12</v>
      </c>
      <c r="B40" s="5" t="s">
        <v>13</v>
      </c>
      <c r="C40" s="6">
        <v>42609</v>
      </c>
      <c r="D40" s="5">
        <f t="shared" si="0"/>
        <v>8</v>
      </c>
      <c r="E40" s="5">
        <f t="shared" si="1"/>
        <v>35</v>
      </c>
      <c r="F40" s="5">
        <v>31.77</v>
      </c>
      <c r="G40" s="40">
        <v>54215.7</v>
      </c>
      <c r="H40" s="41">
        <f t="shared" si="2"/>
        <v>1722432.7889999999</v>
      </c>
      <c r="I40" s="42">
        <v>0</v>
      </c>
      <c r="J40" s="43">
        <v>0</v>
      </c>
      <c r="K40" s="44">
        <v>0</v>
      </c>
      <c r="L40" s="44">
        <v>0</v>
      </c>
      <c r="M40" s="41">
        <f t="shared" si="3"/>
        <v>1722432.7889999999</v>
      </c>
      <c r="N40" s="41">
        <f>M40*2%</f>
        <v>34448.655780000001</v>
      </c>
      <c r="O40" s="40">
        <v>0</v>
      </c>
      <c r="P40" s="42">
        <f t="shared" si="4"/>
        <v>1756881.4447799998</v>
      </c>
      <c r="Q40" s="5">
        <v>31.61</v>
      </c>
    </row>
    <row r="41" spans="1:17" x14ac:dyDescent="0.25">
      <c r="A41" s="5" t="s">
        <v>33</v>
      </c>
      <c r="B41" s="5" t="s">
        <v>15</v>
      </c>
      <c r="C41" s="6">
        <v>42610</v>
      </c>
      <c r="D41" s="5">
        <f t="shared" si="0"/>
        <v>8</v>
      </c>
      <c r="E41" s="5">
        <f t="shared" si="1"/>
        <v>36</v>
      </c>
      <c r="F41" s="5">
        <v>27.45</v>
      </c>
      <c r="G41" s="40">
        <v>50900</v>
      </c>
      <c r="H41" s="41">
        <f t="shared" si="2"/>
        <v>1397205</v>
      </c>
      <c r="I41" s="42">
        <v>0</v>
      </c>
      <c r="J41" s="43">
        <v>0</v>
      </c>
      <c r="K41" s="44">
        <v>0</v>
      </c>
      <c r="L41" s="44">
        <v>0</v>
      </c>
      <c r="M41" s="41">
        <f t="shared" si="3"/>
        <v>1397205</v>
      </c>
      <c r="N41" s="41">
        <v>0</v>
      </c>
      <c r="O41" s="40">
        <v>0</v>
      </c>
      <c r="P41" s="42">
        <f t="shared" si="4"/>
        <v>1397205</v>
      </c>
      <c r="Q41" s="5">
        <v>27.34</v>
      </c>
    </row>
    <row r="42" spans="1:17" x14ac:dyDescent="0.25">
      <c r="A42" s="5" t="s">
        <v>24</v>
      </c>
      <c r="B42" s="5" t="s">
        <v>18</v>
      </c>
      <c r="C42" s="6">
        <v>42607</v>
      </c>
      <c r="D42" s="5">
        <f t="shared" si="0"/>
        <v>8</v>
      </c>
      <c r="E42" s="5">
        <f t="shared" si="1"/>
        <v>35</v>
      </c>
      <c r="F42" s="5">
        <v>27.63</v>
      </c>
      <c r="G42" s="40">
        <v>49700</v>
      </c>
      <c r="H42" s="41">
        <f t="shared" si="2"/>
        <v>1373211</v>
      </c>
      <c r="I42" s="42">
        <v>0</v>
      </c>
      <c r="J42" s="43">
        <v>0</v>
      </c>
      <c r="K42" s="44">
        <v>0</v>
      </c>
      <c r="L42" s="44">
        <v>0</v>
      </c>
      <c r="M42" s="41">
        <f t="shared" si="3"/>
        <v>1373211</v>
      </c>
      <c r="N42" s="41">
        <v>0</v>
      </c>
      <c r="O42" s="40">
        <v>0</v>
      </c>
      <c r="P42" s="42">
        <f t="shared" si="4"/>
        <v>1373211</v>
      </c>
      <c r="Q42" s="5">
        <v>27.5</v>
      </c>
    </row>
    <row r="43" spans="1:17" x14ac:dyDescent="0.25">
      <c r="A43" s="5" t="s">
        <v>30</v>
      </c>
      <c r="B43" s="5" t="s">
        <v>15</v>
      </c>
      <c r="C43" s="6">
        <v>42613</v>
      </c>
      <c r="D43" s="5">
        <f t="shared" si="0"/>
        <v>8</v>
      </c>
      <c r="E43" s="5">
        <f t="shared" si="1"/>
        <v>36</v>
      </c>
      <c r="F43" s="5">
        <v>29.04</v>
      </c>
      <c r="G43" s="40">
        <v>50900</v>
      </c>
      <c r="H43" s="41">
        <f t="shared" si="2"/>
        <v>1478136</v>
      </c>
      <c r="I43" s="42">
        <v>0</v>
      </c>
      <c r="J43" s="43">
        <v>0</v>
      </c>
      <c r="K43" s="44">
        <v>0</v>
      </c>
      <c r="L43" s="44">
        <v>0</v>
      </c>
      <c r="M43" s="41">
        <f t="shared" si="3"/>
        <v>1478136</v>
      </c>
      <c r="N43" s="41">
        <v>0</v>
      </c>
      <c r="O43" s="40">
        <v>0</v>
      </c>
      <c r="P43" s="42">
        <f t="shared" si="4"/>
        <v>1478136</v>
      </c>
      <c r="Q43" s="5">
        <v>28.86</v>
      </c>
    </row>
    <row r="44" spans="1:17" x14ac:dyDescent="0.25">
      <c r="A44" s="5" t="s">
        <v>33</v>
      </c>
      <c r="B44" s="5" t="s">
        <v>15</v>
      </c>
      <c r="C44" s="6">
        <v>42613</v>
      </c>
      <c r="D44" s="5">
        <f t="shared" si="0"/>
        <v>8</v>
      </c>
      <c r="E44" s="5">
        <f t="shared" si="1"/>
        <v>36</v>
      </c>
      <c r="F44" s="5">
        <v>26.85</v>
      </c>
      <c r="G44" s="40">
        <v>57500</v>
      </c>
      <c r="H44" s="41">
        <f t="shared" si="2"/>
        <v>1543875</v>
      </c>
      <c r="I44" s="42">
        <v>0</v>
      </c>
      <c r="J44" s="43">
        <v>0</v>
      </c>
      <c r="K44" s="44">
        <v>0</v>
      </c>
      <c r="L44" s="44">
        <v>0</v>
      </c>
      <c r="M44" s="41">
        <f t="shared" si="3"/>
        <v>1543875</v>
      </c>
      <c r="N44" s="41">
        <v>0</v>
      </c>
      <c r="O44" s="40">
        <v>0</v>
      </c>
      <c r="P44" s="42">
        <f t="shared" si="4"/>
        <v>1543875</v>
      </c>
      <c r="Q44" s="5">
        <v>26.86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C1" workbookViewId="0">
      <selection activeCell="A2" sqref="A2: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425781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32</v>
      </c>
      <c r="B2" s="5" t="s">
        <v>15</v>
      </c>
      <c r="C2" s="6">
        <v>42614</v>
      </c>
      <c r="D2" s="5">
        <f>MONTH(C2)</f>
        <v>9</v>
      </c>
      <c r="E2" s="5">
        <f>WEEKNUM(C2)</f>
        <v>36</v>
      </c>
      <c r="F2" s="5">
        <v>20.32</v>
      </c>
      <c r="G2" s="40">
        <v>50700</v>
      </c>
      <c r="H2" s="41">
        <f t="shared" ref="H2:H52" si="0">+F2*G2</f>
        <v>1030224</v>
      </c>
      <c r="I2" s="42">
        <v>0</v>
      </c>
      <c r="J2" s="43">
        <v>0</v>
      </c>
      <c r="K2" s="44">
        <v>0</v>
      </c>
      <c r="L2" s="44">
        <v>0</v>
      </c>
      <c r="M2" s="41">
        <f>H2+I2+J2+K2+L2</f>
        <v>1030224</v>
      </c>
      <c r="N2" s="41">
        <v>0</v>
      </c>
      <c r="O2" s="40">
        <v>0</v>
      </c>
      <c r="P2" s="42">
        <f>M2+N2+O2</f>
        <v>1030224</v>
      </c>
      <c r="Q2" s="5">
        <v>20.32</v>
      </c>
    </row>
    <row r="3" spans="1:17" x14ac:dyDescent="0.25">
      <c r="A3" s="5" t="s">
        <v>30</v>
      </c>
      <c r="B3" s="5" t="s">
        <v>15</v>
      </c>
      <c r="C3" s="6">
        <v>42614</v>
      </c>
      <c r="D3" s="5">
        <f t="shared" ref="D3:D52" si="1">MONTH(C3)</f>
        <v>9</v>
      </c>
      <c r="E3" s="5">
        <f t="shared" ref="E3:E52" si="2">WEEKNUM(C3)</f>
        <v>36</v>
      </c>
      <c r="F3" s="5">
        <v>27.05</v>
      </c>
      <c r="G3" s="40">
        <v>50750.35</v>
      </c>
      <c r="H3" s="41">
        <f t="shared" si="0"/>
        <v>1372796.9675</v>
      </c>
      <c r="I3" s="42">
        <v>0</v>
      </c>
      <c r="J3" s="43">
        <v>0</v>
      </c>
      <c r="K3" s="44">
        <v>0</v>
      </c>
      <c r="L3" s="44">
        <v>0</v>
      </c>
      <c r="M3" s="41">
        <f t="shared" ref="M3:M52" si="3">H3+I3+J3+K3+L3</f>
        <v>1372796.9675</v>
      </c>
      <c r="N3" s="41">
        <v>0</v>
      </c>
      <c r="O3" s="40">
        <v>0</v>
      </c>
      <c r="P3" s="42">
        <f t="shared" ref="P3:P52" si="4">M3+N3+O3</f>
        <v>1372796.9675</v>
      </c>
      <c r="Q3" s="5">
        <v>27.05</v>
      </c>
    </row>
    <row r="4" spans="1:17" x14ac:dyDescent="0.25">
      <c r="A4" s="5" t="s">
        <v>32</v>
      </c>
      <c r="B4" s="5" t="s">
        <v>18</v>
      </c>
      <c r="C4" s="6">
        <v>42616</v>
      </c>
      <c r="D4" s="5">
        <f t="shared" si="1"/>
        <v>9</v>
      </c>
      <c r="E4" s="5">
        <f t="shared" si="2"/>
        <v>36</v>
      </c>
      <c r="F4" s="5">
        <v>32.9</v>
      </c>
      <c r="G4" s="40">
        <v>56500</v>
      </c>
      <c r="H4" s="41">
        <f t="shared" si="0"/>
        <v>1858850</v>
      </c>
      <c r="I4" s="42">
        <v>0</v>
      </c>
      <c r="J4" s="43">
        <v>0</v>
      </c>
      <c r="K4" s="44">
        <v>0</v>
      </c>
      <c r="L4" s="44">
        <v>0</v>
      </c>
      <c r="M4" s="41">
        <f t="shared" si="3"/>
        <v>1858850</v>
      </c>
      <c r="N4" s="41">
        <v>0</v>
      </c>
      <c r="O4" s="40">
        <v>0</v>
      </c>
      <c r="P4" s="42">
        <f t="shared" si="4"/>
        <v>1858850</v>
      </c>
      <c r="Q4" s="5">
        <v>32.9</v>
      </c>
    </row>
    <row r="5" spans="1:17" x14ac:dyDescent="0.25">
      <c r="A5" s="5" t="s">
        <v>12</v>
      </c>
      <c r="B5" s="5" t="s">
        <v>13</v>
      </c>
      <c r="C5" s="6">
        <v>42617</v>
      </c>
      <c r="D5" s="5">
        <f t="shared" si="1"/>
        <v>9</v>
      </c>
      <c r="E5" s="5">
        <f t="shared" si="2"/>
        <v>37</v>
      </c>
      <c r="F5" s="5">
        <v>28.67</v>
      </c>
      <c r="G5" s="40">
        <v>54215.7</v>
      </c>
      <c r="H5" s="41">
        <f t="shared" si="0"/>
        <v>1554364.1189999999</v>
      </c>
      <c r="I5" s="42">
        <v>0</v>
      </c>
      <c r="J5" s="43">
        <v>0</v>
      </c>
      <c r="K5" s="44">
        <v>0</v>
      </c>
      <c r="L5" s="44">
        <v>0</v>
      </c>
      <c r="M5" s="41">
        <f t="shared" si="3"/>
        <v>1554364.1189999999</v>
      </c>
      <c r="N5" s="41">
        <f t="shared" ref="N5" si="5">M5*2%</f>
        <v>31087.282380000001</v>
      </c>
      <c r="O5" s="40">
        <v>0</v>
      </c>
      <c r="P5" s="42">
        <f t="shared" si="4"/>
        <v>1585451.4013799999</v>
      </c>
      <c r="Q5" s="5">
        <v>28.67</v>
      </c>
    </row>
    <row r="6" spans="1:17" x14ac:dyDescent="0.25">
      <c r="A6" s="5" t="s">
        <v>24</v>
      </c>
      <c r="B6" s="5" t="s">
        <v>15</v>
      </c>
      <c r="C6" s="6">
        <v>42617</v>
      </c>
      <c r="D6" s="5">
        <f t="shared" si="1"/>
        <v>9</v>
      </c>
      <c r="E6" s="5">
        <f t="shared" si="2"/>
        <v>37</v>
      </c>
      <c r="F6" s="5">
        <v>28.9</v>
      </c>
      <c r="G6" s="40">
        <v>57000</v>
      </c>
      <c r="H6" s="41">
        <f t="shared" si="0"/>
        <v>1647300</v>
      </c>
      <c r="I6" s="42">
        <v>0</v>
      </c>
      <c r="J6" s="43">
        <v>0</v>
      </c>
      <c r="K6" s="44">
        <v>0</v>
      </c>
      <c r="L6" s="44">
        <v>0</v>
      </c>
      <c r="M6" s="41">
        <f t="shared" si="3"/>
        <v>1647300</v>
      </c>
      <c r="N6" s="41">
        <v>0</v>
      </c>
      <c r="O6" s="40">
        <v>0</v>
      </c>
      <c r="P6" s="42">
        <f t="shared" si="4"/>
        <v>1647300</v>
      </c>
      <c r="Q6" s="5">
        <v>28.9</v>
      </c>
    </row>
    <row r="7" spans="1:17" x14ac:dyDescent="0.25">
      <c r="A7" s="5" t="s">
        <v>16</v>
      </c>
      <c r="B7" s="5" t="s">
        <v>15</v>
      </c>
      <c r="C7" s="6">
        <v>42617</v>
      </c>
      <c r="D7" s="5">
        <f t="shared" si="1"/>
        <v>9</v>
      </c>
      <c r="E7" s="5">
        <f t="shared" si="2"/>
        <v>37</v>
      </c>
      <c r="F7" s="5">
        <v>31.45</v>
      </c>
      <c r="G7" s="40">
        <v>54600</v>
      </c>
      <c r="H7" s="41">
        <f t="shared" si="0"/>
        <v>1717170</v>
      </c>
      <c r="I7" s="42">
        <v>0</v>
      </c>
      <c r="J7" s="43">
        <v>0</v>
      </c>
      <c r="K7" s="44">
        <v>0</v>
      </c>
      <c r="L7" s="44">
        <v>0</v>
      </c>
      <c r="M7" s="41">
        <f t="shared" si="3"/>
        <v>1717170</v>
      </c>
      <c r="N7" s="41">
        <v>0</v>
      </c>
      <c r="O7" s="40">
        <v>0</v>
      </c>
      <c r="P7" s="42">
        <f t="shared" si="4"/>
        <v>1717170</v>
      </c>
      <c r="Q7" s="5">
        <v>31.45</v>
      </c>
    </row>
    <row r="8" spans="1:17" x14ac:dyDescent="0.25">
      <c r="A8" s="5" t="s">
        <v>21</v>
      </c>
      <c r="B8" s="5" t="s">
        <v>15</v>
      </c>
      <c r="C8" s="6">
        <v>42618</v>
      </c>
      <c r="D8" s="5">
        <f t="shared" si="1"/>
        <v>9</v>
      </c>
      <c r="E8" s="5">
        <f t="shared" si="2"/>
        <v>37</v>
      </c>
      <c r="F8" s="5">
        <v>24.58</v>
      </c>
      <c r="G8" s="40">
        <v>50900</v>
      </c>
      <c r="H8" s="41">
        <f t="shared" si="0"/>
        <v>1251122</v>
      </c>
      <c r="I8" s="42">
        <v>0</v>
      </c>
      <c r="J8" s="43">
        <v>0</v>
      </c>
      <c r="K8" s="44">
        <v>0</v>
      </c>
      <c r="L8" s="44">
        <v>0</v>
      </c>
      <c r="M8" s="41">
        <f t="shared" si="3"/>
        <v>1251122</v>
      </c>
      <c r="N8" s="41">
        <v>0</v>
      </c>
      <c r="O8" s="40">
        <v>0</v>
      </c>
      <c r="P8" s="42">
        <f t="shared" si="4"/>
        <v>1251122</v>
      </c>
      <c r="Q8" s="5">
        <v>24.58</v>
      </c>
    </row>
    <row r="9" spans="1:17" x14ac:dyDescent="0.25">
      <c r="A9" s="5" t="s">
        <v>21</v>
      </c>
      <c r="B9" s="5" t="s">
        <v>15</v>
      </c>
      <c r="C9" s="6">
        <v>42618</v>
      </c>
      <c r="D9" s="5">
        <f t="shared" si="1"/>
        <v>9</v>
      </c>
      <c r="E9" s="5">
        <f t="shared" si="2"/>
        <v>37</v>
      </c>
      <c r="F9" s="5">
        <v>21.27</v>
      </c>
      <c r="G9" s="40">
        <v>50700</v>
      </c>
      <c r="H9" s="41">
        <f t="shared" si="0"/>
        <v>1078389</v>
      </c>
      <c r="I9" s="42">
        <v>0</v>
      </c>
      <c r="J9" s="43">
        <v>0</v>
      </c>
      <c r="K9" s="44">
        <v>0</v>
      </c>
      <c r="L9" s="44">
        <v>0</v>
      </c>
      <c r="M9" s="41">
        <f t="shared" si="3"/>
        <v>1078389</v>
      </c>
      <c r="N9" s="41">
        <v>0</v>
      </c>
      <c r="O9" s="40">
        <v>0</v>
      </c>
      <c r="P9" s="42">
        <f t="shared" si="4"/>
        <v>1078389</v>
      </c>
      <c r="Q9" s="5">
        <v>21.27</v>
      </c>
    </row>
    <row r="10" spans="1:17" x14ac:dyDescent="0.25">
      <c r="A10" s="5" t="s">
        <v>12</v>
      </c>
      <c r="B10" s="5" t="s">
        <v>13</v>
      </c>
      <c r="C10" s="6">
        <v>42619</v>
      </c>
      <c r="D10" s="5">
        <f t="shared" si="1"/>
        <v>9</v>
      </c>
      <c r="E10" s="5">
        <f t="shared" si="2"/>
        <v>37</v>
      </c>
      <c r="F10" s="5">
        <v>28.88</v>
      </c>
      <c r="G10" s="40">
        <v>54215.7</v>
      </c>
      <c r="H10" s="41">
        <f t="shared" si="0"/>
        <v>1565749.416</v>
      </c>
      <c r="I10" s="42">
        <v>0</v>
      </c>
      <c r="J10" s="43">
        <v>0</v>
      </c>
      <c r="K10" s="44">
        <v>0</v>
      </c>
      <c r="L10" s="44">
        <v>0</v>
      </c>
      <c r="M10" s="41">
        <f t="shared" si="3"/>
        <v>1565749.416</v>
      </c>
      <c r="N10" s="41">
        <f t="shared" ref="N10:N11" si="6">M10*2%</f>
        <v>31314.98832</v>
      </c>
      <c r="O10" s="40">
        <v>0</v>
      </c>
      <c r="P10" s="42">
        <f t="shared" si="4"/>
        <v>1597064.40432</v>
      </c>
      <c r="Q10" s="5">
        <v>28.88</v>
      </c>
    </row>
    <row r="11" spans="1:17" x14ac:dyDescent="0.25">
      <c r="A11" s="5" t="s">
        <v>12</v>
      </c>
      <c r="B11" s="5" t="s">
        <v>13</v>
      </c>
      <c r="C11" s="6">
        <v>42619</v>
      </c>
      <c r="D11" s="5">
        <f t="shared" si="1"/>
        <v>9</v>
      </c>
      <c r="E11" s="5">
        <f t="shared" si="2"/>
        <v>37</v>
      </c>
      <c r="F11" s="5">
        <v>27.83</v>
      </c>
      <c r="G11" s="40">
        <v>54215.7</v>
      </c>
      <c r="H11" s="41">
        <f t="shared" si="0"/>
        <v>1508822.9309999999</v>
      </c>
      <c r="I11" s="42">
        <v>0</v>
      </c>
      <c r="J11" s="43">
        <v>0</v>
      </c>
      <c r="K11" s="44">
        <v>0</v>
      </c>
      <c r="L11" s="44">
        <v>0</v>
      </c>
      <c r="M11" s="41">
        <f t="shared" si="3"/>
        <v>1508822.9309999999</v>
      </c>
      <c r="N11" s="41">
        <f t="shared" si="6"/>
        <v>30176.458619999998</v>
      </c>
      <c r="O11" s="40">
        <v>0</v>
      </c>
      <c r="P11" s="42">
        <f t="shared" si="4"/>
        <v>1538999.3896199998</v>
      </c>
      <c r="Q11" s="5">
        <v>27.83</v>
      </c>
    </row>
    <row r="12" spans="1:17" x14ac:dyDescent="0.25">
      <c r="A12" s="5" t="s">
        <v>30</v>
      </c>
      <c r="B12" s="5" t="s">
        <v>15</v>
      </c>
      <c r="C12" s="6">
        <v>42619</v>
      </c>
      <c r="D12" s="5">
        <f t="shared" si="1"/>
        <v>9</v>
      </c>
      <c r="E12" s="5">
        <f t="shared" si="2"/>
        <v>37</v>
      </c>
      <c r="F12" s="5">
        <v>22.58</v>
      </c>
      <c r="G12" s="40">
        <v>50700</v>
      </c>
      <c r="H12" s="41">
        <f t="shared" si="0"/>
        <v>1144806</v>
      </c>
      <c r="I12" s="42">
        <v>0</v>
      </c>
      <c r="J12" s="43">
        <v>0</v>
      </c>
      <c r="K12" s="44">
        <v>0</v>
      </c>
      <c r="L12" s="44">
        <v>0</v>
      </c>
      <c r="M12" s="41">
        <f t="shared" si="3"/>
        <v>1144806</v>
      </c>
      <c r="N12" s="41">
        <v>0</v>
      </c>
      <c r="O12" s="40">
        <v>0</v>
      </c>
      <c r="P12" s="42">
        <f t="shared" si="4"/>
        <v>1144806</v>
      </c>
      <c r="Q12" s="5">
        <v>22.58</v>
      </c>
    </row>
    <row r="13" spans="1:17" x14ac:dyDescent="0.25">
      <c r="A13" s="5" t="s">
        <v>22</v>
      </c>
      <c r="B13" s="5" t="s">
        <v>15</v>
      </c>
      <c r="C13" s="6">
        <v>42620</v>
      </c>
      <c r="D13" s="5">
        <f t="shared" si="1"/>
        <v>9</v>
      </c>
      <c r="E13" s="5">
        <f t="shared" si="2"/>
        <v>37</v>
      </c>
      <c r="F13" s="5">
        <v>23.56</v>
      </c>
      <c r="G13" s="40">
        <v>55561.61</v>
      </c>
      <c r="H13" s="41">
        <f t="shared" si="0"/>
        <v>1309031.5315999999</v>
      </c>
      <c r="I13" s="42">
        <v>0</v>
      </c>
      <c r="J13" s="43">
        <v>0</v>
      </c>
      <c r="K13" s="44">
        <v>0</v>
      </c>
      <c r="L13" s="44">
        <v>0</v>
      </c>
      <c r="M13" s="41">
        <f t="shared" si="3"/>
        <v>1309031.5315999999</v>
      </c>
      <c r="N13" s="41">
        <v>0</v>
      </c>
      <c r="O13" s="40">
        <v>0</v>
      </c>
      <c r="P13" s="42">
        <f t="shared" si="4"/>
        <v>1309031.5315999999</v>
      </c>
      <c r="Q13" s="5">
        <v>23.56</v>
      </c>
    </row>
    <row r="14" spans="1:17" x14ac:dyDescent="0.25">
      <c r="A14" s="5" t="s">
        <v>31</v>
      </c>
      <c r="B14" s="5" t="s">
        <v>15</v>
      </c>
      <c r="C14" s="6">
        <v>42620</v>
      </c>
      <c r="D14" s="5">
        <f t="shared" si="1"/>
        <v>9</v>
      </c>
      <c r="E14" s="5">
        <f t="shared" si="2"/>
        <v>37</v>
      </c>
      <c r="F14" s="5">
        <v>27.23</v>
      </c>
      <c r="G14" s="40">
        <v>53100.87</v>
      </c>
      <c r="H14" s="41">
        <f t="shared" si="0"/>
        <v>1445936.6901</v>
      </c>
      <c r="I14" s="42">
        <v>0</v>
      </c>
      <c r="J14" s="43">
        <v>0</v>
      </c>
      <c r="K14" s="44">
        <v>0</v>
      </c>
      <c r="L14" s="44">
        <v>0</v>
      </c>
      <c r="M14" s="41">
        <f t="shared" si="3"/>
        <v>1445936.6901</v>
      </c>
      <c r="N14" s="41">
        <v>0</v>
      </c>
      <c r="O14" s="40">
        <v>0</v>
      </c>
      <c r="P14" s="42">
        <f t="shared" si="4"/>
        <v>1445936.6901</v>
      </c>
      <c r="Q14" s="5">
        <v>27.23</v>
      </c>
    </row>
    <row r="15" spans="1:17" x14ac:dyDescent="0.25">
      <c r="A15" s="5" t="s">
        <v>67</v>
      </c>
      <c r="B15" s="5" t="s">
        <v>15</v>
      </c>
      <c r="C15" s="6">
        <v>42621</v>
      </c>
      <c r="D15" s="5">
        <f t="shared" si="1"/>
        <v>9</v>
      </c>
      <c r="E15" s="5">
        <f t="shared" si="2"/>
        <v>37</v>
      </c>
      <c r="F15" s="5">
        <v>19.899999999999999</v>
      </c>
      <c r="G15" s="40">
        <v>50700</v>
      </c>
      <c r="H15" s="41">
        <f t="shared" si="0"/>
        <v>1008929.9999999999</v>
      </c>
      <c r="I15" s="42">
        <v>0</v>
      </c>
      <c r="J15" s="43">
        <v>0</v>
      </c>
      <c r="K15" s="44">
        <v>0</v>
      </c>
      <c r="L15" s="44">
        <v>0</v>
      </c>
      <c r="M15" s="41">
        <f t="shared" si="3"/>
        <v>1008929.9999999999</v>
      </c>
      <c r="N15" s="41">
        <v>0</v>
      </c>
      <c r="O15" s="40">
        <v>0</v>
      </c>
      <c r="P15" s="42">
        <f t="shared" si="4"/>
        <v>1008929.9999999999</v>
      </c>
      <c r="Q15" s="5">
        <v>19.899999999999999</v>
      </c>
    </row>
    <row r="16" spans="1:17" x14ac:dyDescent="0.25">
      <c r="A16" s="5" t="s">
        <v>67</v>
      </c>
      <c r="B16" s="5" t="s">
        <v>15</v>
      </c>
      <c r="C16" s="6">
        <v>42623</v>
      </c>
      <c r="D16" s="5">
        <f t="shared" si="1"/>
        <v>9</v>
      </c>
      <c r="E16" s="5">
        <f t="shared" si="2"/>
        <v>37</v>
      </c>
      <c r="F16" s="5">
        <v>19.89</v>
      </c>
      <c r="G16" s="40">
        <v>50700</v>
      </c>
      <c r="H16" s="41">
        <f t="shared" si="0"/>
        <v>1008423</v>
      </c>
      <c r="I16" s="42">
        <v>0</v>
      </c>
      <c r="J16" s="43">
        <v>0</v>
      </c>
      <c r="K16" s="44">
        <v>0</v>
      </c>
      <c r="L16" s="44">
        <v>0</v>
      </c>
      <c r="M16" s="41">
        <f t="shared" si="3"/>
        <v>1008423</v>
      </c>
      <c r="N16" s="41">
        <v>0</v>
      </c>
      <c r="O16" s="40">
        <v>0</v>
      </c>
      <c r="P16" s="42">
        <f t="shared" si="4"/>
        <v>1008423</v>
      </c>
      <c r="Q16" s="5">
        <v>19.89</v>
      </c>
    </row>
    <row r="17" spans="1:17" x14ac:dyDescent="0.25">
      <c r="A17" s="5" t="s">
        <v>21</v>
      </c>
      <c r="B17" s="5" t="s">
        <v>18</v>
      </c>
      <c r="C17" s="6">
        <v>42625</v>
      </c>
      <c r="D17" s="5">
        <f t="shared" si="1"/>
        <v>9</v>
      </c>
      <c r="E17" s="5">
        <f t="shared" si="2"/>
        <v>38</v>
      </c>
      <c r="F17" s="5">
        <v>23.2</v>
      </c>
      <c r="G17" s="40">
        <v>56500</v>
      </c>
      <c r="H17" s="41">
        <f t="shared" si="0"/>
        <v>1310800</v>
      </c>
      <c r="I17" s="42">
        <v>0</v>
      </c>
      <c r="J17" s="43">
        <v>0</v>
      </c>
      <c r="K17" s="44">
        <v>0</v>
      </c>
      <c r="L17" s="44">
        <v>0</v>
      </c>
      <c r="M17" s="41">
        <f t="shared" si="3"/>
        <v>1310800</v>
      </c>
      <c r="N17" s="41">
        <v>0</v>
      </c>
      <c r="O17" s="40">
        <v>0</v>
      </c>
      <c r="P17" s="42">
        <f t="shared" si="4"/>
        <v>1310800</v>
      </c>
      <c r="Q17" s="5">
        <v>23.22</v>
      </c>
    </row>
    <row r="18" spans="1:17" x14ac:dyDescent="0.25">
      <c r="A18" s="5" t="s">
        <v>21</v>
      </c>
      <c r="B18" s="5" t="s">
        <v>15</v>
      </c>
      <c r="C18" s="6">
        <v>42628</v>
      </c>
      <c r="D18" s="5">
        <f t="shared" si="1"/>
        <v>9</v>
      </c>
      <c r="E18" s="5">
        <f t="shared" si="2"/>
        <v>38</v>
      </c>
      <c r="F18" s="5">
        <v>26.7</v>
      </c>
      <c r="G18" s="40">
        <v>57000</v>
      </c>
      <c r="H18" s="41">
        <f t="shared" si="0"/>
        <v>1521900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3"/>
        <v>1521900</v>
      </c>
      <c r="N18" s="41">
        <v>0</v>
      </c>
      <c r="O18" s="40">
        <v>0</v>
      </c>
      <c r="P18" s="42">
        <f t="shared" si="4"/>
        <v>1521900</v>
      </c>
      <c r="Q18" s="5">
        <v>26.7</v>
      </c>
    </row>
    <row r="19" spans="1:17" x14ac:dyDescent="0.25">
      <c r="A19" s="5" t="s">
        <v>21</v>
      </c>
      <c r="B19" s="5" t="s">
        <v>15</v>
      </c>
      <c r="C19" s="6">
        <v>42628</v>
      </c>
      <c r="D19" s="5">
        <f t="shared" si="1"/>
        <v>9</v>
      </c>
      <c r="E19" s="5">
        <f t="shared" si="2"/>
        <v>38</v>
      </c>
      <c r="F19" s="5">
        <v>19.739999999999998</v>
      </c>
      <c r="G19" s="40">
        <v>53877</v>
      </c>
      <c r="H19" s="41">
        <f t="shared" si="0"/>
        <v>1063531.98</v>
      </c>
      <c r="I19" s="42">
        <v>0</v>
      </c>
      <c r="J19" s="43">
        <v>0</v>
      </c>
      <c r="K19" s="44">
        <v>0</v>
      </c>
      <c r="L19" s="44">
        <v>0</v>
      </c>
      <c r="M19" s="41">
        <f t="shared" si="3"/>
        <v>1063531.98</v>
      </c>
      <c r="N19" s="41">
        <v>0</v>
      </c>
      <c r="O19" s="40">
        <v>0</v>
      </c>
      <c r="P19" s="42">
        <f t="shared" si="4"/>
        <v>1063531.98</v>
      </c>
      <c r="Q19" s="5">
        <v>19.739999999999998</v>
      </c>
    </row>
    <row r="20" spans="1:17" x14ac:dyDescent="0.25">
      <c r="A20" s="5" t="s">
        <v>30</v>
      </c>
      <c r="B20" s="5" t="s">
        <v>15</v>
      </c>
      <c r="C20" s="6">
        <v>42629</v>
      </c>
      <c r="D20" s="5">
        <f t="shared" si="1"/>
        <v>9</v>
      </c>
      <c r="E20" s="5">
        <f t="shared" si="2"/>
        <v>38</v>
      </c>
      <c r="F20" s="5">
        <v>29.38</v>
      </c>
      <c r="G20" s="40">
        <v>53916.15</v>
      </c>
      <c r="H20" s="41">
        <f t="shared" si="0"/>
        <v>1584056.487</v>
      </c>
      <c r="I20" s="42">
        <v>0</v>
      </c>
      <c r="J20" s="43">
        <v>0</v>
      </c>
      <c r="K20" s="44">
        <v>0</v>
      </c>
      <c r="L20" s="44">
        <v>0</v>
      </c>
      <c r="M20" s="41">
        <f t="shared" si="3"/>
        <v>1584056.487</v>
      </c>
      <c r="N20" s="41">
        <v>0</v>
      </c>
      <c r="O20" s="40">
        <v>0</v>
      </c>
      <c r="P20" s="42">
        <f t="shared" si="4"/>
        <v>1584056.487</v>
      </c>
      <c r="Q20" s="5">
        <v>29.38</v>
      </c>
    </row>
    <row r="21" spans="1:17" x14ac:dyDescent="0.25">
      <c r="A21" s="5" t="s">
        <v>21</v>
      </c>
      <c r="B21" s="5" t="s">
        <v>18</v>
      </c>
      <c r="C21" s="6">
        <v>42630</v>
      </c>
      <c r="D21" s="5">
        <f t="shared" si="1"/>
        <v>9</v>
      </c>
      <c r="E21" s="5">
        <f t="shared" si="2"/>
        <v>38</v>
      </c>
      <c r="F21" s="5">
        <v>18.440000000000001</v>
      </c>
      <c r="G21" s="40">
        <v>50200</v>
      </c>
      <c r="H21" s="41">
        <f t="shared" si="0"/>
        <v>925688.00000000012</v>
      </c>
      <c r="I21" s="42">
        <v>0</v>
      </c>
      <c r="J21" s="43">
        <v>0</v>
      </c>
      <c r="K21" s="44">
        <v>0</v>
      </c>
      <c r="L21" s="44">
        <v>0</v>
      </c>
      <c r="M21" s="41">
        <f t="shared" si="3"/>
        <v>925688.00000000012</v>
      </c>
      <c r="N21" s="41">
        <v>0</v>
      </c>
      <c r="O21" s="40">
        <v>0</v>
      </c>
      <c r="P21" s="42">
        <f t="shared" si="4"/>
        <v>925688.00000000012</v>
      </c>
      <c r="Q21" s="5">
        <v>18.440000000000001</v>
      </c>
    </row>
    <row r="22" spans="1:17" x14ac:dyDescent="0.25">
      <c r="A22" s="5" t="s">
        <v>21</v>
      </c>
      <c r="B22" s="5" t="s">
        <v>15</v>
      </c>
      <c r="C22" s="6">
        <v>42630</v>
      </c>
      <c r="D22" s="5">
        <f t="shared" si="1"/>
        <v>9</v>
      </c>
      <c r="E22" s="5">
        <f t="shared" si="2"/>
        <v>38</v>
      </c>
      <c r="F22" s="5">
        <v>19.21</v>
      </c>
      <c r="G22" s="40">
        <v>57000</v>
      </c>
      <c r="H22" s="41">
        <f t="shared" si="0"/>
        <v>1094970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3"/>
        <v>1094970</v>
      </c>
      <c r="N22" s="41">
        <v>0</v>
      </c>
      <c r="O22" s="40">
        <v>0</v>
      </c>
      <c r="P22" s="42">
        <f t="shared" si="4"/>
        <v>1094970</v>
      </c>
      <c r="Q22" s="5">
        <v>19.21</v>
      </c>
    </row>
    <row r="23" spans="1:17" x14ac:dyDescent="0.25">
      <c r="A23" s="5" t="s">
        <v>67</v>
      </c>
      <c r="B23" s="5" t="s">
        <v>15</v>
      </c>
      <c r="C23" s="6">
        <v>42631</v>
      </c>
      <c r="D23" s="5">
        <f t="shared" si="1"/>
        <v>9</v>
      </c>
      <c r="E23" s="5">
        <f t="shared" si="2"/>
        <v>39</v>
      </c>
      <c r="F23" s="5">
        <v>19.71</v>
      </c>
      <c r="G23" s="40">
        <v>50722.42</v>
      </c>
      <c r="H23" s="41">
        <f t="shared" si="0"/>
        <v>999738.89820000005</v>
      </c>
      <c r="I23" s="42">
        <v>0</v>
      </c>
      <c r="J23" s="43">
        <v>0</v>
      </c>
      <c r="K23" s="44">
        <v>0</v>
      </c>
      <c r="L23" s="44">
        <v>0</v>
      </c>
      <c r="M23" s="41">
        <f t="shared" si="3"/>
        <v>999738.89820000005</v>
      </c>
      <c r="N23" s="41">
        <v>0</v>
      </c>
      <c r="O23" s="40">
        <v>0</v>
      </c>
      <c r="P23" s="42">
        <f t="shared" si="4"/>
        <v>999738.89820000005</v>
      </c>
      <c r="Q23" s="5">
        <v>19.78</v>
      </c>
    </row>
    <row r="24" spans="1:17" x14ac:dyDescent="0.25">
      <c r="A24" s="5" t="s">
        <v>22</v>
      </c>
      <c r="B24" s="5" t="s">
        <v>15</v>
      </c>
      <c r="C24" s="6">
        <v>42632</v>
      </c>
      <c r="D24" s="5">
        <f t="shared" si="1"/>
        <v>9</v>
      </c>
      <c r="E24" s="5">
        <f t="shared" si="2"/>
        <v>39</v>
      </c>
      <c r="F24" s="5">
        <v>29.03</v>
      </c>
      <c r="G24" s="40">
        <v>54600</v>
      </c>
      <c r="H24" s="41">
        <f t="shared" si="0"/>
        <v>1585038</v>
      </c>
      <c r="I24" s="42">
        <v>0</v>
      </c>
      <c r="J24" s="43">
        <v>0</v>
      </c>
      <c r="K24" s="44">
        <v>0</v>
      </c>
      <c r="L24" s="44">
        <v>0</v>
      </c>
      <c r="M24" s="41">
        <f t="shared" si="3"/>
        <v>1585038</v>
      </c>
      <c r="N24" s="41">
        <v>0</v>
      </c>
      <c r="O24" s="40">
        <v>0</v>
      </c>
      <c r="P24" s="42">
        <f t="shared" si="4"/>
        <v>1585038</v>
      </c>
      <c r="Q24" s="5">
        <v>29.03</v>
      </c>
    </row>
    <row r="25" spans="1:17" x14ac:dyDescent="0.25">
      <c r="A25" s="5" t="s">
        <v>21</v>
      </c>
      <c r="B25" s="5" t="s">
        <v>15</v>
      </c>
      <c r="C25" s="6">
        <v>42633</v>
      </c>
      <c r="D25" s="5">
        <f t="shared" si="1"/>
        <v>9</v>
      </c>
      <c r="E25" s="5">
        <f t="shared" si="2"/>
        <v>39</v>
      </c>
      <c r="F25" s="5">
        <v>19.95</v>
      </c>
      <c r="G25" s="40">
        <v>57374.68</v>
      </c>
      <c r="H25" s="41">
        <f t="shared" si="0"/>
        <v>1144624.8659999999</v>
      </c>
      <c r="I25" s="42">
        <v>0</v>
      </c>
      <c r="J25" s="43">
        <v>0</v>
      </c>
      <c r="K25" s="44">
        <v>0</v>
      </c>
      <c r="L25" s="44">
        <v>0</v>
      </c>
      <c r="M25" s="41">
        <f t="shared" si="3"/>
        <v>1144624.8659999999</v>
      </c>
      <c r="N25" s="41">
        <v>0</v>
      </c>
      <c r="O25" s="40">
        <v>0</v>
      </c>
      <c r="P25" s="42">
        <f t="shared" si="4"/>
        <v>1144624.8659999999</v>
      </c>
      <c r="Q25" s="5">
        <v>20.010000000000002</v>
      </c>
    </row>
    <row r="26" spans="1:17" x14ac:dyDescent="0.25">
      <c r="A26" s="5" t="s">
        <v>21</v>
      </c>
      <c r="B26" s="5" t="s">
        <v>18</v>
      </c>
      <c r="C26" s="6">
        <v>42633</v>
      </c>
      <c r="D26" s="5">
        <f t="shared" si="1"/>
        <v>9</v>
      </c>
      <c r="E26" s="5">
        <f t="shared" si="2"/>
        <v>39</v>
      </c>
      <c r="F26" s="5">
        <v>28.11</v>
      </c>
      <c r="G26" s="40">
        <v>56500</v>
      </c>
      <c r="H26" s="41">
        <f t="shared" si="0"/>
        <v>1588215</v>
      </c>
      <c r="I26" s="42">
        <v>0</v>
      </c>
      <c r="J26" s="43">
        <v>0</v>
      </c>
      <c r="K26" s="44">
        <v>0</v>
      </c>
      <c r="L26" s="44">
        <v>0</v>
      </c>
      <c r="M26" s="41">
        <f t="shared" si="3"/>
        <v>1588215</v>
      </c>
      <c r="N26" s="41">
        <v>0</v>
      </c>
      <c r="O26" s="40">
        <v>0</v>
      </c>
      <c r="P26" s="42">
        <f t="shared" si="4"/>
        <v>1588215</v>
      </c>
      <c r="Q26" s="5">
        <v>28.11</v>
      </c>
    </row>
    <row r="27" spans="1:17" x14ac:dyDescent="0.25">
      <c r="A27" s="5" t="s">
        <v>30</v>
      </c>
      <c r="B27" s="5" t="s">
        <v>18</v>
      </c>
      <c r="C27" s="6">
        <v>42634</v>
      </c>
      <c r="D27" s="5">
        <f t="shared" si="1"/>
        <v>9</v>
      </c>
      <c r="E27" s="5">
        <f t="shared" si="2"/>
        <v>39</v>
      </c>
      <c r="F27" s="5">
        <v>35.950000000000003</v>
      </c>
      <c r="G27" s="40">
        <v>53838.14</v>
      </c>
      <c r="H27" s="41">
        <f t="shared" si="0"/>
        <v>1935481.1330000001</v>
      </c>
      <c r="I27" s="42">
        <v>0</v>
      </c>
      <c r="J27" s="43">
        <v>0</v>
      </c>
      <c r="K27" s="44">
        <v>0</v>
      </c>
      <c r="L27" s="44">
        <v>0</v>
      </c>
      <c r="M27" s="41">
        <f t="shared" si="3"/>
        <v>1935481.1330000001</v>
      </c>
      <c r="N27" s="41">
        <v>0</v>
      </c>
      <c r="O27" s="40">
        <v>0</v>
      </c>
      <c r="P27" s="42">
        <f t="shared" si="4"/>
        <v>1935481.1330000001</v>
      </c>
      <c r="Q27" s="5">
        <v>35.950000000000003</v>
      </c>
    </row>
    <row r="28" spans="1:17" x14ac:dyDescent="0.25">
      <c r="A28" s="5" t="s">
        <v>24</v>
      </c>
      <c r="B28" s="5" t="s">
        <v>18</v>
      </c>
      <c r="C28" s="6">
        <v>42634</v>
      </c>
      <c r="D28" s="5">
        <f t="shared" si="1"/>
        <v>9</v>
      </c>
      <c r="E28" s="5">
        <f t="shared" si="2"/>
        <v>39</v>
      </c>
      <c r="F28" s="5">
        <v>18.84</v>
      </c>
      <c r="G28" s="40">
        <v>56500</v>
      </c>
      <c r="H28" s="41">
        <f t="shared" si="0"/>
        <v>1064460</v>
      </c>
      <c r="I28" s="42">
        <v>0</v>
      </c>
      <c r="J28" s="43">
        <v>0</v>
      </c>
      <c r="K28" s="44">
        <v>0</v>
      </c>
      <c r="L28" s="44">
        <v>0</v>
      </c>
      <c r="M28" s="41">
        <f t="shared" si="3"/>
        <v>1064460</v>
      </c>
      <c r="N28" s="41">
        <v>0</v>
      </c>
      <c r="O28" s="40">
        <v>0</v>
      </c>
      <c r="P28" s="42">
        <f t="shared" si="4"/>
        <v>1064460</v>
      </c>
      <c r="Q28" s="5">
        <v>18.84</v>
      </c>
    </row>
    <row r="29" spans="1:17" x14ac:dyDescent="0.25">
      <c r="A29" s="5" t="s">
        <v>30</v>
      </c>
      <c r="B29" s="5" t="s">
        <v>15</v>
      </c>
      <c r="C29" s="6">
        <v>42634</v>
      </c>
      <c r="D29" s="5">
        <f t="shared" si="1"/>
        <v>9</v>
      </c>
      <c r="E29" s="5">
        <f t="shared" si="2"/>
        <v>39</v>
      </c>
      <c r="F29" s="5">
        <v>28.97</v>
      </c>
      <c r="G29" s="40">
        <v>57000</v>
      </c>
      <c r="H29" s="41">
        <f t="shared" si="0"/>
        <v>1651290</v>
      </c>
      <c r="I29" s="42">
        <v>0</v>
      </c>
      <c r="J29" s="43">
        <v>0</v>
      </c>
      <c r="K29" s="44">
        <v>0</v>
      </c>
      <c r="L29" s="44">
        <v>0</v>
      </c>
      <c r="M29" s="41">
        <f t="shared" si="3"/>
        <v>1651290</v>
      </c>
      <c r="N29" s="41">
        <v>0</v>
      </c>
      <c r="O29" s="40">
        <v>0</v>
      </c>
      <c r="P29" s="42">
        <f t="shared" si="4"/>
        <v>1651290</v>
      </c>
      <c r="Q29" s="5">
        <v>28.97</v>
      </c>
    </row>
    <row r="30" spans="1:17" x14ac:dyDescent="0.25">
      <c r="A30" s="5" t="s">
        <v>16</v>
      </c>
      <c r="B30" s="5" t="s">
        <v>15</v>
      </c>
      <c r="C30" s="6">
        <v>42636</v>
      </c>
      <c r="D30" s="5">
        <f t="shared" si="1"/>
        <v>9</v>
      </c>
      <c r="E30" s="5">
        <f t="shared" si="2"/>
        <v>39</v>
      </c>
      <c r="F30" s="5">
        <v>29.23</v>
      </c>
      <c r="G30" s="40">
        <v>56500</v>
      </c>
      <c r="H30" s="41">
        <f t="shared" si="0"/>
        <v>1651495</v>
      </c>
      <c r="I30" s="42">
        <v>0</v>
      </c>
      <c r="J30" s="43">
        <v>0</v>
      </c>
      <c r="K30" s="44">
        <v>0</v>
      </c>
      <c r="L30" s="44">
        <v>0</v>
      </c>
      <c r="M30" s="41">
        <f t="shared" si="3"/>
        <v>1651495</v>
      </c>
      <c r="N30" s="41">
        <v>0</v>
      </c>
      <c r="O30" s="40">
        <v>0</v>
      </c>
      <c r="P30" s="42">
        <f t="shared" si="4"/>
        <v>1651495</v>
      </c>
      <c r="Q30" s="5">
        <v>29.23</v>
      </c>
    </row>
    <row r="31" spans="1:17" x14ac:dyDescent="0.25">
      <c r="A31" s="5" t="s">
        <v>30</v>
      </c>
      <c r="B31" s="5" t="s">
        <v>15</v>
      </c>
      <c r="C31" s="6">
        <v>42636</v>
      </c>
      <c r="D31" s="5">
        <f t="shared" si="1"/>
        <v>9</v>
      </c>
      <c r="E31" s="5">
        <f t="shared" si="2"/>
        <v>39</v>
      </c>
      <c r="F31" s="5">
        <v>19.41</v>
      </c>
      <c r="G31" s="40">
        <v>57070.69</v>
      </c>
      <c r="H31" s="41">
        <f t="shared" si="0"/>
        <v>1107742.0929</v>
      </c>
      <c r="I31" s="42">
        <v>0</v>
      </c>
      <c r="J31" s="43">
        <v>0</v>
      </c>
      <c r="K31" s="44">
        <v>0</v>
      </c>
      <c r="L31" s="44">
        <v>0</v>
      </c>
      <c r="M31" s="41">
        <f t="shared" si="3"/>
        <v>1107742.0929</v>
      </c>
      <c r="N31" s="41">
        <v>0</v>
      </c>
      <c r="O31" s="40">
        <v>0</v>
      </c>
      <c r="P31" s="42">
        <f t="shared" si="4"/>
        <v>1107742.0929</v>
      </c>
      <c r="Q31" s="5">
        <v>19.41</v>
      </c>
    </row>
    <row r="32" spans="1:17" x14ac:dyDescent="0.25">
      <c r="A32" s="5" t="s">
        <v>14</v>
      </c>
      <c r="B32" s="5" t="s">
        <v>15</v>
      </c>
      <c r="C32" s="6">
        <v>42637</v>
      </c>
      <c r="D32" s="5">
        <f t="shared" si="1"/>
        <v>9</v>
      </c>
      <c r="E32" s="5">
        <f t="shared" si="2"/>
        <v>39</v>
      </c>
      <c r="F32" s="5">
        <v>27.14</v>
      </c>
      <c r="G32" s="40">
        <v>57500</v>
      </c>
      <c r="H32" s="41">
        <f t="shared" si="0"/>
        <v>1560550</v>
      </c>
      <c r="I32" s="42">
        <v>0</v>
      </c>
      <c r="J32" s="43">
        <v>0</v>
      </c>
      <c r="K32" s="44">
        <v>0</v>
      </c>
      <c r="L32" s="44">
        <v>0</v>
      </c>
      <c r="M32" s="41">
        <f t="shared" si="3"/>
        <v>1560550</v>
      </c>
      <c r="N32" s="41">
        <v>0</v>
      </c>
      <c r="O32" s="40">
        <v>0</v>
      </c>
      <c r="P32" s="42">
        <f t="shared" si="4"/>
        <v>1560550</v>
      </c>
      <c r="Q32" s="5">
        <v>27.14</v>
      </c>
    </row>
    <row r="33" spans="1:17" x14ac:dyDescent="0.25">
      <c r="A33" s="5" t="s">
        <v>30</v>
      </c>
      <c r="B33" s="5" t="s">
        <v>15</v>
      </c>
      <c r="C33" s="6">
        <v>42638</v>
      </c>
      <c r="D33" s="5">
        <f t="shared" si="1"/>
        <v>9</v>
      </c>
      <c r="E33" s="5">
        <f t="shared" si="2"/>
        <v>40</v>
      </c>
      <c r="F33" s="5">
        <v>29.13</v>
      </c>
      <c r="G33" s="40">
        <v>57500</v>
      </c>
      <c r="H33" s="41">
        <f t="shared" si="0"/>
        <v>1674975</v>
      </c>
      <c r="I33" s="42">
        <v>0</v>
      </c>
      <c r="J33" s="43">
        <v>0</v>
      </c>
      <c r="K33" s="44">
        <v>0</v>
      </c>
      <c r="L33" s="44">
        <v>0</v>
      </c>
      <c r="M33" s="41">
        <f t="shared" si="3"/>
        <v>1674975</v>
      </c>
      <c r="N33" s="41">
        <v>0</v>
      </c>
      <c r="O33" s="40">
        <v>0</v>
      </c>
      <c r="P33" s="42">
        <f t="shared" si="4"/>
        <v>1674975</v>
      </c>
      <c r="Q33" s="5">
        <v>29.13</v>
      </c>
    </row>
    <row r="34" spans="1:17" x14ac:dyDescent="0.25">
      <c r="A34" s="5" t="s">
        <v>24</v>
      </c>
      <c r="B34" s="5" t="s">
        <v>15</v>
      </c>
      <c r="C34" s="6">
        <v>42638</v>
      </c>
      <c r="D34" s="5">
        <f t="shared" si="1"/>
        <v>9</v>
      </c>
      <c r="E34" s="5">
        <f t="shared" si="2"/>
        <v>40</v>
      </c>
      <c r="F34" s="5">
        <v>27.66</v>
      </c>
      <c r="G34" s="40">
        <v>57000</v>
      </c>
      <c r="H34" s="41">
        <f t="shared" si="0"/>
        <v>1576620</v>
      </c>
      <c r="I34" s="42">
        <v>0</v>
      </c>
      <c r="J34" s="43">
        <v>0</v>
      </c>
      <c r="K34" s="44">
        <v>0</v>
      </c>
      <c r="L34" s="44">
        <v>0</v>
      </c>
      <c r="M34" s="41">
        <f t="shared" si="3"/>
        <v>1576620</v>
      </c>
      <c r="N34" s="41">
        <v>0</v>
      </c>
      <c r="O34" s="40">
        <v>0</v>
      </c>
      <c r="P34" s="42">
        <f t="shared" si="4"/>
        <v>1576620</v>
      </c>
      <c r="Q34" s="5">
        <v>27.66</v>
      </c>
    </row>
    <row r="35" spans="1:17" x14ac:dyDescent="0.25">
      <c r="A35" s="5" t="s">
        <v>24</v>
      </c>
      <c r="B35" s="5" t="s">
        <v>18</v>
      </c>
      <c r="C35" s="6">
        <v>42638</v>
      </c>
      <c r="D35" s="5">
        <f t="shared" si="1"/>
        <v>9</v>
      </c>
      <c r="E35" s="5">
        <f t="shared" si="2"/>
        <v>40</v>
      </c>
      <c r="F35" s="5">
        <v>27.62</v>
      </c>
      <c r="G35" s="40">
        <v>56751.519999999997</v>
      </c>
      <c r="H35" s="41">
        <f t="shared" si="0"/>
        <v>1567476.9823999999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3"/>
        <v>1567476.9823999999</v>
      </c>
      <c r="N35" s="41">
        <v>0</v>
      </c>
      <c r="O35" s="40">
        <v>0</v>
      </c>
      <c r="P35" s="42">
        <f t="shared" si="4"/>
        <v>1567476.9823999999</v>
      </c>
      <c r="Q35" s="5">
        <v>27.62</v>
      </c>
    </row>
    <row r="36" spans="1:17" x14ac:dyDescent="0.25">
      <c r="A36" s="5" t="s">
        <v>31</v>
      </c>
      <c r="B36" s="5" t="s">
        <v>18</v>
      </c>
      <c r="C36" s="6">
        <v>42639</v>
      </c>
      <c r="D36" s="5">
        <f t="shared" si="1"/>
        <v>9</v>
      </c>
      <c r="E36" s="5">
        <f t="shared" si="2"/>
        <v>40</v>
      </c>
      <c r="F36" s="5">
        <v>27.68</v>
      </c>
      <c r="G36" s="40">
        <v>57000</v>
      </c>
      <c r="H36" s="41">
        <f t="shared" si="0"/>
        <v>1577760</v>
      </c>
      <c r="I36" s="42">
        <v>0</v>
      </c>
      <c r="J36" s="43">
        <v>0</v>
      </c>
      <c r="K36" s="44">
        <v>0</v>
      </c>
      <c r="L36" s="44">
        <v>0</v>
      </c>
      <c r="M36" s="41">
        <f t="shared" si="3"/>
        <v>1577760</v>
      </c>
      <c r="N36" s="41">
        <v>0</v>
      </c>
      <c r="O36" s="40">
        <v>0</v>
      </c>
      <c r="P36" s="42">
        <f t="shared" si="4"/>
        <v>1577760</v>
      </c>
      <c r="Q36" s="5">
        <v>27.68</v>
      </c>
    </row>
    <row r="37" spans="1:17" x14ac:dyDescent="0.25">
      <c r="A37" s="5" t="s">
        <v>21</v>
      </c>
      <c r="B37" s="5" t="s">
        <v>15</v>
      </c>
      <c r="C37" s="6">
        <v>42639</v>
      </c>
      <c r="D37" s="5">
        <f t="shared" si="1"/>
        <v>9</v>
      </c>
      <c r="E37" s="5">
        <f t="shared" si="2"/>
        <v>40</v>
      </c>
      <c r="F37" s="5">
        <v>29.29</v>
      </c>
      <c r="G37" s="40">
        <v>57275.58</v>
      </c>
      <c r="H37" s="41">
        <f t="shared" si="0"/>
        <v>1677601.7382</v>
      </c>
      <c r="I37" s="42">
        <v>0</v>
      </c>
      <c r="J37" s="43">
        <v>0</v>
      </c>
      <c r="K37" s="44">
        <v>0</v>
      </c>
      <c r="L37" s="44">
        <v>0</v>
      </c>
      <c r="M37" s="41">
        <f t="shared" si="3"/>
        <v>1677601.7382</v>
      </c>
      <c r="N37" s="41">
        <v>0</v>
      </c>
      <c r="O37" s="40">
        <v>0</v>
      </c>
      <c r="P37" s="42">
        <f t="shared" si="4"/>
        <v>1677601.7382</v>
      </c>
      <c r="Q37" s="5">
        <v>29.29</v>
      </c>
    </row>
    <row r="38" spans="1:17" x14ac:dyDescent="0.25">
      <c r="A38" s="5" t="s">
        <v>12</v>
      </c>
      <c r="B38" s="5" t="s">
        <v>13</v>
      </c>
      <c r="C38" s="6">
        <v>42639</v>
      </c>
      <c r="D38" s="5">
        <f t="shared" si="1"/>
        <v>9</v>
      </c>
      <c r="E38" s="5">
        <f t="shared" si="2"/>
        <v>40</v>
      </c>
      <c r="F38" s="5">
        <v>28.22</v>
      </c>
      <c r="G38" s="40">
        <v>53431.4</v>
      </c>
      <c r="H38" s="41">
        <f t="shared" si="0"/>
        <v>1507834.108</v>
      </c>
      <c r="I38" s="42">
        <v>0</v>
      </c>
      <c r="J38" s="43">
        <v>0</v>
      </c>
      <c r="K38" s="44">
        <v>0</v>
      </c>
      <c r="L38" s="44">
        <v>0</v>
      </c>
      <c r="M38" s="41">
        <f t="shared" si="3"/>
        <v>1507834.108</v>
      </c>
      <c r="N38" s="41">
        <f t="shared" ref="N38:N39" si="7">M38*2%</f>
        <v>30156.68216</v>
      </c>
      <c r="O38" s="40">
        <v>0</v>
      </c>
      <c r="P38" s="42">
        <f t="shared" si="4"/>
        <v>1537990.7901600001</v>
      </c>
      <c r="Q38" s="5">
        <v>28.22</v>
      </c>
    </row>
    <row r="39" spans="1:17" x14ac:dyDescent="0.25">
      <c r="A39" s="5" t="s">
        <v>12</v>
      </c>
      <c r="B39" s="5" t="s">
        <v>13</v>
      </c>
      <c r="C39" s="6">
        <v>42639</v>
      </c>
      <c r="D39" s="5">
        <f t="shared" si="1"/>
        <v>9</v>
      </c>
      <c r="E39" s="5">
        <f t="shared" si="2"/>
        <v>40</v>
      </c>
      <c r="F39" s="5">
        <v>28.47</v>
      </c>
      <c r="G39" s="40">
        <v>53431.4</v>
      </c>
      <c r="H39" s="41">
        <f t="shared" si="0"/>
        <v>1521191.9579999999</v>
      </c>
      <c r="I39" s="42">
        <v>0</v>
      </c>
      <c r="J39" s="43">
        <v>0</v>
      </c>
      <c r="K39" s="44">
        <v>0</v>
      </c>
      <c r="L39" s="44">
        <v>0</v>
      </c>
      <c r="M39" s="41">
        <f t="shared" si="3"/>
        <v>1521191.9579999999</v>
      </c>
      <c r="N39" s="41">
        <f t="shared" si="7"/>
        <v>30423.83916</v>
      </c>
      <c r="O39" s="40">
        <v>0</v>
      </c>
      <c r="P39" s="42">
        <f t="shared" si="4"/>
        <v>1551615.7971599998</v>
      </c>
      <c r="Q39" s="5">
        <v>28.47</v>
      </c>
    </row>
    <row r="40" spans="1:17" x14ac:dyDescent="0.25">
      <c r="A40" s="5" t="s">
        <v>24</v>
      </c>
      <c r="B40" s="5" t="s">
        <v>15</v>
      </c>
      <c r="C40" s="6">
        <v>42640</v>
      </c>
      <c r="D40" s="5">
        <f t="shared" si="1"/>
        <v>9</v>
      </c>
      <c r="E40" s="5">
        <f t="shared" si="2"/>
        <v>40</v>
      </c>
      <c r="F40" s="5">
        <v>28.93</v>
      </c>
      <c r="G40" s="40">
        <v>57361.63</v>
      </c>
      <c r="H40" s="41">
        <f t="shared" si="0"/>
        <v>1659471.9558999999</v>
      </c>
      <c r="I40" s="42">
        <v>0</v>
      </c>
      <c r="J40" s="43">
        <v>0</v>
      </c>
      <c r="K40" s="44">
        <v>0</v>
      </c>
      <c r="L40" s="44">
        <v>0</v>
      </c>
      <c r="M40" s="41">
        <f t="shared" si="3"/>
        <v>1659471.9558999999</v>
      </c>
      <c r="N40" s="41">
        <v>0</v>
      </c>
      <c r="O40" s="40">
        <v>0</v>
      </c>
      <c r="P40" s="42">
        <f t="shared" si="4"/>
        <v>1659471.9558999999</v>
      </c>
      <c r="Q40" s="5">
        <v>28.93</v>
      </c>
    </row>
    <row r="41" spans="1:17" x14ac:dyDescent="0.25">
      <c r="A41" s="5" t="s">
        <v>32</v>
      </c>
      <c r="B41" s="5" t="s">
        <v>18</v>
      </c>
      <c r="C41" s="6">
        <v>42641</v>
      </c>
      <c r="D41" s="5">
        <f t="shared" si="1"/>
        <v>9</v>
      </c>
      <c r="E41" s="5">
        <f t="shared" si="2"/>
        <v>40</v>
      </c>
      <c r="F41" s="5">
        <v>20.149999999999999</v>
      </c>
      <c r="G41" s="40">
        <v>56100</v>
      </c>
      <c r="H41" s="41">
        <f t="shared" si="0"/>
        <v>1130415</v>
      </c>
      <c r="I41" s="42">
        <v>0</v>
      </c>
      <c r="J41" s="43">
        <v>0</v>
      </c>
      <c r="K41" s="44">
        <v>0</v>
      </c>
      <c r="L41" s="44">
        <v>0</v>
      </c>
      <c r="M41" s="41">
        <f t="shared" si="3"/>
        <v>1130415</v>
      </c>
      <c r="N41" s="41">
        <v>0</v>
      </c>
      <c r="O41" s="40">
        <v>0</v>
      </c>
      <c r="P41" s="42">
        <f t="shared" si="4"/>
        <v>1130415</v>
      </c>
      <c r="Q41" s="5">
        <v>20.16</v>
      </c>
    </row>
    <row r="42" spans="1:17" x14ac:dyDescent="0.25">
      <c r="A42" s="5" t="s">
        <v>24</v>
      </c>
      <c r="B42" s="5" t="s">
        <v>15</v>
      </c>
      <c r="C42" s="6">
        <v>42642</v>
      </c>
      <c r="D42" s="5">
        <f t="shared" si="1"/>
        <v>9</v>
      </c>
      <c r="E42" s="5">
        <f t="shared" si="2"/>
        <v>40</v>
      </c>
      <c r="F42" s="5">
        <v>20.260000000000002</v>
      </c>
      <c r="G42" s="40">
        <v>57500</v>
      </c>
      <c r="H42" s="41">
        <f t="shared" si="0"/>
        <v>1164950</v>
      </c>
      <c r="I42" s="42">
        <v>0</v>
      </c>
      <c r="J42" s="43">
        <v>0</v>
      </c>
      <c r="K42" s="44">
        <v>0</v>
      </c>
      <c r="L42" s="44">
        <v>0</v>
      </c>
      <c r="M42" s="41">
        <f t="shared" si="3"/>
        <v>1164950</v>
      </c>
      <c r="N42" s="41">
        <v>0</v>
      </c>
      <c r="O42" s="40">
        <v>0</v>
      </c>
      <c r="P42" s="42">
        <f t="shared" si="4"/>
        <v>1164950</v>
      </c>
      <c r="Q42" s="5">
        <v>20.260000000000002</v>
      </c>
    </row>
    <row r="43" spans="1:17" x14ac:dyDescent="0.25">
      <c r="A43" s="5" t="s">
        <v>24</v>
      </c>
      <c r="B43" s="5" t="s">
        <v>15</v>
      </c>
      <c r="C43" s="6">
        <v>42642</v>
      </c>
      <c r="D43" s="5">
        <f t="shared" si="1"/>
        <v>9</v>
      </c>
      <c r="E43" s="5">
        <f t="shared" si="2"/>
        <v>40</v>
      </c>
      <c r="F43" s="5">
        <v>19.670000000000002</v>
      </c>
      <c r="G43" s="40">
        <v>57500</v>
      </c>
      <c r="H43" s="41">
        <f t="shared" si="0"/>
        <v>1131025</v>
      </c>
      <c r="I43" s="42">
        <v>0</v>
      </c>
      <c r="J43" s="43">
        <v>0</v>
      </c>
      <c r="K43" s="44">
        <v>0</v>
      </c>
      <c r="L43" s="44">
        <v>0</v>
      </c>
      <c r="M43" s="41">
        <f t="shared" si="3"/>
        <v>1131025</v>
      </c>
      <c r="N43" s="41">
        <v>0</v>
      </c>
      <c r="O43" s="40">
        <v>0</v>
      </c>
      <c r="P43" s="42">
        <f t="shared" si="4"/>
        <v>1131025</v>
      </c>
      <c r="Q43" s="5">
        <v>19.670000000000002</v>
      </c>
    </row>
    <row r="44" spans="1:17" x14ac:dyDescent="0.25">
      <c r="A44" s="5" t="s">
        <v>31</v>
      </c>
      <c r="B44" s="5" t="s">
        <v>15</v>
      </c>
      <c r="C44" s="6">
        <v>42642</v>
      </c>
      <c r="D44" s="5">
        <f t="shared" si="1"/>
        <v>9</v>
      </c>
      <c r="E44" s="5">
        <f t="shared" si="2"/>
        <v>40</v>
      </c>
      <c r="F44" s="5">
        <v>19.38</v>
      </c>
      <c r="G44" s="40">
        <v>57500</v>
      </c>
      <c r="H44" s="41">
        <f t="shared" si="0"/>
        <v>1114350</v>
      </c>
      <c r="I44" s="42">
        <v>0</v>
      </c>
      <c r="J44" s="43">
        <v>0</v>
      </c>
      <c r="K44" s="44">
        <v>0</v>
      </c>
      <c r="L44" s="44">
        <v>0</v>
      </c>
      <c r="M44" s="41">
        <f t="shared" si="3"/>
        <v>1114350</v>
      </c>
      <c r="N44" s="41">
        <v>0</v>
      </c>
      <c r="O44" s="40">
        <v>0</v>
      </c>
      <c r="P44" s="42">
        <f t="shared" si="4"/>
        <v>1114350</v>
      </c>
      <c r="Q44" s="5">
        <v>19.38</v>
      </c>
    </row>
    <row r="45" spans="1:17" x14ac:dyDescent="0.25">
      <c r="A45" s="5" t="s">
        <v>31</v>
      </c>
      <c r="B45" s="5" t="s">
        <v>15</v>
      </c>
      <c r="C45" s="6">
        <v>42642</v>
      </c>
      <c r="D45" s="5">
        <f t="shared" si="1"/>
        <v>9</v>
      </c>
      <c r="E45" s="5">
        <f t="shared" si="2"/>
        <v>40</v>
      </c>
      <c r="F45" s="5">
        <v>19.399999999999999</v>
      </c>
      <c r="G45" s="40">
        <v>57500</v>
      </c>
      <c r="H45" s="41">
        <f t="shared" si="0"/>
        <v>1115500</v>
      </c>
      <c r="I45" s="42">
        <v>0</v>
      </c>
      <c r="J45" s="43">
        <v>0</v>
      </c>
      <c r="K45" s="44">
        <v>0</v>
      </c>
      <c r="L45" s="44">
        <v>0</v>
      </c>
      <c r="M45" s="41">
        <f t="shared" si="3"/>
        <v>1115500</v>
      </c>
      <c r="N45" s="41">
        <v>0</v>
      </c>
      <c r="O45" s="40">
        <v>0</v>
      </c>
      <c r="P45" s="42">
        <f t="shared" si="4"/>
        <v>1115500</v>
      </c>
      <c r="Q45" s="5">
        <v>19.399999999999999</v>
      </c>
    </row>
    <row r="46" spans="1:17" x14ac:dyDescent="0.25">
      <c r="A46" s="5" t="s">
        <v>105</v>
      </c>
      <c r="B46" s="5" t="s">
        <v>18</v>
      </c>
      <c r="C46" s="6">
        <v>42642</v>
      </c>
      <c r="D46" s="5">
        <f t="shared" si="1"/>
        <v>9</v>
      </c>
      <c r="E46" s="5">
        <f t="shared" si="2"/>
        <v>40</v>
      </c>
      <c r="F46" s="5">
        <v>27.57</v>
      </c>
      <c r="G46" s="40">
        <v>56100</v>
      </c>
      <c r="H46" s="41">
        <f t="shared" si="0"/>
        <v>1546677</v>
      </c>
      <c r="I46" s="42">
        <v>0</v>
      </c>
      <c r="J46" s="43">
        <v>0</v>
      </c>
      <c r="K46" s="44">
        <v>0</v>
      </c>
      <c r="L46" s="44">
        <v>0</v>
      </c>
      <c r="M46" s="41">
        <f t="shared" si="3"/>
        <v>1546677</v>
      </c>
      <c r="N46" s="41">
        <v>0</v>
      </c>
      <c r="O46" s="40">
        <v>0</v>
      </c>
      <c r="P46" s="42">
        <f t="shared" si="4"/>
        <v>1546677</v>
      </c>
      <c r="Q46" s="5">
        <v>27.57</v>
      </c>
    </row>
    <row r="47" spans="1:17" x14ac:dyDescent="0.25">
      <c r="A47" s="5" t="s">
        <v>105</v>
      </c>
      <c r="B47" s="5" t="s">
        <v>18</v>
      </c>
      <c r="C47" s="6">
        <v>42642</v>
      </c>
      <c r="D47" s="5">
        <f t="shared" si="1"/>
        <v>9</v>
      </c>
      <c r="E47" s="5">
        <f t="shared" si="2"/>
        <v>40</v>
      </c>
      <c r="F47" s="5">
        <v>21.42</v>
      </c>
      <c r="G47" s="40">
        <v>56912.6</v>
      </c>
      <c r="H47" s="41">
        <f t="shared" si="0"/>
        <v>1219067.892</v>
      </c>
      <c r="I47" s="42">
        <v>0</v>
      </c>
      <c r="J47" s="43">
        <v>0</v>
      </c>
      <c r="K47" s="44">
        <v>0</v>
      </c>
      <c r="L47" s="44">
        <v>0</v>
      </c>
      <c r="M47" s="41">
        <f t="shared" si="3"/>
        <v>1219067.892</v>
      </c>
      <c r="N47" s="41">
        <v>0</v>
      </c>
      <c r="O47" s="40">
        <v>0</v>
      </c>
      <c r="P47" s="42">
        <f t="shared" si="4"/>
        <v>1219067.892</v>
      </c>
      <c r="Q47" s="5">
        <v>21.43</v>
      </c>
    </row>
    <row r="48" spans="1:17" x14ac:dyDescent="0.25">
      <c r="A48" s="5" t="s">
        <v>105</v>
      </c>
      <c r="B48" s="5" t="s">
        <v>18</v>
      </c>
      <c r="C48" s="6">
        <v>42642</v>
      </c>
      <c r="D48" s="5">
        <f t="shared" si="1"/>
        <v>9</v>
      </c>
      <c r="E48" s="5">
        <f t="shared" si="2"/>
        <v>40</v>
      </c>
      <c r="F48" s="5">
        <v>20.29</v>
      </c>
      <c r="G48" s="40">
        <v>56100</v>
      </c>
      <c r="H48" s="41">
        <f t="shared" si="0"/>
        <v>1138269</v>
      </c>
      <c r="I48" s="42">
        <v>0</v>
      </c>
      <c r="J48" s="43">
        <v>0</v>
      </c>
      <c r="K48" s="44">
        <v>0</v>
      </c>
      <c r="L48" s="44">
        <v>0</v>
      </c>
      <c r="M48" s="41">
        <f t="shared" si="3"/>
        <v>1138269</v>
      </c>
      <c r="N48" s="41">
        <v>0</v>
      </c>
      <c r="O48" s="40">
        <v>0</v>
      </c>
      <c r="P48" s="42">
        <f t="shared" si="4"/>
        <v>1138269</v>
      </c>
      <c r="Q48" s="5">
        <v>20.3</v>
      </c>
    </row>
    <row r="49" spans="1:17" x14ac:dyDescent="0.25">
      <c r="A49" s="5" t="s">
        <v>14</v>
      </c>
      <c r="B49" s="5" t="s">
        <v>15</v>
      </c>
      <c r="C49" s="6">
        <v>42643</v>
      </c>
      <c r="D49" s="5">
        <f t="shared" si="1"/>
        <v>9</v>
      </c>
      <c r="E49" s="5">
        <f t="shared" si="2"/>
        <v>40</v>
      </c>
      <c r="F49" s="5">
        <v>26.75</v>
      </c>
      <c r="G49" s="40">
        <v>57500</v>
      </c>
      <c r="H49" s="41">
        <f t="shared" si="0"/>
        <v>1538125</v>
      </c>
      <c r="I49" s="42">
        <v>0</v>
      </c>
      <c r="J49" s="43">
        <v>0</v>
      </c>
      <c r="K49" s="44">
        <v>0</v>
      </c>
      <c r="L49" s="44">
        <v>0</v>
      </c>
      <c r="M49" s="41">
        <f t="shared" si="3"/>
        <v>1538125</v>
      </c>
      <c r="N49" s="41">
        <v>0</v>
      </c>
      <c r="O49" s="40">
        <v>0</v>
      </c>
      <c r="P49" s="42">
        <f t="shared" si="4"/>
        <v>1538125</v>
      </c>
      <c r="Q49" s="5">
        <v>26.75</v>
      </c>
    </row>
    <row r="50" spans="1:17" x14ac:dyDescent="0.25">
      <c r="A50" s="5" t="s">
        <v>12</v>
      </c>
      <c r="B50" s="5" t="s">
        <v>13</v>
      </c>
      <c r="C50" s="6">
        <v>42643</v>
      </c>
      <c r="D50" s="5">
        <f t="shared" si="1"/>
        <v>9</v>
      </c>
      <c r="E50" s="5">
        <f t="shared" si="2"/>
        <v>40</v>
      </c>
      <c r="F50" s="5">
        <v>27.97</v>
      </c>
      <c r="G50" s="40">
        <v>53431.4</v>
      </c>
      <c r="H50" s="41">
        <f t="shared" si="0"/>
        <v>1494476.2579999999</v>
      </c>
      <c r="I50" s="42">
        <v>0</v>
      </c>
      <c r="J50" s="43">
        <v>0</v>
      </c>
      <c r="K50" s="44">
        <v>0</v>
      </c>
      <c r="L50" s="44">
        <v>0</v>
      </c>
      <c r="M50" s="41">
        <f t="shared" si="3"/>
        <v>1494476.2579999999</v>
      </c>
      <c r="N50" s="41">
        <f t="shared" ref="N50:N52" si="8">M50*2%</f>
        <v>29889.525159999997</v>
      </c>
      <c r="O50" s="40">
        <v>0</v>
      </c>
      <c r="P50" s="42">
        <f t="shared" si="4"/>
        <v>1524365.7831599999</v>
      </c>
      <c r="Q50" s="5">
        <v>27.97</v>
      </c>
    </row>
    <row r="51" spans="1:17" x14ac:dyDescent="0.25">
      <c r="A51" s="5" t="s">
        <v>12</v>
      </c>
      <c r="B51" s="5" t="s">
        <v>13</v>
      </c>
      <c r="C51" s="6">
        <v>42643</v>
      </c>
      <c r="D51" s="5">
        <f t="shared" si="1"/>
        <v>9</v>
      </c>
      <c r="E51" s="5">
        <f t="shared" si="2"/>
        <v>40</v>
      </c>
      <c r="F51" s="5">
        <v>28.06</v>
      </c>
      <c r="G51" s="40">
        <v>53431.4</v>
      </c>
      <c r="H51" s="41">
        <f t="shared" si="0"/>
        <v>1499285.084</v>
      </c>
      <c r="I51" s="42">
        <v>0</v>
      </c>
      <c r="J51" s="43">
        <v>0</v>
      </c>
      <c r="K51" s="44">
        <v>0</v>
      </c>
      <c r="L51" s="44">
        <v>0</v>
      </c>
      <c r="M51" s="41">
        <f t="shared" si="3"/>
        <v>1499285.084</v>
      </c>
      <c r="N51" s="41">
        <f t="shared" si="8"/>
        <v>29985.701680000002</v>
      </c>
      <c r="O51" s="40">
        <v>0</v>
      </c>
      <c r="P51" s="42">
        <f t="shared" si="4"/>
        <v>1529270.78568</v>
      </c>
      <c r="Q51" s="5">
        <v>28.06</v>
      </c>
    </row>
    <row r="52" spans="1:17" x14ac:dyDescent="0.25">
      <c r="A52" s="5" t="s">
        <v>12</v>
      </c>
      <c r="B52" s="5" t="s">
        <v>13</v>
      </c>
      <c r="C52" s="6">
        <v>42643</v>
      </c>
      <c r="D52" s="5">
        <f t="shared" si="1"/>
        <v>9</v>
      </c>
      <c r="E52" s="5">
        <f t="shared" si="2"/>
        <v>40</v>
      </c>
      <c r="F52" s="5">
        <v>28.31</v>
      </c>
      <c r="G52" s="40">
        <v>53431.4</v>
      </c>
      <c r="H52" s="41">
        <f t="shared" si="0"/>
        <v>1512642.9339999999</v>
      </c>
      <c r="I52" s="42">
        <v>0</v>
      </c>
      <c r="J52" s="43">
        <v>0</v>
      </c>
      <c r="K52" s="44">
        <v>0</v>
      </c>
      <c r="L52" s="44">
        <v>0</v>
      </c>
      <c r="M52" s="41">
        <f t="shared" si="3"/>
        <v>1512642.9339999999</v>
      </c>
      <c r="N52" s="41">
        <f t="shared" si="8"/>
        <v>30252.858679999998</v>
      </c>
      <c r="O52" s="40">
        <v>0</v>
      </c>
      <c r="P52" s="42">
        <f t="shared" si="4"/>
        <v>1542895.79268</v>
      </c>
      <c r="Q52" s="5">
        <v>28.31</v>
      </c>
    </row>
  </sheetData>
  <autoFilter ref="A1:Q52"/>
  <hyperlinks>
    <hyperlink ref="K1" r:id="rId1"/>
    <hyperlink ref="L1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F2" sqref="F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30</v>
      </c>
      <c r="B2" s="5" t="s">
        <v>15</v>
      </c>
      <c r="C2" s="6">
        <v>42644</v>
      </c>
      <c r="D2" s="5">
        <f>MONTH(C2)</f>
        <v>10</v>
      </c>
      <c r="E2" s="5">
        <f>WEEKNUM(C2)</f>
        <v>40</v>
      </c>
      <c r="F2" s="61">
        <v>26.89</v>
      </c>
      <c r="G2" s="60">
        <v>57500</v>
      </c>
      <c r="H2" s="36">
        <f t="shared" ref="H2:H65" si="0">+F2*G2</f>
        <v>1546175</v>
      </c>
      <c r="I2" s="36">
        <v>0</v>
      </c>
      <c r="J2" s="60">
        <v>0</v>
      </c>
      <c r="K2" s="60">
        <v>0</v>
      </c>
      <c r="L2" s="60">
        <v>0</v>
      </c>
      <c r="M2" s="36">
        <f>H2+I2+J2+K2+L2</f>
        <v>1546175</v>
      </c>
      <c r="N2" s="36">
        <v>0</v>
      </c>
      <c r="O2" s="60">
        <v>0</v>
      </c>
      <c r="P2" s="36">
        <f>M2+N2+O2</f>
        <v>1546175</v>
      </c>
      <c r="Q2" s="61">
        <v>26.89</v>
      </c>
    </row>
    <row r="3" spans="1:17" x14ac:dyDescent="0.25">
      <c r="A3" s="5" t="s">
        <v>12</v>
      </c>
      <c r="B3" s="5" t="s">
        <v>13</v>
      </c>
      <c r="C3" s="6">
        <v>42646</v>
      </c>
      <c r="D3" s="5">
        <f t="shared" ref="D3:D66" si="1">MONTH(C3)</f>
        <v>10</v>
      </c>
      <c r="E3" s="5">
        <f t="shared" ref="E3:E66" si="2">WEEKNUM(C3)</f>
        <v>41</v>
      </c>
      <c r="F3" s="61">
        <v>28.43</v>
      </c>
      <c r="G3" s="60">
        <v>52622.45</v>
      </c>
      <c r="H3" s="36">
        <f t="shared" si="0"/>
        <v>1496056.2534999999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3">H3+I3+J3+K3+L3</f>
        <v>1496056.2534999999</v>
      </c>
      <c r="N3" s="36">
        <f t="shared" ref="N3:N64" si="4">M3*2%</f>
        <v>29921.125069999998</v>
      </c>
      <c r="O3" s="60">
        <v>0</v>
      </c>
      <c r="P3" s="36">
        <f t="shared" ref="P3:P66" si="5">M3+N3+O3</f>
        <v>1525977.3785699999</v>
      </c>
      <c r="Q3" s="61">
        <v>28.43</v>
      </c>
    </row>
    <row r="4" spans="1:17" x14ac:dyDescent="0.25">
      <c r="A4" s="5" t="s">
        <v>105</v>
      </c>
      <c r="B4" s="5" t="s">
        <v>18</v>
      </c>
      <c r="C4" s="6">
        <v>42646</v>
      </c>
      <c r="D4" s="5">
        <f t="shared" si="1"/>
        <v>10</v>
      </c>
      <c r="E4" s="5">
        <f t="shared" si="2"/>
        <v>41</v>
      </c>
      <c r="F4" s="61">
        <v>25.83</v>
      </c>
      <c r="G4" s="60">
        <v>57000</v>
      </c>
      <c r="H4" s="36">
        <f t="shared" si="0"/>
        <v>1472310</v>
      </c>
      <c r="I4" s="36">
        <v>0</v>
      </c>
      <c r="J4" s="60">
        <v>0</v>
      </c>
      <c r="K4" s="60">
        <v>0</v>
      </c>
      <c r="L4" s="60">
        <v>0</v>
      </c>
      <c r="M4" s="36">
        <f t="shared" si="3"/>
        <v>1472310</v>
      </c>
      <c r="N4" s="36">
        <v>0</v>
      </c>
      <c r="O4" s="60">
        <v>0</v>
      </c>
      <c r="P4" s="36">
        <f t="shared" si="5"/>
        <v>1472310</v>
      </c>
      <c r="Q4" s="61">
        <v>25.84</v>
      </c>
    </row>
    <row r="5" spans="1:17" x14ac:dyDescent="0.25">
      <c r="A5" s="5" t="s">
        <v>105</v>
      </c>
      <c r="B5" s="5" t="s">
        <v>18</v>
      </c>
      <c r="C5" s="6">
        <v>42646</v>
      </c>
      <c r="D5" s="5">
        <f t="shared" si="1"/>
        <v>10</v>
      </c>
      <c r="E5" s="5">
        <f t="shared" si="2"/>
        <v>41</v>
      </c>
      <c r="F5" s="61">
        <v>25.19</v>
      </c>
      <c r="G5" s="60">
        <v>57000</v>
      </c>
      <c r="H5" s="36">
        <f t="shared" si="0"/>
        <v>1435830</v>
      </c>
      <c r="I5" s="36">
        <v>0</v>
      </c>
      <c r="J5" s="60">
        <v>0</v>
      </c>
      <c r="K5" s="60">
        <v>0</v>
      </c>
      <c r="L5" s="60">
        <v>0</v>
      </c>
      <c r="M5" s="36">
        <f t="shared" si="3"/>
        <v>1435830</v>
      </c>
      <c r="N5" s="36">
        <v>0</v>
      </c>
      <c r="O5" s="60">
        <v>0</v>
      </c>
      <c r="P5" s="36">
        <f t="shared" si="5"/>
        <v>1435830</v>
      </c>
      <c r="Q5" s="61">
        <v>25.21</v>
      </c>
    </row>
    <row r="6" spans="1:17" x14ac:dyDescent="0.25">
      <c r="A6" s="5" t="s">
        <v>30</v>
      </c>
      <c r="B6" s="5" t="s">
        <v>15</v>
      </c>
      <c r="C6" s="6">
        <v>42646</v>
      </c>
      <c r="D6" s="5">
        <f t="shared" si="1"/>
        <v>10</v>
      </c>
      <c r="E6" s="5">
        <f t="shared" si="2"/>
        <v>41</v>
      </c>
      <c r="F6" s="61">
        <v>24.86</v>
      </c>
      <c r="G6" s="60">
        <v>58500</v>
      </c>
      <c r="H6" s="36">
        <f t="shared" si="0"/>
        <v>1454310</v>
      </c>
      <c r="I6" s="36">
        <v>0</v>
      </c>
      <c r="J6" s="60">
        <v>0</v>
      </c>
      <c r="K6" s="60">
        <v>0</v>
      </c>
      <c r="L6" s="60">
        <v>0</v>
      </c>
      <c r="M6" s="36">
        <f t="shared" si="3"/>
        <v>1454310</v>
      </c>
      <c r="N6" s="36">
        <v>0</v>
      </c>
      <c r="O6" s="60">
        <v>0</v>
      </c>
      <c r="P6" s="36">
        <f t="shared" si="5"/>
        <v>1454310</v>
      </c>
      <c r="Q6" s="61">
        <v>24.86</v>
      </c>
    </row>
    <row r="7" spans="1:17" x14ac:dyDescent="0.25">
      <c r="A7" s="5" t="s">
        <v>21</v>
      </c>
      <c r="B7" s="5" t="s">
        <v>15</v>
      </c>
      <c r="C7" s="6">
        <v>42646</v>
      </c>
      <c r="D7" s="5">
        <f t="shared" si="1"/>
        <v>10</v>
      </c>
      <c r="E7" s="5">
        <f t="shared" si="2"/>
        <v>41</v>
      </c>
      <c r="F7" s="61">
        <v>28.94</v>
      </c>
      <c r="G7" s="60">
        <v>57584.02</v>
      </c>
      <c r="H7" s="36">
        <f t="shared" si="0"/>
        <v>1666481.5388</v>
      </c>
      <c r="I7" s="36">
        <v>0</v>
      </c>
      <c r="J7" s="60">
        <v>0</v>
      </c>
      <c r="K7" s="60">
        <v>0</v>
      </c>
      <c r="L7" s="60">
        <v>0</v>
      </c>
      <c r="M7" s="36">
        <f t="shared" si="3"/>
        <v>1666481.5388</v>
      </c>
      <c r="N7" s="36">
        <v>0</v>
      </c>
      <c r="O7" s="60">
        <v>0</v>
      </c>
      <c r="P7" s="36">
        <f t="shared" si="5"/>
        <v>1666481.5388</v>
      </c>
      <c r="Q7" s="61">
        <v>28.94</v>
      </c>
    </row>
    <row r="8" spans="1:17" x14ac:dyDescent="0.25">
      <c r="A8" s="5" t="s">
        <v>105</v>
      </c>
      <c r="B8" s="5" t="s">
        <v>18</v>
      </c>
      <c r="C8" s="6">
        <v>42646</v>
      </c>
      <c r="D8" s="5">
        <f t="shared" si="1"/>
        <v>10</v>
      </c>
      <c r="E8" s="5">
        <f t="shared" si="2"/>
        <v>41</v>
      </c>
      <c r="F8" s="61">
        <v>25.88</v>
      </c>
      <c r="G8" s="60">
        <v>55496.91</v>
      </c>
      <c r="H8" s="36">
        <f t="shared" si="0"/>
        <v>1436260.0308000001</v>
      </c>
      <c r="I8" s="36">
        <v>0</v>
      </c>
      <c r="J8" s="60">
        <v>0</v>
      </c>
      <c r="K8" s="60">
        <v>0</v>
      </c>
      <c r="L8" s="60">
        <v>0</v>
      </c>
      <c r="M8" s="36">
        <f t="shared" si="3"/>
        <v>1436260.0308000001</v>
      </c>
      <c r="N8" s="36">
        <v>0</v>
      </c>
      <c r="O8" s="60">
        <v>0</v>
      </c>
      <c r="P8" s="36">
        <f t="shared" si="5"/>
        <v>1436260.0308000001</v>
      </c>
      <c r="Q8" s="61">
        <v>25.88</v>
      </c>
    </row>
    <row r="9" spans="1:17" x14ac:dyDescent="0.25">
      <c r="A9" s="5" t="s">
        <v>30</v>
      </c>
      <c r="B9" s="5" t="s">
        <v>18</v>
      </c>
      <c r="C9" s="6">
        <v>42646</v>
      </c>
      <c r="D9" s="5">
        <f t="shared" si="1"/>
        <v>10</v>
      </c>
      <c r="E9" s="5">
        <f t="shared" si="2"/>
        <v>41</v>
      </c>
      <c r="F9" s="61">
        <v>25.59</v>
      </c>
      <c r="G9" s="60">
        <v>56684.86</v>
      </c>
      <c r="H9" s="36">
        <f t="shared" si="0"/>
        <v>1450565.5674000001</v>
      </c>
      <c r="I9" s="36">
        <v>0</v>
      </c>
      <c r="J9" s="60">
        <v>0</v>
      </c>
      <c r="K9" s="60">
        <v>0</v>
      </c>
      <c r="L9" s="60">
        <v>0</v>
      </c>
      <c r="M9" s="36">
        <f t="shared" si="3"/>
        <v>1450565.5674000001</v>
      </c>
      <c r="N9" s="36">
        <v>0</v>
      </c>
      <c r="O9" s="60">
        <v>0</v>
      </c>
      <c r="P9" s="36">
        <f t="shared" si="5"/>
        <v>1450565.5674000001</v>
      </c>
      <c r="Q9" s="61">
        <v>25.59</v>
      </c>
    </row>
    <row r="10" spans="1:17" x14ac:dyDescent="0.25">
      <c r="A10" s="5" t="s">
        <v>31</v>
      </c>
      <c r="B10" s="5" t="s">
        <v>18</v>
      </c>
      <c r="C10" s="6">
        <v>42647</v>
      </c>
      <c r="D10" s="5">
        <f t="shared" si="1"/>
        <v>10</v>
      </c>
      <c r="E10" s="5">
        <f t="shared" si="2"/>
        <v>41</v>
      </c>
      <c r="F10" s="61">
        <v>20.83</v>
      </c>
      <c r="G10" s="60">
        <v>57000</v>
      </c>
      <c r="H10" s="36">
        <f t="shared" si="0"/>
        <v>1187310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3"/>
        <v>1187310</v>
      </c>
      <c r="N10" s="36">
        <v>0</v>
      </c>
      <c r="O10" s="60">
        <v>0</v>
      </c>
      <c r="P10" s="36">
        <f t="shared" si="5"/>
        <v>1187310</v>
      </c>
      <c r="Q10" s="61">
        <v>20.83</v>
      </c>
    </row>
    <row r="11" spans="1:17" x14ac:dyDescent="0.25">
      <c r="A11" s="5" t="s">
        <v>31</v>
      </c>
      <c r="B11" s="5" t="s">
        <v>15</v>
      </c>
      <c r="C11" s="6">
        <v>42648</v>
      </c>
      <c r="D11" s="5">
        <f t="shared" si="1"/>
        <v>10</v>
      </c>
      <c r="E11" s="5">
        <f t="shared" si="2"/>
        <v>41</v>
      </c>
      <c r="F11" s="61">
        <v>18.73</v>
      </c>
      <c r="G11" s="60">
        <v>57500</v>
      </c>
      <c r="H11" s="36">
        <f t="shared" si="0"/>
        <v>1076975</v>
      </c>
      <c r="I11" s="36">
        <v>0</v>
      </c>
      <c r="J11" s="60">
        <v>0</v>
      </c>
      <c r="K11" s="60">
        <v>0</v>
      </c>
      <c r="L11" s="60">
        <v>0</v>
      </c>
      <c r="M11" s="36">
        <f t="shared" si="3"/>
        <v>1076975</v>
      </c>
      <c r="N11" s="36">
        <v>0</v>
      </c>
      <c r="O11" s="60">
        <v>0</v>
      </c>
      <c r="P11" s="36">
        <f t="shared" si="5"/>
        <v>1076975</v>
      </c>
      <c r="Q11" s="61">
        <v>18.73</v>
      </c>
    </row>
    <row r="12" spans="1:17" x14ac:dyDescent="0.25">
      <c r="A12" s="5" t="s">
        <v>31</v>
      </c>
      <c r="B12" s="5" t="s">
        <v>15</v>
      </c>
      <c r="C12" s="6">
        <v>42648</v>
      </c>
      <c r="D12" s="5">
        <f t="shared" si="1"/>
        <v>10</v>
      </c>
      <c r="E12" s="5">
        <f t="shared" si="2"/>
        <v>41</v>
      </c>
      <c r="F12" s="61">
        <v>27.75</v>
      </c>
      <c r="G12" s="60">
        <v>57500</v>
      </c>
      <c r="H12" s="36">
        <f t="shared" si="0"/>
        <v>1595625</v>
      </c>
      <c r="I12" s="36">
        <v>0</v>
      </c>
      <c r="J12" s="60">
        <v>0</v>
      </c>
      <c r="K12" s="60">
        <v>0</v>
      </c>
      <c r="L12" s="60">
        <v>0</v>
      </c>
      <c r="M12" s="36">
        <f t="shared" si="3"/>
        <v>1595625</v>
      </c>
      <c r="N12" s="36">
        <v>0</v>
      </c>
      <c r="O12" s="60">
        <v>0</v>
      </c>
      <c r="P12" s="36">
        <f t="shared" si="5"/>
        <v>1595625</v>
      </c>
      <c r="Q12" s="61">
        <v>27.75</v>
      </c>
    </row>
    <row r="13" spans="1:17" x14ac:dyDescent="0.25">
      <c r="A13" s="5" t="s">
        <v>24</v>
      </c>
      <c r="B13" s="5" t="s">
        <v>15</v>
      </c>
      <c r="C13" s="6">
        <v>42648</v>
      </c>
      <c r="D13" s="5">
        <f t="shared" si="1"/>
        <v>10</v>
      </c>
      <c r="E13" s="5">
        <f t="shared" si="2"/>
        <v>41</v>
      </c>
      <c r="F13" s="61">
        <v>27.81</v>
      </c>
      <c r="G13" s="60">
        <v>58500</v>
      </c>
      <c r="H13" s="36">
        <f t="shared" si="0"/>
        <v>1626885</v>
      </c>
      <c r="I13" s="36">
        <v>0</v>
      </c>
      <c r="J13" s="60">
        <v>0</v>
      </c>
      <c r="K13" s="60">
        <v>0</v>
      </c>
      <c r="L13" s="60">
        <v>0</v>
      </c>
      <c r="M13" s="36">
        <f t="shared" si="3"/>
        <v>1626885</v>
      </c>
      <c r="N13" s="36">
        <v>0</v>
      </c>
      <c r="O13" s="60">
        <v>0</v>
      </c>
      <c r="P13" s="36">
        <f t="shared" si="5"/>
        <v>1626885</v>
      </c>
      <c r="Q13" s="61">
        <v>27.81</v>
      </c>
    </row>
    <row r="14" spans="1:17" x14ac:dyDescent="0.25">
      <c r="A14" s="5" t="s">
        <v>30</v>
      </c>
      <c r="B14" s="5" t="s">
        <v>15</v>
      </c>
      <c r="C14" s="6">
        <v>42648</v>
      </c>
      <c r="D14" s="5">
        <f t="shared" si="1"/>
        <v>10</v>
      </c>
      <c r="E14" s="5">
        <f t="shared" si="2"/>
        <v>41</v>
      </c>
      <c r="F14" s="61">
        <v>27.93</v>
      </c>
      <c r="G14" s="60">
        <v>58115.35</v>
      </c>
      <c r="H14" s="36">
        <f t="shared" si="0"/>
        <v>1623161.7254999999</v>
      </c>
      <c r="I14" s="36">
        <v>0</v>
      </c>
      <c r="J14" s="60">
        <v>0</v>
      </c>
      <c r="K14" s="60">
        <v>0</v>
      </c>
      <c r="L14" s="60">
        <v>0</v>
      </c>
      <c r="M14" s="36">
        <f t="shared" si="3"/>
        <v>1623161.7254999999</v>
      </c>
      <c r="N14" s="36">
        <v>0</v>
      </c>
      <c r="O14" s="60">
        <v>0</v>
      </c>
      <c r="P14" s="36">
        <f t="shared" si="5"/>
        <v>1623161.7254999999</v>
      </c>
      <c r="Q14" s="61">
        <v>27.93</v>
      </c>
    </row>
    <row r="15" spans="1:17" x14ac:dyDescent="0.25">
      <c r="A15" s="5" t="s">
        <v>14</v>
      </c>
      <c r="B15" s="5" t="s">
        <v>15</v>
      </c>
      <c r="C15" s="6">
        <v>42648</v>
      </c>
      <c r="D15" s="5">
        <f t="shared" si="1"/>
        <v>10</v>
      </c>
      <c r="E15" s="5">
        <f t="shared" si="2"/>
        <v>41</v>
      </c>
      <c r="F15" s="61">
        <v>28.46</v>
      </c>
      <c r="G15" s="60">
        <v>57500</v>
      </c>
      <c r="H15" s="36">
        <f t="shared" si="0"/>
        <v>1636450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3"/>
        <v>1636450</v>
      </c>
      <c r="N15" s="36">
        <v>0</v>
      </c>
      <c r="O15" s="60">
        <v>0</v>
      </c>
      <c r="P15" s="36">
        <f t="shared" si="5"/>
        <v>1636450</v>
      </c>
      <c r="Q15" s="61">
        <v>28.46</v>
      </c>
    </row>
    <row r="16" spans="1:17" x14ac:dyDescent="0.25">
      <c r="A16" s="5" t="s">
        <v>24</v>
      </c>
      <c r="B16" s="5" t="s">
        <v>15</v>
      </c>
      <c r="C16" s="6">
        <v>42649</v>
      </c>
      <c r="D16" s="5">
        <f t="shared" si="1"/>
        <v>10</v>
      </c>
      <c r="E16" s="5">
        <f t="shared" si="2"/>
        <v>41</v>
      </c>
      <c r="F16" s="61">
        <v>19.07</v>
      </c>
      <c r="G16" s="60">
        <v>57500</v>
      </c>
      <c r="H16" s="36">
        <f t="shared" si="0"/>
        <v>1096525</v>
      </c>
      <c r="I16" s="36">
        <v>0</v>
      </c>
      <c r="J16" s="60">
        <v>0</v>
      </c>
      <c r="K16" s="60">
        <v>0</v>
      </c>
      <c r="L16" s="60">
        <v>0</v>
      </c>
      <c r="M16" s="36">
        <f t="shared" si="3"/>
        <v>1096525</v>
      </c>
      <c r="N16" s="36">
        <v>0</v>
      </c>
      <c r="O16" s="60">
        <v>0</v>
      </c>
      <c r="P16" s="36">
        <f t="shared" si="5"/>
        <v>1096525</v>
      </c>
      <c r="Q16" s="61">
        <v>19.07</v>
      </c>
    </row>
    <row r="17" spans="1:17" x14ac:dyDescent="0.25">
      <c r="A17" s="5" t="s">
        <v>12</v>
      </c>
      <c r="B17" s="5" t="s">
        <v>13</v>
      </c>
      <c r="C17" s="6">
        <v>42649</v>
      </c>
      <c r="D17" s="5">
        <f t="shared" si="1"/>
        <v>10</v>
      </c>
      <c r="E17" s="5">
        <f t="shared" si="2"/>
        <v>41</v>
      </c>
      <c r="F17" s="61">
        <v>28.41</v>
      </c>
      <c r="G17" s="60">
        <v>52451</v>
      </c>
      <c r="H17" s="36">
        <f t="shared" si="0"/>
        <v>1490132.91</v>
      </c>
      <c r="I17" s="36">
        <v>0</v>
      </c>
      <c r="J17" s="60">
        <v>0</v>
      </c>
      <c r="K17" s="60">
        <v>0</v>
      </c>
      <c r="L17" s="60">
        <v>0</v>
      </c>
      <c r="M17" s="36">
        <f t="shared" si="3"/>
        <v>1490132.91</v>
      </c>
      <c r="N17" s="36">
        <f t="shared" si="4"/>
        <v>29802.658199999998</v>
      </c>
      <c r="O17" s="60">
        <v>0</v>
      </c>
      <c r="P17" s="36">
        <f t="shared" si="5"/>
        <v>1519935.5681999999</v>
      </c>
      <c r="Q17" s="61">
        <v>28.41</v>
      </c>
    </row>
    <row r="18" spans="1:17" x14ac:dyDescent="0.25">
      <c r="A18" s="5" t="s">
        <v>21</v>
      </c>
      <c r="B18" s="5" t="s">
        <v>15</v>
      </c>
      <c r="C18" s="6">
        <v>42650</v>
      </c>
      <c r="D18" s="5">
        <f t="shared" si="1"/>
        <v>10</v>
      </c>
      <c r="E18" s="5">
        <f t="shared" si="2"/>
        <v>41</v>
      </c>
      <c r="F18" s="61">
        <v>29.27</v>
      </c>
      <c r="G18" s="60">
        <v>58500</v>
      </c>
      <c r="H18" s="36">
        <f t="shared" si="0"/>
        <v>1712295</v>
      </c>
      <c r="I18" s="36">
        <v>0</v>
      </c>
      <c r="J18" s="60">
        <v>0</v>
      </c>
      <c r="K18" s="60">
        <v>0</v>
      </c>
      <c r="L18" s="60">
        <v>0</v>
      </c>
      <c r="M18" s="36">
        <f t="shared" si="3"/>
        <v>1712295</v>
      </c>
      <c r="N18" s="36">
        <v>0</v>
      </c>
      <c r="O18" s="60">
        <v>0</v>
      </c>
      <c r="P18" s="36">
        <f t="shared" si="5"/>
        <v>1712295</v>
      </c>
      <c r="Q18" s="61">
        <v>29.27</v>
      </c>
    </row>
    <row r="19" spans="1:17" x14ac:dyDescent="0.25">
      <c r="A19" s="5" t="s">
        <v>107</v>
      </c>
      <c r="B19" s="5" t="s">
        <v>110</v>
      </c>
      <c r="C19" s="6">
        <v>42650</v>
      </c>
      <c r="D19" s="5">
        <f t="shared" si="1"/>
        <v>10</v>
      </c>
      <c r="E19" s="5">
        <f t="shared" si="2"/>
        <v>41</v>
      </c>
      <c r="F19" s="61">
        <v>30.64</v>
      </c>
      <c r="G19" s="60">
        <v>62000</v>
      </c>
      <c r="H19" s="36">
        <f t="shared" si="0"/>
        <v>1899680</v>
      </c>
      <c r="I19" s="36">
        <v>0</v>
      </c>
      <c r="J19" s="60">
        <f t="shared" ref="J19:J27" si="6">H19*12.5%</f>
        <v>237460</v>
      </c>
      <c r="K19" s="60">
        <v>0</v>
      </c>
      <c r="L19" s="60">
        <v>0</v>
      </c>
      <c r="M19" s="36">
        <f t="shared" si="3"/>
        <v>2137140</v>
      </c>
      <c r="N19" s="36">
        <f t="shared" ref="N19" si="7">M19*2%</f>
        <v>42742.8</v>
      </c>
      <c r="O19" s="60">
        <f>3200*F19</f>
        <v>98048</v>
      </c>
      <c r="P19" s="36">
        <f t="shared" si="5"/>
        <v>2277930.7999999998</v>
      </c>
      <c r="Q19" s="61">
        <v>30.64</v>
      </c>
    </row>
    <row r="20" spans="1:17" x14ac:dyDescent="0.25">
      <c r="A20" s="5" t="s">
        <v>107</v>
      </c>
      <c r="B20" s="5" t="s">
        <v>110</v>
      </c>
      <c r="C20" s="6">
        <v>42651</v>
      </c>
      <c r="D20" s="5">
        <f t="shared" si="1"/>
        <v>10</v>
      </c>
      <c r="E20" s="5">
        <f t="shared" si="2"/>
        <v>41</v>
      </c>
      <c r="F20" s="61">
        <v>26.7</v>
      </c>
      <c r="G20" s="60">
        <v>62000</v>
      </c>
      <c r="H20" s="36">
        <f t="shared" si="0"/>
        <v>1655400</v>
      </c>
      <c r="I20" s="36">
        <v>0</v>
      </c>
      <c r="J20" s="60">
        <f t="shared" si="6"/>
        <v>206925</v>
      </c>
      <c r="K20" s="60">
        <v>0</v>
      </c>
      <c r="L20" s="60">
        <v>0</v>
      </c>
      <c r="M20" s="36">
        <f t="shared" si="3"/>
        <v>1862325</v>
      </c>
      <c r="N20" s="36">
        <f t="shared" si="4"/>
        <v>37246.5</v>
      </c>
      <c r="O20" s="60">
        <f t="shared" ref="O20:O21" si="8">3200*F20</f>
        <v>85440</v>
      </c>
      <c r="P20" s="36">
        <f t="shared" si="5"/>
        <v>1985011.5</v>
      </c>
      <c r="Q20" s="61">
        <v>26.7</v>
      </c>
    </row>
    <row r="21" spans="1:17" x14ac:dyDescent="0.25">
      <c r="A21" s="5" t="s">
        <v>107</v>
      </c>
      <c r="B21" s="5" t="s">
        <v>110</v>
      </c>
      <c r="C21" s="6">
        <v>42651</v>
      </c>
      <c r="D21" s="5">
        <f t="shared" si="1"/>
        <v>10</v>
      </c>
      <c r="E21" s="5">
        <f t="shared" si="2"/>
        <v>41</v>
      </c>
      <c r="F21" s="61">
        <v>27.03</v>
      </c>
      <c r="G21" s="60">
        <v>62000</v>
      </c>
      <c r="H21" s="36">
        <f t="shared" si="0"/>
        <v>1675860</v>
      </c>
      <c r="I21" s="36">
        <v>0</v>
      </c>
      <c r="J21" s="60">
        <f t="shared" si="6"/>
        <v>209482.5</v>
      </c>
      <c r="K21" s="60">
        <v>0</v>
      </c>
      <c r="L21" s="60">
        <v>0</v>
      </c>
      <c r="M21" s="36">
        <f t="shared" si="3"/>
        <v>1885342.5</v>
      </c>
      <c r="N21" s="36">
        <f t="shared" si="4"/>
        <v>37706.85</v>
      </c>
      <c r="O21" s="60">
        <f t="shared" si="8"/>
        <v>86496</v>
      </c>
      <c r="P21" s="36">
        <f t="shared" si="5"/>
        <v>2009545.35</v>
      </c>
      <c r="Q21" s="61">
        <v>27.03</v>
      </c>
    </row>
    <row r="22" spans="1:17" x14ac:dyDescent="0.25">
      <c r="A22" s="5" t="s">
        <v>12</v>
      </c>
      <c r="B22" s="5" t="s">
        <v>13</v>
      </c>
      <c r="C22" s="6">
        <v>42651</v>
      </c>
      <c r="D22" s="5">
        <f t="shared" si="1"/>
        <v>10</v>
      </c>
      <c r="E22" s="5">
        <f t="shared" si="2"/>
        <v>41</v>
      </c>
      <c r="F22" s="61">
        <v>27.48</v>
      </c>
      <c r="G22" s="60">
        <v>52451</v>
      </c>
      <c r="H22" s="36">
        <f t="shared" si="0"/>
        <v>1441353.48</v>
      </c>
      <c r="I22" s="36">
        <v>0</v>
      </c>
      <c r="J22" s="60">
        <v>0</v>
      </c>
      <c r="K22" s="60">
        <v>0</v>
      </c>
      <c r="L22" s="60">
        <v>0</v>
      </c>
      <c r="M22" s="36">
        <f t="shared" si="3"/>
        <v>1441353.48</v>
      </c>
      <c r="N22" s="36">
        <f t="shared" si="4"/>
        <v>28827.069599999999</v>
      </c>
      <c r="O22" s="60">
        <v>0</v>
      </c>
      <c r="P22" s="36">
        <f t="shared" si="5"/>
        <v>1470180.5496</v>
      </c>
      <c r="Q22" s="61">
        <v>27.48</v>
      </c>
    </row>
    <row r="23" spans="1:17" x14ac:dyDescent="0.25">
      <c r="A23" s="5" t="s">
        <v>27</v>
      </c>
      <c r="B23" s="5" t="s">
        <v>18</v>
      </c>
      <c r="C23" s="6">
        <v>42652</v>
      </c>
      <c r="D23" s="5">
        <f t="shared" si="1"/>
        <v>10</v>
      </c>
      <c r="E23" s="5">
        <f t="shared" si="2"/>
        <v>42</v>
      </c>
      <c r="F23" s="61">
        <v>24.06</v>
      </c>
      <c r="G23" s="60">
        <v>56100</v>
      </c>
      <c r="H23" s="36">
        <f t="shared" si="0"/>
        <v>1349766</v>
      </c>
      <c r="I23" s="36">
        <v>0</v>
      </c>
      <c r="J23" s="60">
        <v>0</v>
      </c>
      <c r="K23" s="60">
        <v>0</v>
      </c>
      <c r="L23" s="60">
        <v>0</v>
      </c>
      <c r="M23" s="36">
        <f t="shared" si="3"/>
        <v>1349766</v>
      </c>
      <c r="N23" s="36">
        <v>0</v>
      </c>
      <c r="O23" s="60">
        <v>0</v>
      </c>
      <c r="P23" s="36">
        <f t="shared" si="5"/>
        <v>1349766</v>
      </c>
      <c r="Q23" s="61">
        <v>24.06</v>
      </c>
    </row>
    <row r="24" spans="1:17" x14ac:dyDescent="0.25">
      <c r="A24" s="5" t="s">
        <v>16</v>
      </c>
      <c r="B24" s="5" t="s">
        <v>15</v>
      </c>
      <c r="C24" s="6">
        <v>42653</v>
      </c>
      <c r="D24" s="5">
        <f t="shared" si="1"/>
        <v>10</v>
      </c>
      <c r="E24" s="5">
        <f t="shared" si="2"/>
        <v>42</v>
      </c>
      <c r="F24" s="61">
        <v>28.27</v>
      </c>
      <c r="G24" s="60">
        <v>56500</v>
      </c>
      <c r="H24" s="36">
        <f t="shared" si="0"/>
        <v>1597255</v>
      </c>
      <c r="I24" s="36">
        <v>0</v>
      </c>
      <c r="J24" s="60">
        <v>0</v>
      </c>
      <c r="K24" s="60">
        <v>0</v>
      </c>
      <c r="L24" s="60">
        <v>0</v>
      </c>
      <c r="M24" s="36">
        <f t="shared" si="3"/>
        <v>1597255</v>
      </c>
      <c r="N24" s="36">
        <v>0</v>
      </c>
      <c r="O24" s="60">
        <v>0</v>
      </c>
      <c r="P24" s="36">
        <f t="shared" si="5"/>
        <v>1597255</v>
      </c>
      <c r="Q24" s="61">
        <v>28.27</v>
      </c>
    </row>
    <row r="25" spans="1:17" x14ac:dyDescent="0.25">
      <c r="A25" s="5" t="s">
        <v>12</v>
      </c>
      <c r="B25" s="5" t="s">
        <v>13</v>
      </c>
      <c r="C25" s="6">
        <v>42653</v>
      </c>
      <c r="D25" s="5">
        <f t="shared" si="1"/>
        <v>10</v>
      </c>
      <c r="E25" s="5">
        <f t="shared" si="2"/>
        <v>42</v>
      </c>
      <c r="F25" s="61">
        <v>28.25</v>
      </c>
      <c r="G25" s="60">
        <v>52451</v>
      </c>
      <c r="H25" s="36">
        <f t="shared" si="0"/>
        <v>1481740.75</v>
      </c>
      <c r="I25" s="36">
        <v>0</v>
      </c>
      <c r="J25" s="60">
        <v>0</v>
      </c>
      <c r="K25" s="60">
        <v>0</v>
      </c>
      <c r="L25" s="60">
        <v>0</v>
      </c>
      <c r="M25" s="36">
        <f t="shared" si="3"/>
        <v>1481740.75</v>
      </c>
      <c r="N25" s="36">
        <f t="shared" si="4"/>
        <v>29634.815000000002</v>
      </c>
      <c r="O25" s="60">
        <v>0</v>
      </c>
      <c r="P25" s="36">
        <f t="shared" si="5"/>
        <v>1511375.5649999999</v>
      </c>
      <c r="Q25" s="61">
        <v>28.25</v>
      </c>
    </row>
    <row r="26" spans="1:17" x14ac:dyDescent="0.25">
      <c r="A26" s="5" t="s">
        <v>107</v>
      </c>
      <c r="B26" s="5" t="s">
        <v>110</v>
      </c>
      <c r="C26" s="6">
        <v>42653</v>
      </c>
      <c r="D26" s="5">
        <f t="shared" si="1"/>
        <v>10</v>
      </c>
      <c r="E26" s="5">
        <f t="shared" si="2"/>
        <v>42</v>
      </c>
      <c r="F26" s="61">
        <v>26.72</v>
      </c>
      <c r="G26" s="60">
        <v>62000</v>
      </c>
      <c r="H26" s="36">
        <f t="shared" si="0"/>
        <v>1656640</v>
      </c>
      <c r="I26" s="36">
        <v>0</v>
      </c>
      <c r="J26" s="60">
        <f t="shared" si="6"/>
        <v>207080</v>
      </c>
      <c r="K26" s="60">
        <v>0</v>
      </c>
      <c r="L26" s="60">
        <v>0</v>
      </c>
      <c r="M26" s="36">
        <f t="shared" si="3"/>
        <v>1863720</v>
      </c>
      <c r="N26" s="36">
        <f t="shared" si="4"/>
        <v>37274.400000000001</v>
      </c>
      <c r="O26" s="60">
        <f t="shared" ref="O26:O27" si="9">3200*F26</f>
        <v>85504</v>
      </c>
      <c r="P26" s="36">
        <f t="shared" si="5"/>
        <v>1986498.4</v>
      </c>
      <c r="Q26" s="61">
        <v>26.72</v>
      </c>
    </row>
    <row r="27" spans="1:17" x14ac:dyDescent="0.25">
      <c r="A27" s="5" t="s">
        <v>107</v>
      </c>
      <c r="B27" s="5" t="s">
        <v>110</v>
      </c>
      <c r="C27" s="6">
        <v>42655</v>
      </c>
      <c r="D27" s="5">
        <f t="shared" si="1"/>
        <v>10</v>
      </c>
      <c r="E27" s="5">
        <f t="shared" si="2"/>
        <v>42</v>
      </c>
      <c r="F27" s="61">
        <v>32.11</v>
      </c>
      <c r="G27" s="60">
        <v>62000</v>
      </c>
      <c r="H27" s="36">
        <f t="shared" si="0"/>
        <v>1990820</v>
      </c>
      <c r="I27" s="36">
        <v>0</v>
      </c>
      <c r="J27" s="60">
        <f t="shared" si="6"/>
        <v>248852.5</v>
      </c>
      <c r="K27" s="60">
        <v>0</v>
      </c>
      <c r="L27" s="60">
        <v>0</v>
      </c>
      <c r="M27" s="36">
        <f t="shared" si="3"/>
        <v>2239672.5</v>
      </c>
      <c r="N27" s="36">
        <f t="shared" si="4"/>
        <v>44793.450000000004</v>
      </c>
      <c r="O27" s="60">
        <f t="shared" si="9"/>
        <v>102752</v>
      </c>
      <c r="P27" s="36">
        <f t="shared" si="5"/>
        <v>2387217.9500000002</v>
      </c>
      <c r="Q27" s="61">
        <v>32.11</v>
      </c>
    </row>
    <row r="28" spans="1:17" x14ac:dyDescent="0.25">
      <c r="A28" s="5" t="s">
        <v>93</v>
      </c>
      <c r="B28" s="5" t="s">
        <v>20</v>
      </c>
      <c r="C28" s="6">
        <v>42656</v>
      </c>
      <c r="D28" s="5">
        <f t="shared" si="1"/>
        <v>10</v>
      </c>
      <c r="E28" s="5">
        <f t="shared" si="2"/>
        <v>42</v>
      </c>
      <c r="F28" s="61">
        <v>21.04</v>
      </c>
      <c r="G28" s="60">
        <v>96078.41</v>
      </c>
      <c r="H28" s="36">
        <f t="shared" si="0"/>
        <v>2021489.7464000001</v>
      </c>
      <c r="I28" s="36">
        <v>0</v>
      </c>
      <c r="J28" s="60">
        <v>0</v>
      </c>
      <c r="K28" s="60">
        <v>0</v>
      </c>
      <c r="L28" s="60">
        <v>0</v>
      </c>
      <c r="M28" s="36">
        <f t="shared" si="3"/>
        <v>2021489.7464000001</v>
      </c>
      <c r="N28" s="36">
        <f t="shared" si="4"/>
        <v>40429.794928000003</v>
      </c>
      <c r="O28" s="60">
        <v>0</v>
      </c>
      <c r="P28" s="36">
        <f t="shared" si="5"/>
        <v>2061919.5413280001</v>
      </c>
      <c r="Q28" s="61">
        <v>21.04</v>
      </c>
    </row>
    <row r="29" spans="1:17" x14ac:dyDescent="0.25">
      <c r="A29" s="5" t="s">
        <v>93</v>
      </c>
      <c r="B29" s="5" t="s">
        <v>20</v>
      </c>
      <c r="C29" s="6">
        <v>42656</v>
      </c>
      <c r="D29" s="5">
        <f t="shared" si="1"/>
        <v>10</v>
      </c>
      <c r="E29" s="5">
        <f t="shared" si="2"/>
        <v>42</v>
      </c>
      <c r="F29" s="61">
        <v>20.45</v>
      </c>
      <c r="G29" s="60">
        <v>96078.41</v>
      </c>
      <c r="H29" s="36">
        <f t="shared" si="0"/>
        <v>1964803.4845</v>
      </c>
      <c r="I29" s="36">
        <v>0</v>
      </c>
      <c r="J29" s="60">
        <v>0</v>
      </c>
      <c r="K29" s="60">
        <v>0</v>
      </c>
      <c r="L29" s="60">
        <v>0</v>
      </c>
      <c r="M29" s="36">
        <f t="shared" si="3"/>
        <v>1964803.4845</v>
      </c>
      <c r="N29" s="36">
        <f t="shared" si="4"/>
        <v>39296.069690000004</v>
      </c>
      <c r="O29" s="60">
        <v>0</v>
      </c>
      <c r="P29" s="36">
        <f t="shared" si="5"/>
        <v>2004099.5541900001</v>
      </c>
      <c r="Q29" s="61">
        <v>20.45</v>
      </c>
    </row>
    <row r="30" spans="1:17" x14ac:dyDescent="0.25">
      <c r="A30" s="5" t="s">
        <v>93</v>
      </c>
      <c r="B30" s="5" t="s">
        <v>20</v>
      </c>
      <c r="C30" s="6">
        <v>42658</v>
      </c>
      <c r="D30" s="5">
        <f t="shared" si="1"/>
        <v>10</v>
      </c>
      <c r="E30" s="5">
        <f t="shared" si="2"/>
        <v>42</v>
      </c>
      <c r="F30" s="61">
        <v>20.18</v>
      </c>
      <c r="G30" s="60">
        <v>96078.41</v>
      </c>
      <c r="H30" s="36">
        <f t="shared" si="0"/>
        <v>1938862.3138000001</v>
      </c>
      <c r="I30" s="36">
        <v>0</v>
      </c>
      <c r="J30" s="60">
        <v>0</v>
      </c>
      <c r="K30" s="60">
        <v>0</v>
      </c>
      <c r="L30" s="60">
        <v>0</v>
      </c>
      <c r="M30" s="36">
        <f t="shared" si="3"/>
        <v>1938862.3138000001</v>
      </c>
      <c r="N30" s="36">
        <f t="shared" si="4"/>
        <v>38777.246276000005</v>
      </c>
      <c r="O30" s="60">
        <v>0</v>
      </c>
      <c r="P30" s="36">
        <f t="shared" si="5"/>
        <v>1977639.5600760002</v>
      </c>
      <c r="Q30" s="61">
        <v>20.18</v>
      </c>
    </row>
    <row r="31" spans="1:17" x14ac:dyDescent="0.25">
      <c r="A31" s="5" t="s">
        <v>93</v>
      </c>
      <c r="B31" s="5" t="s">
        <v>20</v>
      </c>
      <c r="C31" s="6">
        <v>42658</v>
      </c>
      <c r="D31" s="5">
        <f t="shared" si="1"/>
        <v>10</v>
      </c>
      <c r="E31" s="5">
        <f t="shared" si="2"/>
        <v>42</v>
      </c>
      <c r="F31" s="61">
        <v>20.21</v>
      </c>
      <c r="G31" s="60">
        <v>96078.41</v>
      </c>
      <c r="H31" s="36">
        <f t="shared" si="0"/>
        <v>1941744.6661000003</v>
      </c>
      <c r="I31" s="36">
        <v>0</v>
      </c>
      <c r="J31" s="60">
        <v>0</v>
      </c>
      <c r="K31" s="60">
        <v>0</v>
      </c>
      <c r="L31" s="60">
        <v>0</v>
      </c>
      <c r="M31" s="36">
        <f t="shared" si="3"/>
        <v>1941744.6661000003</v>
      </c>
      <c r="N31" s="36">
        <f t="shared" si="4"/>
        <v>38834.893322000004</v>
      </c>
      <c r="O31" s="60">
        <v>0</v>
      </c>
      <c r="P31" s="36">
        <f t="shared" si="5"/>
        <v>1980579.5594220003</v>
      </c>
      <c r="Q31" s="61">
        <v>20.21</v>
      </c>
    </row>
    <row r="32" spans="1:17" x14ac:dyDescent="0.25">
      <c r="A32" s="5" t="s">
        <v>12</v>
      </c>
      <c r="B32" s="5" t="s">
        <v>13</v>
      </c>
      <c r="C32" s="6">
        <v>42658</v>
      </c>
      <c r="D32" s="5">
        <f t="shared" si="1"/>
        <v>10</v>
      </c>
      <c r="E32" s="5">
        <f t="shared" si="2"/>
        <v>42</v>
      </c>
      <c r="F32" s="61">
        <v>28.39</v>
      </c>
      <c r="G32" s="60">
        <v>52451</v>
      </c>
      <c r="H32" s="36">
        <f t="shared" si="0"/>
        <v>1489083.8900000001</v>
      </c>
      <c r="I32" s="36">
        <v>0</v>
      </c>
      <c r="J32" s="60">
        <v>0</v>
      </c>
      <c r="K32" s="60">
        <v>0</v>
      </c>
      <c r="L32" s="60">
        <v>0</v>
      </c>
      <c r="M32" s="36">
        <f t="shared" si="3"/>
        <v>1489083.8900000001</v>
      </c>
      <c r="N32" s="36">
        <f t="shared" si="4"/>
        <v>29781.677800000005</v>
      </c>
      <c r="O32" s="60">
        <v>0</v>
      </c>
      <c r="P32" s="36">
        <f t="shared" si="5"/>
        <v>1518865.5678000001</v>
      </c>
      <c r="Q32" s="61">
        <v>28.39</v>
      </c>
    </row>
    <row r="33" spans="1:17" x14ac:dyDescent="0.25">
      <c r="A33" s="5" t="s">
        <v>21</v>
      </c>
      <c r="B33" s="5" t="s">
        <v>15</v>
      </c>
      <c r="C33" s="6">
        <v>42658</v>
      </c>
      <c r="D33" s="5">
        <f t="shared" si="1"/>
        <v>10</v>
      </c>
      <c r="E33" s="5">
        <f t="shared" si="2"/>
        <v>42</v>
      </c>
      <c r="F33" s="61">
        <v>29.64</v>
      </c>
      <c r="G33" s="60">
        <v>58453.4</v>
      </c>
      <c r="H33" s="36">
        <f t="shared" si="0"/>
        <v>1732558.7760000001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3"/>
        <v>1732558.7760000001</v>
      </c>
      <c r="N33" s="36">
        <v>0</v>
      </c>
      <c r="O33" s="60">
        <v>0</v>
      </c>
      <c r="P33" s="36">
        <f t="shared" si="5"/>
        <v>1732558.7760000001</v>
      </c>
      <c r="Q33" s="61">
        <v>29.64</v>
      </c>
    </row>
    <row r="34" spans="1:17" x14ac:dyDescent="0.25">
      <c r="A34" s="5" t="s">
        <v>31</v>
      </c>
      <c r="B34" s="5" t="s">
        <v>15</v>
      </c>
      <c r="C34" s="6">
        <v>42658</v>
      </c>
      <c r="D34" s="5">
        <f t="shared" si="1"/>
        <v>10</v>
      </c>
      <c r="E34" s="5">
        <f t="shared" si="2"/>
        <v>42</v>
      </c>
      <c r="F34" s="61">
        <v>18.54</v>
      </c>
      <c r="G34" s="60">
        <v>58264.07</v>
      </c>
      <c r="H34" s="36">
        <f t="shared" si="0"/>
        <v>1080215.8577999999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3"/>
        <v>1080215.8577999999</v>
      </c>
      <c r="N34" s="36">
        <v>0</v>
      </c>
      <c r="O34" s="60">
        <v>0</v>
      </c>
      <c r="P34" s="36">
        <f t="shared" si="5"/>
        <v>1080215.8577999999</v>
      </c>
      <c r="Q34" s="61">
        <v>18.54</v>
      </c>
    </row>
    <row r="35" spans="1:17" x14ac:dyDescent="0.25">
      <c r="A35" s="5" t="s">
        <v>24</v>
      </c>
      <c r="B35" s="5" t="s">
        <v>18</v>
      </c>
      <c r="C35" s="6">
        <v>42658</v>
      </c>
      <c r="D35" s="5">
        <f t="shared" si="1"/>
        <v>10</v>
      </c>
      <c r="E35" s="5">
        <f t="shared" si="2"/>
        <v>42</v>
      </c>
      <c r="F35" s="61">
        <v>19.899999999999999</v>
      </c>
      <c r="G35" s="60">
        <v>57000</v>
      </c>
      <c r="H35" s="36">
        <f t="shared" si="0"/>
        <v>1134300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3"/>
        <v>1134300</v>
      </c>
      <c r="N35" s="36">
        <v>0</v>
      </c>
      <c r="O35" s="60">
        <v>0</v>
      </c>
      <c r="P35" s="36">
        <f t="shared" si="5"/>
        <v>1134300</v>
      </c>
      <c r="Q35" s="61">
        <v>19.899999999999999</v>
      </c>
    </row>
    <row r="36" spans="1:17" x14ac:dyDescent="0.25">
      <c r="A36" s="5" t="s">
        <v>90</v>
      </c>
      <c r="B36" s="5" t="s">
        <v>20</v>
      </c>
      <c r="C36" s="6">
        <v>42660</v>
      </c>
      <c r="D36" s="5">
        <f t="shared" si="1"/>
        <v>10</v>
      </c>
      <c r="E36" s="5">
        <f t="shared" si="2"/>
        <v>43</v>
      </c>
      <c r="F36" s="61">
        <v>19.91</v>
      </c>
      <c r="G36" s="60">
        <v>92650</v>
      </c>
      <c r="H36" s="36">
        <f t="shared" si="0"/>
        <v>1844661.5</v>
      </c>
      <c r="I36" s="36">
        <v>0</v>
      </c>
      <c r="J36" s="60">
        <v>0</v>
      </c>
      <c r="K36" s="60">
        <v>0</v>
      </c>
      <c r="L36" s="60">
        <v>0</v>
      </c>
      <c r="M36" s="36">
        <f t="shared" si="3"/>
        <v>1844661.5</v>
      </c>
      <c r="N36" s="36">
        <f t="shared" si="4"/>
        <v>36893.230000000003</v>
      </c>
      <c r="O36" s="60">
        <v>0</v>
      </c>
      <c r="P36" s="36">
        <f t="shared" si="5"/>
        <v>1881554.73</v>
      </c>
      <c r="Q36" s="61">
        <v>19.91</v>
      </c>
    </row>
    <row r="37" spans="1:17" x14ac:dyDescent="0.25">
      <c r="A37" s="5" t="s">
        <v>30</v>
      </c>
      <c r="B37" s="5" t="s">
        <v>15</v>
      </c>
      <c r="C37" s="6">
        <v>42660</v>
      </c>
      <c r="D37" s="5">
        <f t="shared" si="1"/>
        <v>10</v>
      </c>
      <c r="E37" s="5">
        <f t="shared" si="2"/>
        <v>43</v>
      </c>
      <c r="F37" s="61">
        <v>30.35</v>
      </c>
      <c r="G37" s="60">
        <v>58124.68</v>
      </c>
      <c r="H37" s="36">
        <f t="shared" si="0"/>
        <v>1764084.0380000002</v>
      </c>
      <c r="I37" s="36">
        <v>0</v>
      </c>
      <c r="J37" s="60">
        <v>0</v>
      </c>
      <c r="K37" s="60">
        <v>0</v>
      </c>
      <c r="L37" s="60">
        <v>0</v>
      </c>
      <c r="M37" s="36">
        <f t="shared" si="3"/>
        <v>1764084.0380000002</v>
      </c>
      <c r="N37" s="36">
        <v>0</v>
      </c>
      <c r="O37" s="60">
        <v>0</v>
      </c>
      <c r="P37" s="36">
        <f t="shared" si="5"/>
        <v>1764084.0380000002</v>
      </c>
      <c r="Q37" s="61">
        <v>30.35</v>
      </c>
    </row>
    <row r="38" spans="1:17" x14ac:dyDescent="0.25">
      <c r="A38" s="5" t="s">
        <v>90</v>
      </c>
      <c r="B38" s="5" t="s">
        <v>20</v>
      </c>
      <c r="C38" s="6">
        <v>42660</v>
      </c>
      <c r="D38" s="5">
        <f t="shared" si="1"/>
        <v>10</v>
      </c>
      <c r="E38" s="5">
        <f t="shared" si="2"/>
        <v>43</v>
      </c>
      <c r="F38" s="61">
        <v>20.25</v>
      </c>
      <c r="G38" s="60">
        <v>92650</v>
      </c>
      <c r="H38" s="36">
        <f t="shared" si="0"/>
        <v>1876162.5</v>
      </c>
      <c r="I38" s="36">
        <v>0</v>
      </c>
      <c r="J38" s="60">
        <v>0</v>
      </c>
      <c r="K38" s="60">
        <v>0</v>
      </c>
      <c r="L38" s="60">
        <v>0</v>
      </c>
      <c r="M38" s="36">
        <f t="shared" si="3"/>
        <v>1876162.5</v>
      </c>
      <c r="N38" s="36">
        <f t="shared" ref="N38:N39" si="10">M38*2%</f>
        <v>37523.25</v>
      </c>
      <c r="O38" s="60">
        <v>0</v>
      </c>
      <c r="P38" s="36">
        <f t="shared" si="5"/>
        <v>1913685.75</v>
      </c>
      <c r="Q38" s="61">
        <v>20.25</v>
      </c>
    </row>
    <row r="39" spans="1:17" x14ac:dyDescent="0.25">
      <c r="A39" s="5" t="s">
        <v>90</v>
      </c>
      <c r="B39" s="5" t="s">
        <v>20</v>
      </c>
      <c r="C39" s="6">
        <v>42660</v>
      </c>
      <c r="D39" s="5">
        <f t="shared" si="1"/>
        <v>10</v>
      </c>
      <c r="E39" s="5">
        <f t="shared" si="2"/>
        <v>43</v>
      </c>
      <c r="F39" s="61">
        <v>19.97</v>
      </c>
      <c r="G39" s="60">
        <v>92650</v>
      </c>
      <c r="H39" s="36">
        <f t="shared" si="0"/>
        <v>1850220.5</v>
      </c>
      <c r="I39" s="36">
        <v>0</v>
      </c>
      <c r="J39" s="60">
        <v>0</v>
      </c>
      <c r="K39" s="60">
        <v>0</v>
      </c>
      <c r="L39" s="60">
        <v>0</v>
      </c>
      <c r="M39" s="36">
        <f t="shared" si="3"/>
        <v>1850220.5</v>
      </c>
      <c r="N39" s="36">
        <f t="shared" si="10"/>
        <v>37004.410000000003</v>
      </c>
      <c r="O39" s="60">
        <v>0</v>
      </c>
      <c r="P39" s="36">
        <f t="shared" si="5"/>
        <v>1887224.91</v>
      </c>
      <c r="Q39" s="61">
        <v>19.97</v>
      </c>
    </row>
    <row r="40" spans="1:17" x14ac:dyDescent="0.25">
      <c r="A40" s="5" t="s">
        <v>24</v>
      </c>
      <c r="B40" s="5" t="s">
        <v>18</v>
      </c>
      <c r="C40" s="6">
        <v>42662</v>
      </c>
      <c r="D40" s="5">
        <f t="shared" si="1"/>
        <v>10</v>
      </c>
      <c r="E40" s="5">
        <f t="shared" si="2"/>
        <v>43</v>
      </c>
      <c r="F40" s="61">
        <v>20.23</v>
      </c>
      <c r="G40" s="60">
        <v>57129.919999999998</v>
      </c>
      <c r="H40" s="36">
        <f t="shared" si="0"/>
        <v>1155738.2816000001</v>
      </c>
      <c r="I40" s="36">
        <v>0</v>
      </c>
      <c r="J40" s="60">
        <v>0</v>
      </c>
      <c r="K40" s="60">
        <v>0</v>
      </c>
      <c r="L40" s="60">
        <v>0</v>
      </c>
      <c r="M40" s="36">
        <f t="shared" si="3"/>
        <v>1155738.2816000001</v>
      </c>
      <c r="N40" s="36">
        <v>0</v>
      </c>
      <c r="O40" s="60">
        <v>0</v>
      </c>
      <c r="P40" s="36">
        <f t="shared" si="5"/>
        <v>1155738.2816000001</v>
      </c>
      <c r="Q40" s="61">
        <v>20.23</v>
      </c>
    </row>
    <row r="41" spans="1:17" x14ac:dyDescent="0.25">
      <c r="A41" s="5" t="s">
        <v>32</v>
      </c>
      <c r="B41" s="5" t="s">
        <v>18</v>
      </c>
      <c r="C41" s="6">
        <v>42662</v>
      </c>
      <c r="D41" s="5">
        <f t="shared" si="1"/>
        <v>10</v>
      </c>
      <c r="E41" s="5">
        <f t="shared" si="2"/>
        <v>43</v>
      </c>
      <c r="F41" s="61">
        <v>19.920000000000002</v>
      </c>
      <c r="G41" s="60">
        <v>56100</v>
      </c>
      <c r="H41" s="36">
        <f t="shared" si="0"/>
        <v>1117512</v>
      </c>
      <c r="I41" s="36">
        <v>0</v>
      </c>
      <c r="J41" s="60">
        <v>0</v>
      </c>
      <c r="K41" s="60">
        <v>0</v>
      </c>
      <c r="L41" s="60">
        <v>0</v>
      </c>
      <c r="M41" s="36">
        <f t="shared" si="3"/>
        <v>1117512</v>
      </c>
      <c r="N41" s="36">
        <v>0</v>
      </c>
      <c r="O41" s="60">
        <v>0</v>
      </c>
      <c r="P41" s="36">
        <f t="shared" si="5"/>
        <v>1117512</v>
      </c>
      <c r="Q41" s="61">
        <v>19.940000000000001</v>
      </c>
    </row>
    <row r="42" spans="1:17" x14ac:dyDescent="0.25">
      <c r="A42" s="5" t="s">
        <v>32</v>
      </c>
      <c r="B42" s="5" t="s">
        <v>18</v>
      </c>
      <c r="C42" s="6">
        <v>42662</v>
      </c>
      <c r="D42" s="5">
        <f t="shared" si="1"/>
        <v>10</v>
      </c>
      <c r="E42" s="5">
        <f t="shared" si="2"/>
        <v>43</v>
      </c>
      <c r="F42" s="61">
        <v>31.56</v>
      </c>
      <c r="G42" s="60">
        <v>56855.14</v>
      </c>
      <c r="H42" s="36">
        <f t="shared" si="0"/>
        <v>1794348.2183999999</v>
      </c>
      <c r="I42" s="36">
        <v>0</v>
      </c>
      <c r="J42" s="60">
        <v>0</v>
      </c>
      <c r="K42" s="60">
        <v>0</v>
      </c>
      <c r="L42" s="60">
        <v>0</v>
      </c>
      <c r="M42" s="36">
        <f t="shared" si="3"/>
        <v>1794348.2183999999</v>
      </c>
      <c r="N42" s="36">
        <v>0</v>
      </c>
      <c r="O42" s="60">
        <v>0</v>
      </c>
      <c r="P42" s="36">
        <f t="shared" si="5"/>
        <v>1794348.2183999999</v>
      </c>
      <c r="Q42" s="61">
        <v>31.56</v>
      </c>
    </row>
    <row r="43" spans="1:17" x14ac:dyDescent="0.25">
      <c r="A43" s="5" t="s">
        <v>27</v>
      </c>
      <c r="B43" s="5" t="s">
        <v>18</v>
      </c>
      <c r="C43" s="6">
        <v>42662</v>
      </c>
      <c r="D43" s="5">
        <f t="shared" si="1"/>
        <v>10</v>
      </c>
      <c r="E43" s="5">
        <f t="shared" si="2"/>
        <v>43</v>
      </c>
      <c r="F43" s="61">
        <v>20.93</v>
      </c>
      <c r="G43" s="60">
        <v>56100</v>
      </c>
      <c r="H43" s="36">
        <f t="shared" si="0"/>
        <v>1174173</v>
      </c>
      <c r="I43" s="36">
        <v>0</v>
      </c>
      <c r="J43" s="60">
        <v>0</v>
      </c>
      <c r="K43" s="60">
        <v>0</v>
      </c>
      <c r="L43" s="60">
        <v>0</v>
      </c>
      <c r="M43" s="36">
        <f t="shared" si="3"/>
        <v>1174173</v>
      </c>
      <c r="N43" s="36">
        <v>0</v>
      </c>
      <c r="O43" s="60">
        <v>0</v>
      </c>
      <c r="P43" s="36">
        <f t="shared" si="5"/>
        <v>1174173</v>
      </c>
      <c r="Q43" s="61">
        <v>20.93</v>
      </c>
    </row>
    <row r="44" spans="1:17" x14ac:dyDescent="0.25">
      <c r="A44" s="5" t="s">
        <v>12</v>
      </c>
      <c r="B44" s="5" t="s">
        <v>13</v>
      </c>
      <c r="C44" s="6">
        <v>42663</v>
      </c>
      <c r="D44" s="5">
        <f t="shared" si="1"/>
        <v>10</v>
      </c>
      <c r="E44" s="5">
        <f t="shared" si="2"/>
        <v>43</v>
      </c>
      <c r="F44" s="61">
        <v>28.23</v>
      </c>
      <c r="G44" s="60">
        <v>50057.97</v>
      </c>
      <c r="H44" s="36">
        <f t="shared" si="0"/>
        <v>1413136.4931000001</v>
      </c>
      <c r="I44" s="36">
        <v>0</v>
      </c>
      <c r="J44" s="60">
        <v>0</v>
      </c>
      <c r="K44" s="60">
        <v>0</v>
      </c>
      <c r="L44" s="60">
        <v>0</v>
      </c>
      <c r="M44" s="36">
        <f t="shared" si="3"/>
        <v>1413136.4931000001</v>
      </c>
      <c r="N44" s="36">
        <f t="shared" si="4"/>
        <v>28262.729862000004</v>
      </c>
      <c r="O44" s="60">
        <v>0</v>
      </c>
      <c r="P44" s="36">
        <f t="shared" si="5"/>
        <v>1441399.2229620002</v>
      </c>
      <c r="Q44" s="61">
        <v>28.23</v>
      </c>
    </row>
    <row r="45" spans="1:17" x14ac:dyDescent="0.25">
      <c r="A45" s="5" t="s">
        <v>90</v>
      </c>
      <c r="B45" s="5" t="s">
        <v>20</v>
      </c>
      <c r="C45" s="6">
        <v>42664</v>
      </c>
      <c r="D45" s="5">
        <f t="shared" si="1"/>
        <v>10</v>
      </c>
      <c r="E45" s="5">
        <f t="shared" si="2"/>
        <v>43</v>
      </c>
      <c r="F45" s="61">
        <v>19.97</v>
      </c>
      <c r="G45" s="60">
        <v>92650</v>
      </c>
      <c r="H45" s="36">
        <f t="shared" si="0"/>
        <v>1850220.5</v>
      </c>
      <c r="I45" s="36">
        <v>0</v>
      </c>
      <c r="J45" s="60">
        <v>0</v>
      </c>
      <c r="K45" s="60">
        <v>0</v>
      </c>
      <c r="L45" s="60">
        <v>0</v>
      </c>
      <c r="M45" s="36">
        <f t="shared" si="3"/>
        <v>1850220.5</v>
      </c>
      <c r="N45" s="36">
        <f t="shared" si="4"/>
        <v>37004.410000000003</v>
      </c>
      <c r="O45" s="60">
        <v>0</v>
      </c>
      <c r="P45" s="36">
        <f t="shared" si="5"/>
        <v>1887224.91</v>
      </c>
      <c r="Q45" s="61">
        <v>19.97</v>
      </c>
    </row>
    <row r="46" spans="1:17" x14ac:dyDescent="0.25">
      <c r="A46" s="5" t="s">
        <v>90</v>
      </c>
      <c r="B46" s="5" t="s">
        <v>20</v>
      </c>
      <c r="C46" s="6">
        <v>42664</v>
      </c>
      <c r="D46" s="5">
        <f t="shared" si="1"/>
        <v>10</v>
      </c>
      <c r="E46" s="5">
        <f t="shared" si="2"/>
        <v>43</v>
      </c>
      <c r="F46" s="61">
        <v>19.940000000000001</v>
      </c>
      <c r="G46" s="60">
        <v>92650</v>
      </c>
      <c r="H46" s="36">
        <f t="shared" si="0"/>
        <v>1847441.0000000002</v>
      </c>
      <c r="I46" s="36">
        <v>0</v>
      </c>
      <c r="J46" s="60">
        <v>0</v>
      </c>
      <c r="K46" s="60">
        <v>0</v>
      </c>
      <c r="L46" s="60">
        <v>0</v>
      </c>
      <c r="M46" s="36">
        <f t="shared" si="3"/>
        <v>1847441.0000000002</v>
      </c>
      <c r="N46" s="36">
        <f t="shared" si="4"/>
        <v>36948.820000000007</v>
      </c>
      <c r="O46" s="60">
        <v>0</v>
      </c>
      <c r="P46" s="36">
        <f t="shared" si="5"/>
        <v>1884389.8200000003</v>
      </c>
      <c r="Q46" s="61">
        <v>19.940000000000001</v>
      </c>
    </row>
    <row r="47" spans="1:17" x14ac:dyDescent="0.25">
      <c r="A47" s="5" t="s">
        <v>90</v>
      </c>
      <c r="B47" s="5" t="s">
        <v>20</v>
      </c>
      <c r="C47" s="6">
        <v>42665</v>
      </c>
      <c r="D47" s="5">
        <f t="shared" si="1"/>
        <v>10</v>
      </c>
      <c r="E47" s="5">
        <f t="shared" si="2"/>
        <v>43</v>
      </c>
      <c r="F47" s="61">
        <v>20.07</v>
      </c>
      <c r="G47" s="60">
        <v>93140</v>
      </c>
      <c r="H47" s="36">
        <f t="shared" si="0"/>
        <v>1869319.8</v>
      </c>
      <c r="I47" s="36">
        <v>0</v>
      </c>
      <c r="J47" s="60">
        <v>0</v>
      </c>
      <c r="K47" s="60">
        <v>0</v>
      </c>
      <c r="L47" s="60">
        <v>0</v>
      </c>
      <c r="M47" s="36">
        <f t="shared" si="3"/>
        <v>1869319.8</v>
      </c>
      <c r="N47" s="36">
        <f t="shared" si="4"/>
        <v>37386.396000000001</v>
      </c>
      <c r="O47" s="60">
        <v>0</v>
      </c>
      <c r="P47" s="36">
        <f t="shared" si="5"/>
        <v>1906706.196</v>
      </c>
      <c r="Q47" s="61">
        <v>20.07</v>
      </c>
    </row>
    <row r="48" spans="1:17" x14ac:dyDescent="0.25">
      <c r="A48" s="5" t="s">
        <v>67</v>
      </c>
      <c r="B48" s="5" t="s">
        <v>15</v>
      </c>
      <c r="C48" s="6">
        <v>42666</v>
      </c>
      <c r="D48" s="5">
        <f t="shared" si="1"/>
        <v>10</v>
      </c>
      <c r="E48" s="5">
        <f t="shared" si="2"/>
        <v>44</v>
      </c>
      <c r="F48" s="61">
        <v>20.57</v>
      </c>
      <c r="G48" s="60">
        <v>50900</v>
      </c>
      <c r="H48" s="36">
        <f t="shared" si="0"/>
        <v>1047013</v>
      </c>
      <c r="I48" s="36">
        <v>0</v>
      </c>
      <c r="J48" s="60">
        <v>0</v>
      </c>
      <c r="K48" s="60">
        <v>0</v>
      </c>
      <c r="L48" s="60">
        <v>0</v>
      </c>
      <c r="M48" s="36">
        <f t="shared" si="3"/>
        <v>1047013</v>
      </c>
      <c r="N48" s="36">
        <v>0</v>
      </c>
      <c r="O48" s="60">
        <v>0</v>
      </c>
      <c r="P48" s="36">
        <f t="shared" si="5"/>
        <v>1047013</v>
      </c>
      <c r="Q48" s="61">
        <v>20.57</v>
      </c>
    </row>
    <row r="49" spans="1:17" x14ac:dyDescent="0.25">
      <c r="A49" s="5" t="s">
        <v>90</v>
      </c>
      <c r="B49" s="5" t="s">
        <v>20</v>
      </c>
      <c r="C49" s="6">
        <v>42666</v>
      </c>
      <c r="D49" s="5">
        <f t="shared" si="1"/>
        <v>10</v>
      </c>
      <c r="E49" s="5">
        <f t="shared" si="2"/>
        <v>44</v>
      </c>
      <c r="F49" s="61">
        <v>20.29</v>
      </c>
      <c r="G49" s="60">
        <v>93140</v>
      </c>
      <c r="H49" s="36">
        <f t="shared" si="0"/>
        <v>1889810.5999999999</v>
      </c>
      <c r="I49" s="36">
        <v>0</v>
      </c>
      <c r="J49" s="60">
        <v>0</v>
      </c>
      <c r="K49" s="60">
        <v>0</v>
      </c>
      <c r="L49" s="60">
        <v>0</v>
      </c>
      <c r="M49" s="36">
        <f t="shared" si="3"/>
        <v>1889810.5999999999</v>
      </c>
      <c r="N49" s="36">
        <f t="shared" si="4"/>
        <v>37796.212</v>
      </c>
      <c r="O49" s="60">
        <v>0</v>
      </c>
      <c r="P49" s="36">
        <f t="shared" si="5"/>
        <v>1927606.8119999999</v>
      </c>
      <c r="Q49" s="61">
        <v>20.29</v>
      </c>
    </row>
    <row r="50" spans="1:17" x14ac:dyDescent="0.25">
      <c r="A50" s="5" t="s">
        <v>94</v>
      </c>
      <c r="B50" s="5" t="s">
        <v>20</v>
      </c>
      <c r="C50" s="6">
        <v>42667</v>
      </c>
      <c r="D50" s="5">
        <f t="shared" si="1"/>
        <v>10</v>
      </c>
      <c r="E50" s="5">
        <f t="shared" si="2"/>
        <v>44</v>
      </c>
      <c r="F50" s="61">
        <v>32.99</v>
      </c>
      <c r="G50" s="60">
        <v>96323.55</v>
      </c>
      <c r="H50" s="36">
        <f t="shared" si="0"/>
        <v>3177713.9145000004</v>
      </c>
      <c r="I50" s="36">
        <v>0</v>
      </c>
      <c r="J50" s="60">
        <v>0</v>
      </c>
      <c r="K50" s="60">
        <v>0</v>
      </c>
      <c r="L50" s="60">
        <v>0</v>
      </c>
      <c r="M50" s="36">
        <f t="shared" si="3"/>
        <v>3177713.9145000004</v>
      </c>
      <c r="N50" s="36">
        <f t="shared" si="4"/>
        <v>63554.278290000009</v>
      </c>
      <c r="O50" s="60">
        <v>0</v>
      </c>
      <c r="P50" s="36">
        <f t="shared" si="5"/>
        <v>3241268.1927900002</v>
      </c>
      <c r="Q50" s="61">
        <v>32.99</v>
      </c>
    </row>
    <row r="51" spans="1:17" x14ac:dyDescent="0.25">
      <c r="A51" s="5" t="s">
        <v>90</v>
      </c>
      <c r="B51" s="5" t="s">
        <v>20</v>
      </c>
      <c r="C51" s="6">
        <v>42667</v>
      </c>
      <c r="D51" s="5">
        <f t="shared" si="1"/>
        <v>10</v>
      </c>
      <c r="E51" s="5">
        <f t="shared" si="2"/>
        <v>44</v>
      </c>
      <c r="F51" s="61">
        <v>19.989999999999998</v>
      </c>
      <c r="G51" s="60">
        <v>93140</v>
      </c>
      <c r="H51" s="36">
        <f t="shared" si="0"/>
        <v>1861868.5999999999</v>
      </c>
      <c r="I51" s="36">
        <v>0</v>
      </c>
      <c r="J51" s="60">
        <v>0</v>
      </c>
      <c r="K51" s="60">
        <v>0</v>
      </c>
      <c r="L51" s="60">
        <v>0</v>
      </c>
      <c r="M51" s="36">
        <f t="shared" si="3"/>
        <v>1861868.5999999999</v>
      </c>
      <c r="N51" s="36">
        <f t="shared" si="4"/>
        <v>37237.371999999996</v>
      </c>
      <c r="O51" s="60">
        <v>0</v>
      </c>
      <c r="P51" s="36">
        <f t="shared" si="5"/>
        <v>1899105.9719999998</v>
      </c>
      <c r="Q51" s="61">
        <v>19.989999999999998</v>
      </c>
    </row>
    <row r="52" spans="1:17" x14ac:dyDescent="0.25">
      <c r="A52" s="5" t="s">
        <v>94</v>
      </c>
      <c r="B52" s="5" t="s">
        <v>20</v>
      </c>
      <c r="C52" s="6">
        <v>42667</v>
      </c>
      <c r="D52" s="5">
        <f t="shared" si="1"/>
        <v>10</v>
      </c>
      <c r="E52" s="5">
        <f t="shared" si="2"/>
        <v>44</v>
      </c>
      <c r="F52" s="61">
        <v>33.1</v>
      </c>
      <c r="G52" s="60">
        <v>96323.55</v>
      </c>
      <c r="H52" s="36">
        <f t="shared" si="0"/>
        <v>3188309.5050000004</v>
      </c>
      <c r="I52" s="36">
        <v>0</v>
      </c>
      <c r="J52" s="60">
        <v>0</v>
      </c>
      <c r="K52" s="60">
        <v>0</v>
      </c>
      <c r="L52" s="60">
        <v>0</v>
      </c>
      <c r="M52" s="36">
        <f t="shared" si="3"/>
        <v>3188309.5050000004</v>
      </c>
      <c r="N52" s="36">
        <f t="shared" si="4"/>
        <v>63766.190100000007</v>
      </c>
      <c r="O52" s="60">
        <v>0</v>
      </c>
      <c r="P52" s="36">
        <f t="shared" si="5"/>
        <v>3252075.6951000001</v>
      </c>
      <c r="Q52" s="61">
        <v>33.1</v>
      </c>
    </row>
    <row r="53" spans="1:17" x14ac:dyDescent="0.25">
      <c r="A53" s="5" t="s">
        <v>93</v>
      </c>
      <c r="B53" s="5" t="s">
        <v>20</v>
      </c>
      <c r="C53" s="6">
        <v>42667</v>
      </c>
      <c r="D53" s="5">
        <f t="shared" si="1"/>
        <v>10</v>
      </c>
      <c r="E53" s="5">
        <f t="shared" si="2"/>
        <v>44</v>
      </c>
      <c r="F53" s="61">
        <v>20.11</v>
      </c>
      <c r="G53" s="60">
        <v>96078.45</v>
      </c>
      <c r="H53" s="36">
        <f t="shared" si="0"/>
        <v>1932137.6294999998</v>
      </c>
      <c r="I53" s="36">
        <v>0</v>
      </c>
      <c r="J53" s="60">
        <v>0</v>
      </c>
      <c r="K53" s="60">
        <v>0</v>
      </c>
      <c r="L53" s="60">
        <v>0</v>
      </c>
      <c r="M53" s="36">
        <f t="shared" si="3"/>
        <v>1932137.6294999998</v>
      </c>
      <c r="N53" s="36">
        <f t="shared" si="4"/>
        <v>38642.752589999996</v>
      </c>
      <c r="O53" s="60">
        <v>0</v>
      </c>
      <c r="P53" s="36">
        <f t="shared" si="5"/>
        <v>1970780.3820899997</v>
      </c>
      <c r="Q53" s="61">
        <v>20.11</v>
      </c>
    </row>
    <row r="54" spans="1:17" x14ac:dyDescent="0.25">
      <c r="A54" s="5" t="s">
        <v>90</v>
      </c>
      <c r="B54" s="5" t="s">
        <v>20</v>
      </c>
      <c r="C54" s="6">
        <v>42667</v>
      </c>
      <c r="D54" s="5">
        <f t="shared" si="1"/>
        <v>10</v>
      </c>
      <c r="E54" s="5">
        <f t="shared" si="2"/>
        <v>44</v>
      </c>
      <c r="F54" s="61">
        <v>19.55</v>
      </c>
      <c r="G54" s="60">
        <v>93140</v>
      </c>
      <c r="H54" s="36">
        <f t="shared" si="0"/>
        <v>1820887</v>
      </c>
      <c r="I54" s="36">
        <v>0</v>
      </c>
      <c r="J54" s="60">
        <v>0</v>
      </c>
      <c r="K54" s="60">
        <v>0</v>
      </c>
      <c r="L54" s="60">
        <v>0</v>
      </c>
      <c r="M54" s="36">
        <f t="shared" si="3"/>
        <v>1820887</v>
      </c>
      <c r="N54" s="36">
        <f t="shared" si="4"/>
        <v>36417.74</v>
      </c>
      <c r="O54" s="60">
        <v>0</v>
      </c>
      <c r="P54" s="36">
        <f t="shared" si="5"/>
        <v>1857304.74</v>
      </c>
      <c r="Q54" s="61">
        <v>19.55</v>
      </c>
    </row>
    <row r="55" spans="1:17" x14ac:dyDescent="0.25">
      <c r="A55" s="5" t="s">
        <v>27</v>
      </c>
      <c r="B55" s="5" t="s">
        <v>18</v>
      </c>
      <c r="C55" s="6">
        <v>42668</v>
      </c>
      <c r="D55" s="5">
        <f t="shared" si="1"/>
        <v>10</v>
      </c>
      <c r="E55" s="5">
        <f t="shared" si="2"/>
        <v>44</v>
      </c>
      <c r="F55" s="61">
        <v>27.64</v>
      </c>
      <c r="G55" s="60">
        <v>56839.97</v>
      </c>
      <c r="H55" s="36">
        <f t="shared" si="0"/>
        <v>1571056.7708000001</v>
      </c>
      <c r="I55" s="36">
        <v>0</v>
      </c>
      <c r="J55" s="60">
        <v>0</v>
      </c>
      <c r="K55" s="60">
        <v>0</v>
      </c>
      <c r="L55" s="60">
        <v>0</v>
      </c>
      <c r="M55" s="36">
        <f t="shared" si="3"/>
        <v>1571056.7708000001</v>
      </c>
      <c r="N55" s="36">
        <v>0</v>
      </c>
      <c r="O55" s="60">
        <v>0</v>
      </c>
      <c r="P55" s="36">
        <f t="shared" si="5"/>
        <v>1571056.7708000001</v>
      </c>
      <c r="Q55" s="61">
        <v>27.64</v>
      </c>
    </row>
    <row r="56" spans="1:17" x14ac:dyDescent="0.25">
      <c r="A56" s="5" t="s">
        <v>94</v>
      </c>
      <c r="B56" s="5" t="s">
        <v>20</v>
      </c>
      <c r="C56" s="6">
        <v>42669</v>
      </c>
      <c r="D56" s="5">
        <f t="shared" si="1"/>
        <v>10</v>
      </c>
      <c r="E56" s="5">
        <f t="shared" si="2"/>
        <v>44</v>
      </c>
      <c r="F56" s="61">
        <v>25.27</v>
      </c>
      <c r="G56" s="60">
        <v>96323.55</v>
      </c>
      <c r="H56" s="36">
        <f t="shared" si="0"/>
        <v>2434096.1085000001</v>
      </c>
      <c r="I56" s="36">
        <v>0</v>
      </c>
      <c r="J56" s="60">
        <v>0</v>
      </c>
      <c r="K56" s="60">
        <v>0</v>
      </c>
      <c r="L56" s="60">
        <v>0</v>
      </c>
      <c r="M56" s="36">
        <f t="shared" si="3"/>
        <v>2434096.1085000001</v>
      </c>
      <c r="N56" s="36">
        <f t="shared" si="4"/>
        <v>48681.922170000005</v>
      </c>
      <c r="O56" s="60">
        <v>0</v>
      </c>
      <c r="P56" s="36">
        <f t="shared" si="5"/>
        <v>2482778.0306700002</v>
      </c>
      <c r="Q56" s="61">
        <v>25.27</v>
      </c>
    </row>
    <row r="57" spans="1:17" x14ac:dyDescent="0.25">
      <c r="A57" s="5" t="s">
        <v>24</v>
      </c>
      <c r="B57" s="5" t="s">
        <v>15</v>
      </c>
      <c r="C57" s="6">
        <v>42669</v>
      </c>
      <c r="D57" s="5">
        <f t="shared" si="1"/>
        <v>10</v>
      </c>
      <c r="E57" s="5">
        <f t="shared" si="2"/>
        <v>44</v>
      </c>
      <c r="F57" s="61">
        <v>28.17</v>
      </c>
      <c r="G57" s="60">
        <v>58500</v>
      </c>
      <c r="H57" s="36">
        <f t="shared" si="0"/>
        <v>1647945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3"/>
        <v>1647945</v>
      </c>
      <c r="N57" s="36">
        <v>0</v>
      </c>
      <c r="O57" s="60">
        <v>0</v>
      </c>
      <c r="P57" s="36">
        <f t="shared" si="5"/>
        <v>1647945</v>
      </c>
      <c r="Q57" s="61">
        <v>28.17</v>
      </c>
    </row>
    <row r="58" spans="1:17" x14ac:dyDescent="0.25">
      <c r="A58" s="5" t="s">
        <v>67</v>
      </c>
      <c r="B58" s="5" t="s">
        <v>15</v>
      </c>
      <c r="C58" s="6">
        <v>42669</v>
      </c>
      <c r="D58" s="5">
        <f t="shared" si="1"/>
        <v>10</v>
      </c>
      <c r="E58" s="5">
        <f t="shared" si="2"/>
        <v>44</v>
      </c>
      <c r="F58" s="61">
        <v>31.54</v>
      </c>
      <c r="G58" s="60">
        <v>50900</v>
      </c>
      <c r="H58" s="36">
        <f t="shared" si="0"/>
        <v>1605386</v>
      </c>
      <c r="I58" s="36">
        <v>0</v>
      </c>
      <c r="J58" s="60">
        <v>0</v>
      </c>
      <c r="K58" s="60">
        <v>0</v>
      </c>
      <c r="L58" s="60">
        <v>0</v>
      </c>
      <c r="M58" s="36">
        <f t="shared" si="3"/>
        <v>1605386</v>
      </c>
      <c r="N58" s="36">
        <v>0</v>
      </c>
      <c r="O58" s="60">
        <v>0</v>
      </c>
      <c r="P58" s="36">
        <f t="shared" si="5"/>
        <v>1605386</v>
      </c>
      <c r="Q58" s="61">
        <v>31.54</v>
      </c>
    </row>
    <row r="59" spans="1:17" x14ac:dyDescent="0.25">
      <c r="A59" s="5" t="s">
        <v>31</v>
      </c>
      <c r="B59" s="5" t="s">
        <v>18</v>
      </c>
      <c r="C59" s="6">
        <v>42670</v>
      </c>
      <c r="D59" s="5">
        <f t="shared" si="1"/>
        <v>10</v>
      </c>
      <c r="E59" s="5">
        <f t="shared" si="2"/>
        <v>44</v>
      </c>
      <c r="F59" s="61">
        <v>18.14</v>
      </c>
      <c r="G59" s="60">
        <v>57078.02</v>
      </c>
      <c r="H59" s="36">
        <f t="shared" si="0"/>
        <v>1035395.2827999999</v>
      </c>
      <c r="I59" s="36">
        <v>0</v>
      </c>
      <c r="J59" s="60">
        <v>0</v>
      </c>
      <c r="K59" s="60">
        <v>0</v>
      </c>
      <c r="L59" s="60">
        <v>0</v>
      </c>
      <c r="M59" s="36">
        <f t="shared" si="3"/>
        <v>1035395.2827999999</v>
      </c>
      <c r="N59" s="36">
        <v>0</v>
      </c>
      <c r="O59" s="60">
        <v>0</v>
      </c>
      <c r="P59" s="36">
        <f t="shared" si="5"/>
        <v>1035395.2827999999</v>
      </c>
      <c r="Q59" s="61">
        <v>18.14</v>
      </c>
    </row>
    <row r="60" spans="1:17" x14ac:dyDescent="0.25">
      <c r="A60" s="5" t="s">
        <v>32</v>
      </c>
      <c r="B60" s="5" t="s">
        <v>18</v>
      </c>
      <c r="C60" s="6">
        <v>42670</v>
      </c>
      <c r="D60" s="5">
        <f t="shared" si="1"/>
        <v>10</v>
      </c>
      <c r="E60" s="5">
        <f t="shared" si="2"/>
        <v>44</v>
      </c>
      <c r="F60" s="61">
        <v>18.88</v>
      </c>
      <c r="G60" s="60">
        <v>53300</v>
      </c>
      <c r="H60" s="36">
        <f t="shared" si="0"/>
        <v>1006304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3"/>
        <v>1006304</v>
      </c>
      <c r="N60" s="36">
        <v>0</v>
      </c>
      <c r="O60" s="60">
        <v>0</v>
      </c>
      <c r="P60" s="36">
        <f t="shared" si="5"/>
        <v>1006304</v>
      </c>
      <c r="Q60" s="61">
        <v>18.88</v>
      </c>
    </row>
    <row r="61" spans="1:17" x14ac:dyDescent="0.25">
      <c r="A61" s="5" t="s">
        <v>32</v>
      </c>
      <c r="B61" s="5" t="s">
        <v>18</v>
      </c>
      <c r="C61" s="6">
        <v>42670</v>
      </c>
      <c r="D61" s="5">
        <f t="shared" si="1"/>
        <v>10</v>
      </c>
      <c r="E61" s="5">
        <f t="shared" si="2"/>
        <v>44</v>
      </c>
      <c r="F61" s="61">
        <v>18.71</v>
      </c>
      <c r="G61" s="60">
        <v>53300</v>
      </c>
      <c r="H61" s="36">
        <f t="shared" si="0"/>
        <v>997243</v>
      </c>
      <c r="I61" s="36">
        <v>0</v>
      </c>
      <c r="J61" s="60">
        <v>0</v>
      </c>
      <c r="K61" s="60">
        <v>0</v>
      </c>
      <c r="L61" s="60">
        <v>0</v>
      </c>
      <c r="M61" s="36">
        <f t="shared" si="3"/>
        <v>997243</v>
      </c>
      <c r="N61" s="36">
        <v>0</v>
      </c>
      <c r="O61" s="60">
        <v>0</v>
      </c>
      <c r="P61" s="36">
        <f t="shared" si="5"/>
        <v>997243</v>
      </c>
      <c r="Q61" s="61">
        <v>18.71</v>
      </c>
    </row>
    <row r="62" spans="1:17" x14ac:dyDescent="0.25">
      <c r="A62" s="5" t="s">
        <v>108</v>
      </c>
      <c r="B62" s="5" t="s">
        <v>18</v>
      </c>
      <c r="C62" s="6">
        <v>42670</v>
      </c>
      <c r="D62" s="5">
        <f t="shared" si="1"/>
        <v>10</v>
      </c>
      <c r="E62" s="5">
        <f t="shared" si="2"/>
        <v>44</v>
      </c>
      <c r="F62" s="61">
        <v>27.84</v>
      </c>
      <c r="G62" s="60">
        <v>56100</v>
      </c>
      <c r="H62" s="36">
        <f t="shared" si="0"/>
        <v>1561824</v>
      </c>
      <c r="I62" s="36">
        <v>0</v>
      </c>
      <c r="J62" s="60">
        <v>0</v>
      </c>
      <c r="K62" s="60">
        <v>0</v>
      </c>
      <c r="L62" s="60">
        <v>0</v>
      </c>
      <c r="M62" s="36">
        <f t="shared" si="3"/>
        <v>1561824</v>
      </c>
      <c r="N62" s="36">
        <v>0</v>
      </c>
      <c r="O62" s="60">
        <v>0</v>
      </c>
      <c r="P62" s="36">
        <f t="shared" si="5"/>
        <v>1561824</v>
      </c>
      <c r="Q62" s="61">
        <v>27.84</v>
      </c>
    </row>
    <row r="63" spans="1:17" x14ac:dyDescent="0.25">
      <c r="A63" s="5" t="s">
        <v>90</v>
      </c>
      <c r="B63" s="5" t="s">
        <v>20</v>
      </c>
      <c r="C63" s="6">
        <v>42670</v>
      </c>
      <c r="D63" s="5">
        <f t="shared" si="1"/>
        <v>10</v>
      </c>
      <c r="E63" s="5">
        <f t="shared" si="2"/>
        <v>44</v>
      </c>
      <c r="F63" s="61">
        <v>20.22</v>
      </c>
      <c r="G63" s="60">
        <v>93140</v>
      </c>
      <c r="H63" s="36">
        <f t="shared" si="0"/>
        <v>1883290.7999999998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3"/>
        <v>1883290.7999999998</v>
      </c>
      <c r="N63" s="36">
        <f t="shared" si="4"/>
        <v>37665.815999999999</v>
      </c>
      <c r="O63" s="60">
        <v>0</v>
      </c>
      <c r="P63" s="36">
        <f t="shared" si="5"/>
        <v>1920956.6159999999</v>
      </c>
      <c r="Q63" s="61">
        <v>20.23</v>
      </c>
    </row>
    <row r="64" spans="1:17" x14ac:dyDescent="0.25">
      <c r="A64" s="5" t="s">
        <v>94</v>
      </c>
      <c r="B64" s="5" t="s">
        <v>20</v>
      </c>
      <c r="C64" s="6">
        <v>42670</v>
      </c>
      <c r="D64" s="5">
        <f t="shared" si="1"/>
        <v>10</v>
      </c>
      <c r="E64" s="5">
        <f t="shared" si="2"/>
        <v>44</v>
      </c>
      <c r="F64" s="61">
        <v>25.57</v>
      </c>
      <c r="G64" s="60">
        <v>96164.14</v>
      </c>
      <c r="H64" s="36">
        <f t="shared" si="0"/>
        <v>2458917.0597999999</v>
      </c>
      <c r="I64" s="36">
        <v>0</v>
      </c>
      <c r="J64" s="60">
        <v>0</v>
      </c>
      <c r="K64" s="60">
        <v>0</v>
      </c>
      <c r="L64" s="60">
        <v>0</v>
      </c>
      <c r="M64" s="36">
        <f t="shared" si="3"/>
        <v>2458917.0597999999</v>
      </c>
      <c r="N64" s="36">
        <f t="shared" si="4"/>
        <v>49178.341196000001</v>
      </c>
      <c r="O64" s="60">
        <v>0</v>
      </c>
      <c r="P64" s="36">
        <f t="shared" si="5"/>
        <v>2508095.400996</v>
      </c>
      <c r="Q64" s="61">
        <v>25.57</v>
      </c>
    </row>
    <row r="65" spans="1:17" x14ac:dyDescent="0.25">
      <c r="A65" s="5" t="s">
        <v>108</v>
      </c>
      <c r="B65" s="5" t="s">
        <v>18</v>
      </c>
      <c r="C65" s="6">
        <v>42670</v>
      </c>
      <c r="D65" s="5">
        <f t="shared" si="1"/>
        <v>10</v>
      </c>
      <c r="E65" s="5">
        <f t="shared" si="2"/>
        <v>44</v>
      </c>
      <c r="F65" s="61">
        <v>28.41</v>
      </c>
      <c r="G65" s="60">
        <v>55500</v>
      </c>
      <c r="H65" s="36">
        <f t="shared" si="0"/>
        <v>1576755</v>
      </c>
      <c r="I65" s="36">
        <v>0</v>
      </c>
      <c r="J65" s="60">
        <v>0</v>
      </c>
      <c r="K65" s="60">
        <v>0</v>
      </c>
      <c r="L65" s="60">
        <v>0</v>
      </c>
      <c r="M65" s="36">
        <f t="shared" si="3"/>
        <v>1576755</v>
      </c>
      <c r="N65" s="36">
        <v>0</v>
      </c>
      <c r="O65" s="60">
        <v>0</v>
      </c>
      <c r="P65" s="36">
        <f t="shared" si="5"/>
        <v>1576755</v>
      </c>
      <c r="Q65" s="61">
        <v>28.41</v>
      </c>
    </row>
    <row r="66" spans="1:17" x14ac:dyDescent="0.25">
      <c r="A66" s="5" t="s">
        <v>109</v>
      </c>
      <c r="B66" s="5" t="s">
        <v>110</v>
      </c>
      <c r="C66" s="6">
        <v>42671</v>
      </c>
      <c r="D66" s="5">
        <f t="shared" si="1"/>
        <v>10</v>
      </c>
      <c r="E66" s="5">
        <f t="shared" si="2"/>
        <v>44</v>
      </c>
      <c r="F66" s="61">
        <v>20</v>
      </c>
      <c r="G66" s="60">
        <v>46402.66</v>
      </c>
      <c r="H66" s="36">
        <f t="shared" ref="H66:H77" si="11">+F66*G66</f>
        <v>928053.20000000007</v>
      </c>
      <c r="I66" s="36">
        <v>0</v>
      </c>
      <c r="J66" s="60">
        <f t="shared" ref="J66:J70" si="12">H66*12.5%</f>
        <v>116006.65000000001</v>
      </c>
      <c r="K66" s="60">
        <f t="shared" ref="K66:K70" si="13">(I66+J66)*2%</f>
        <v>2320.1330000000003</v>
      </c>
      <c r="L66" s="60">
        <f t="shared" ref="L66:L70" si="14">(I66+J66)*1%</f>
        <v>1160.0665000000001</v>
      </c>
      <c r="M66" s="36">
        <f t="shared" si="3"/>
        <v>1047540.0495000001</v>
      </c>
      <c r="N66" s="36">
        <v>0</v>
      </c>
      <c r="O66" s="60">
        <f>(H66+J66+K66+L66)*4/100+4400*F66</f>
        <v>129901.60198000001</v>
      </c>
      <c r="P66" s="36">
        <f t="shared" si="5"/>
        <v>1177441.65148</v>
      </c>
      <c r="Q66" s="61">
        <v>20</v>
      </c>
    </row>
    <row r="67" spans="1:17" x14ac:dyDescent="0.25">
      <c r="A67" s="5" t="s">
        <v>109</v>
      </c>
      <c r="B67" s="5" t="s">
        <v>110</v>
      </c>
      <c r="C67" s="6">
        <v>42671</v>
      </c>
      <c r="D67" s="5">
        <f t="shared" ref="D67:D77" si="15">MONTH(C67)</f>
        <v>10</v>
      </c>
      <c r="E67" s="5">
        <f t="shared" ref="E67:E77" si="16">WEEKNUM(C67)</f>
        <v>44</v>
      </c>
      <c r="F67" s="61">
        <v>20.04</v>
      </c>
      <c r="G67" s="60">
        <v>46402.66</v>
      </c>
      <c r="H67" s="36">
        <f t="shared" si="11"/>
        <v>929909.3064</v>
      </c>
      <c r="I67" s="36">
        <v>0</v>
      </c>
      <c r="J67" s="60">
        <f t="shared" si="12"/>
        <v>116238.6633</v>
      </c>
      <c r="K67" s="60">
        <f t="shared" si="13"/>
        <v>2324.7732660000001</v>
      </c>
      <c r="L67" s="60">
        <f t="shared" si="14"/>
        <v>1162.3866330000001</v>
      </c>
      <c r="M67" s="36">
        <f t="shared" ref="M67:M77" si="17">H67+I67+J67+K67+L67</f>
        <v>1049635.1295990001</v>
      </c>
      <c r="N67" s="36">
        <v>0</v>
      </c>
      <c r="O67" s="60">
        <f t="shared" ref="O67:O70" si="18">(H67+J67+K67+L67)*4/100+4400*F67</f>
        <v>130161.40518396001</v>
      </c>
      <c r="P67" s="36">
        <f t="shared" ref="P67:P77" si="19">M67+N67+O67</f>
        <v>1179796.5347829601</v>
      </c>
      <c r="Q67" s="61">
        <v>20.02</v>
      </c>
    </row>
    <row r="68" spans="1:17" x14ac:dyDescent="0.25">
      <c r="A68" s="5" t="s">
        <v>109</v>
      </c>
      <c r="B68" s="5" t="s">
        <v>110</v>
      </c>
      <c r="C68" s="6">
        <v>42671</v>
      </c>
      <c r="D68" s="5">
        <f t="shared" si="15"/>
        <v>10</v>
      </c>
      <c r="E68" s="5">
        <f t="shared" si="16"/>
        <v>44</v>
      </c>
      <c r="F68" s="61">
        <v>19.940000000000001</v>
      </c>
      <c r="G68" s="60">
        <v>46402.66</v>
      </c>
      <c r="H68" s="36">
        <f t="shared" si="11"/>
        <v>925269.04040000017</v>
      </c>
      <c r="I68" s="36">
        <v>0</v>
      </c>
      <c r="J68" s="60">
        <f t="shared" si="12"/>
        <v>115658.63005000002</v>
      </c>
      <c r="K68" s="60">
        <f t="shared" si="13"/>
        <v>2313.1726010000007</v>
      </c>
      <c r="L68" s="60">
        <f t="shared" si="14"/>
        <v>1156.5863005000003</v>
      </c>
      <c r="M68" s="36">
        <f t="shared" si="17"/>
        <v>1044397.4293515002</v>
      </c>
      <c r="N68" s="36">
        <v>0</v>
      </c>
      <c r="O68" s="60">
        <f t="shared" si="18"/>
        <v>129511.89717406001</v>
      </c>
      <c r="P68" s="36">
        <f t="shared" si="19"/>
        <v>1173909.3265255603</v>
      </c>
      <c r="Q68" s="61">
        <v>20.05</v>
      </c>
    </row>
    <row r="69" spans="1:17" x14ac:dyDescent="0.25">
      <c r="A69" s="5" t="s">
        <v>109</v>
      </c>
      <c r="B69" s="5" t="s">
        <v>110</v>
      </c>
      <c r="C69" s="6">
        <v>42671</v>
      </c>
      <c r="D69" s="5">
        <f t="shared" si="15"/>
        <v>10</v>
      </c>
      <c r="E69" s="5">
        <f t="shared" si="16"/>
        <v>44</v>
      </c>
      <c r="F69" s="61">
        <v>20</v>
      </c>
      <c r="G69" s="60">
        <v>46402.66</v>
      </c>
      <c r="H69" s="36">
        <f t="shared" si="11"/>
        <v>928053.20000000007</v>
      </c>
      <c r="I69" s="36">
        <v>0</v>
      </c>
      <c r="J69" s="60">
        <f t="shared" si="12"/>
        <v>116006.65000000001</v>
      </c>
      <c r="K69" s="60">
        <f t="shared" si="13"/>
        <v>2320.1330000000003</v>
      </c>
      <c r="L69" s="60">
        <f t="shared" si="14"/>
        <v>1160.0665000000001</v>
      </c>
      <c r="M69" s="36">
        <f t="shared" si="17"/>
        <v>1047540.0495000001</v>
      </c>
      <c r="N69" s="36">
        <v>0</v>
      </c>
      <c r="O69" s="60">
        <f t="shared" si="18"/>
        <v>129901.60198000001</v>
      </c>
      <c r="P69" s="36">
        <f t="shared" si="19"/>
        <v>1177441.65148</v>
      </c>
      <c r="Q69" s="61">
        <v>20.02</v>
      </c>
    </row>
    <row r="70" spans="1:17" x14ac:dyDescent="0.25">
      <c r="A70" s="5" t="s">
        <v>109</v>
      </c>
      <c r="B70" s="5" t="s">
        <v>110</v>
      </c>
      <c r="C70" s="6">
        <v>42671</v>
      </c>
      <c r="D70" s="5">
        <f t="shared" si="15"/>
        <v>10</v>
      </c>
      <c r="E70" s="5">
        <f t="shared" si="16"/>
        <v>44</v>
      </c>
      <c r="F70" s="61">
        <v>20</v>
      </c>
      <c r="G70" s="60">
        <v>46402.66</v>
      </c>
      <c r="H70" s="36">
        <f t="shared" si="11"/>
        <v>928053.20000000007</v>
      </c>
      <c r="I70" s="36">
        <v>0</v>
      </c>
      <c r="J70" s="60">
        <f t="shared" si="12"/>
        <v>116006.65000000001</v>
      </c>
      <c r="K70" s="60">
        <f t="shared" si="13"/>
        <v>2320.1330000000003</v>
      </c>
      <c r="L70" s="60">
        <f t="shared" si="14"/>
        <v>1160.0665000000001</v>
      </c>
      <c r="M70" s="36">
        <f t="shared" si="17"/>
        <v>1047540.0495000001</v>
      </c>
      <c r="N70" s="36">
        <v>0</v>
      </c>
      <c r="O70" s="60">
        <f t="shared" si="18"/>
        <v>129901.60198000001</v>
      </c>
      <c r="P70" s="36">
        <f t="shared" si="19"/>
        <v>1177441.65148</v>
      </c>
      <c r="Q70" s="61">
        <v>19.989999999999998</v>
      </c>
    </row>
    <row r="71" spans="1:17" x14ac:dyDescent="0.25">
      <c r="A71" s="5" t="s">
        <v>19</v>
      </c>
      <c r="B71" s="5" t="s">
        <v>20</v>
      </c>
      <c r="C71" s="6">
        <v>42671</v>
      </c>
      <c r="D71" s="5">
        <f t="shared" si="15"/>
        <v>10</v>
      </c>
      <c r="E71" s="5">
        <f t="shared" si="16"/>
        <v>44</v>
      </c>
      <c r="F71" s="61">
        <v>24.8</v>
      </c>
      <c r="G71" s="60">
        <v>93140</v>
      </c>
      <c r="H71" s="36">
        <f t="shared" si="11"/>
        <v>2309872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7"/>
        <v>2309872</v>
      </c>
      <c r="N71" s="36">
        <f t="shared" ref="N71:N77" si="20">M71*2%</f>
        <v>46197.440000000002</v>
      </c>
      <c r="O71" s="60">
        <v>0</v>
      </c>
      <c r="P71" s="36">
        <f t="shared" si="19"/>
        <v>2356069.44</v>
      </c>
      <c r="Q71" s="61">
        <v>24.8</v>
      </c>
    </row>
    <row r="72" spans="1:17" x14ac:dyDescent="0.25">
      <c r="A72" s="5" t="s">
        <v>94</v>
      </c>
      <c r="B72" s="5" t="s">
        <v>20</v>
      </c>
      <c r="C72" s="6">
        <v>42671</v>
      </c>
      <c r="D72" s="5">
        <f t="shared" si="15"/>
        <v>10</v>
      </c>
      <c r="E72" s="5">
        <f t="shared" si="16"/>
        <v>44</v>
      </c>
      <c r="F72" s="61">
        <v>20.22</v>
      </c>
      <c r="G72" s="60">
        <v>94117.6</v>
      </c>
      <c r="H72" s="36">
        <f t="shared" si="11"/>
        <v>1903057.872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7"/>
        <v>1903057.872</v>
      </c>
      <c r="N72" s="36">
        <f t="shared" si="20"/>
        <v>38061.157440000003</v>
      </c>
      <c r="O72" s="60">
        <v>0</v>
      </c>
      <c r="P72" s="36">
        <f t="shared" si="19"/>
        <v>1941119.02944</v>
      </c>
      <c r="Q72" s="61">
        <v>20.22</v>
      </c>
    </row>
    <row r="73" spans="1:17" x14ac:dyDescent="0.25">
      <c r="A73" s="5" t="s">
        <v>94</v>
      </c>
      <c r="B73" s="5" t="s">
        <v>20</v>
      </c>
      <c r="C73" s="6">
        <v>42671</v>
      </c>
      <c r="D73" s="5">
        <f t="shared" si="15"/>
        <v>10</v>
      </c>
      <c r="E73" s="5">
        <f t="shared" si="16"/>
        <v>44</v>
      </c>
      <c r="F73" s="61">
        <v>20.28</v>
      </c>
      <c r="G73" s="60">
        <v>94117.6</v>
      </c>
      <c r="H73" s="36">
        <f t="shared" si="11"/>
        <v>1908704.9280000003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7"/>
        <v>1908704.9280000003</v>
      </c>
      <c r="N73" s="36">
        <f t="shared" si="20"/>
        <v>38174.098560000006</v>
      </c>
      <c r="O73" s="60">
        <v>0</v>
      </c>
      <c r="P73" s="36">
        <f t="shared" si="19"/>
        <v>1946879.0265600004</v>
      </c>
      <c r="Q73" s="61">
        <v>20.28</v>
      </c>
    </row>
    <row r="74" spans="1:17" x14ac:dyDescent="0.25">
      <c r="A74" s="5" t="s">
        <v>27</v>
      </c>
      <c r="B74" s="5" t="s">
        <v>18</v>
      </c>
      <c r="C74" s="6">
        <v>42671</v>
      </c>
      <c r="D74" s="5">
        <f t="shared" si="15"/>
        <v>10</v>
      </c>
      <c r="E74" s="5">
        <f t="shared" si="16"/>
        <v>44</v>
      </c>
      <c r="F74" s="61">
        <v>37.54</v>
      </c>
      <c r="G74" s="60">
        <v>57002.54</v>
      </c>
      <c r="H74" s="36">
        <f t="shared" si="11"/>
        <v>2139875.3516000002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7"/>
        <v>2139875.3516000002</v>
      </c>
      <c r="N74" s="36">
        <v>0</v>
      </c>
      <c r="O74" s="60">
        <v>0</v>
      </c>
      <c r="P74" s="36">
        <f t="shared" si="19"/>
        <v>2139875.3516000002</v>
      </c>
      <c r="Q74" s="61">
        <v>37.54</v>
      </c>
    </row>
    <row r="75" spans="1:17" x14ac:dyDescent="0.25">
      <c r="A75" s="5" t="s">
        <v>24</v>
      </c>
      <c r="B75" s="5" t="s">
        <v>18</v>
      </c>
      <c r="C75" s="6">
        <v>42671</v>
      </c>
      <c r="D75" s="5">
        <f t="shared" si="15"/>
        <v>10</v>
      </c>
      <c r="E75" s="5">
        <f t="shared" si="16"/>
        <v>44</v>
      </c>
      <c r="F75" s="61">
        <v>19.579999999999998</v>
      </c>
      <c r="G75" s="60">
        <v>57200</v>
      </c>
      <c r="H75" s="36">
        <f t="shared" si="11"/>
        <v>1119976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7"/>
        <v>1119976</v>
      </c>
      <c r="N75" s="36">
        <v>0</v>
      </c>
      <c r="O75" s="60">
        <v>0</v>
      </c>
      <c r="P75" s="36">
        <f t="shared" si="19"/>
        <v>1119976</v>
      </c>
      <c r="Q75" s="61">
        <v>19.579999999999998</v>
      </c>
    </row>
    <row r="76" spans="1:17" x14ac:dyDescent="0.25">
      <c r="A76" s="5" t="s">
        <v>31</v>
      </c>
      <c r="B76" s="5" t="s">
        <v>15</v>
      </c>
      <c r="C76" s="6">
        <v>42671</v>
      </c>
      <c r="D76" s="5">
        <f t="shared" si="15"/>
        <v>10</v>
      </c>
      <c r="E76" s="5">
        <f t="shared" si="16"/>
        <v>44</v>
      </c>
      <c r="F76" s="61">
        <v>28.3</v>
      </c>
      <c r="G76" s="60">
        <v>58500</v>
      </c>
      <c r="H76" s="36">
        <f t="shared" si="11"/>
        <v>1655550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7"/>
        <v>1655550</v>
      </c>
      <c r="N76" s="36">
        <v>0</v>
      </c>
      <c r="O76" s="60">
        <v>0</v>
      </c>
      <c r="P76" s="36">
        <f t="shared" si="19"/>
        <v>1655550</v>
      </c>
      <c r="Q76" s="61">
        <v>28.3</v>
      </c>
    </row>
    <row r="77" spans="1:17" x14ac:dyDescent="0.25">
      <c r="A77" s="5" t="s">
        <v>100</v>
      </c>
      <c r="B77" s="5" t="s">
        <v>23</v>
      </c>
      <c r="C77" s="6">
        <v>42671</v>
      </c>
      <c r="D77" s="5">
        <f t="shared" si="15"/>
        <v>10</v>
      </c>
      <c r="E77" s="5">
        <f t="shared" si="16"/>
        <v>44</v>
      </c>
      <c r="F77" s="61">
        <v>20.170000000000002</v>
      </c>
      <c r="G77" s="60">
        <v>90196</v>
      </c>
      <c r="H77" s="36">
        <f t="shared" si="11"/>
        <v>1819253.32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7"/>
        <v>1819253.32</v>
      </c>
      <c r="N77" s="36">
        <f t="shared" si="20"/>
        <v>36385.066400000003</v>
      </c>
      <c r="O77" s="60">
        <v>0</v>
      </c>
      <c r="P77" s="36">
        <f t="shared" si="19"/>
        <v>1855638.3864</v>
      </c>
      <c r="Q77" s="61">
        <v>20.170000000000002</v>
      </c>
    </row>
  </sheetData>
  <autoFilter ref="A1:Q77"/>
  <hyperlinks>
    <hyperlink ref="K1" r:id="rId1"/>
    <hyperlink ref="L1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C1" workbookViewId="0">
      <selection activeCell="Q2" sqref="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33</v>
      </c>
      <c r="B2" s="5" t="s">
        <v>18</v>
      </c>
      <c r="C2" s="6">
        <v>42675</v>
      </c>
      <c r="D2" s="5">
        <f>MONTH(C2)</f>
        <v>11</v>
      </c>
      <c r="E2" s="5">
        <f>WEEKNUM(C2)</f>
        <v>45</v>
      </c>
      <c r="F2" s="61">
        <v>26.44</v>
      </c>
      <c r="G2" s="60">
        <v>49700</v>
      </c>
      <c r="H2" s="36">
        <f t="shared" ref="H2:H65" si="0">+F2*G2</f>
        <v>1314068</v>
      </c>
      <c r="I2" s="36">
        <v>0</v>
      </c>
      <c r="J2" s="60">
        <v>0</v>
      </c>
      <c r="K2" s="60">
        <v>0</v>
      </c>
      <c r="L2" s="60">
        <v>0</v>
      </c>
      <c r="M2" s="36">
        <f>SUM(H2:L2)</f>
        <v>1314068</v>
      </c>
      <c r="N2" s="36">
        <v>0</v>
      </c>
      <c r="O2" s="60">
        <v>0</v>
      </c>
      <c r="P2" s="36">
        <f t="shared" ref="P2:P65" si="1">+M2+N2+O2</f>
        <v>1314068</v>
      </c>
      <c r="Q2" s="61">
        <v>26.44</v>
      </c>
    </row>
    <row r="3" spans="1:17" x14ac:dyDescent="0.25">
      <c r="A3" s="5" t="s">
        <v>33</v>
      </c>
      <c r="B3" s="5" t="s">
        <v>15</v>
      </c>
      <c r="C3" s="6">
        <v>42675</v>
      </c>
      <c r="D3" s="5">
        <f t="shared" ref="D3:D66" si="2">MONTH(C3)</f>
        <v>11</v>
      </c>
      <c r="E3" s="5">
        <f t="shared" ref="E3:E66" si="3">WEEKNUM(C3)</f>
        <v>45</v>
      </c>
      <c r="F3" s="61">
        <v>26.31</v>
      </c>
      <c r="G3" s="60">
        <v>50700</v>
      </c>
      <c r="H3" s="36">
        <f t="shared" si="0"/>
        <v>1333917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4">SUM(H3:L3)</f>
        <v>1333917</v>
      </c>
      <c r="N3" s="36">
        <v>0</v>
      </c>
      <c r="O3" s="60">
        <v>0</v>
      </c>
      <c r="P3" s="36">
        <f t="shared" si="1"/>
        <v>1333917</v>
      </c>
      <c r="Q3" s="61">
        <v>26.31</v>
      </c>
    </row>
    <row r="4" spans="1:17" x14ac:dyDescent="0.25">
      <c r="A4" s="5" t="s">
        <v>31</v>
      </c>
      <c r="B4" s="5" t="s">
        <v>15</v>
      </c>
      <c r="C4" s="6">
        <v>42675</v>
      </c>
      <c r="D4" s="5">
        <f t="shared" si="2"/>
        <v>11</v>
      </c>
      <c r="E4" s="5">
        <f t="shared" si="3"/>
        <v>45</v>
      </c>
      <c r="F4" s="61">
        <v>25.55</v>
      </c>
      <c r="G4" s="60">
        <v>57689.42</v>
      </c>
      <c r="H4" s="36">
        <f t="shared" si="0"/>
        <v>1473964.6810000001</v>
      </c>
      <c r="I4" s="36">
        <v>0</v>
      </c>
      <c r="J4" s="60">
        <v>0</v>
      </c>
      <c r="K4" s="60">
        <v>0</v>
      </c>
      <c r="L4" s="60">
        <v>0</v>
      </c>
      <c r="M4" s="36">
        <f t="shared" si="4"/>
        <v>1473964.6810000001</v>
      </c>
      <c r="N4" s="36">
        <v>0</v>
      </c>
      <c r="O4" s="60">
        <v>0</v>
      </c>
      <c r="P4" s="36">
        <f t="shared" si="1"/>
        <v>1473964.6810000001</v>
      </c>
      <c r="Q4" s="61">
        <v>25.55</v>
      </c>
    </row>
    <row r="5" spans="1:17" x14ac:dyDescent="0.25">
      <c r="A5" s="5" t="s">
        <v>33</v>
      </c>
      <c r="B5" s="5" t="s">
        <v>15</v>
      </c>
      <c r="C5" s="6">
        <v>42675</v>
      </c>
      <c r="D5" s="5">
        <f t="shared" si="2"/>
        <v>11</v>
      </c>
      <c r="E5" s="5">
        <f t="shared" si="3"/>
        <v>45</v>
      </c>
      <c r="F5" s="61">
        <v>27.76</v>
      </c>
      <c r="G5" s="60">
        <v>50900</v>
      </c>
      <c r="H5" s="36">
        <f t="shared" si="0"/>
        <v>1412984</v>
      </c>
      <c r="I5" s="36">
        <v>0</v>
      </c>
      <c r="J5" s="60">
        <v>0</v>
      </c>
      <c r="K5" s="60">
        <v>0</v>
      </c>
      <c r="L5" s="60">
        <v>0</v>
      </c>
      <c r="M5" s="36">
        <f t="shared" si="4"/>
        <v>1412984</v>
      </c>
      <c r="N5" s="36">
        <v>0</v>
      </c>
      <c r="O5" s="60">
        <v>0</v>
      </c>
      <c r="P5" s="36">
        <f t="shared" si="1"/>
        <v>1412984</v>
      </c>
      <c r="Q5" s="61">
        <v>27.76</v>
      </c>
    </row>
    <row r="6" spans="1:17" x14ac:dyDescent="0.25">
      <c r="A6" s="5" t="s">
        <v>100</v>
      </c>
      <c r="B6" s="5" t="s">
        <v>23</v>
      </c>
      <c r="C6" s="6">
        <v>42675</v>
      </c>
      <c r="D6" s="5">
        <f t="shared" si="2"/>
        <v>11</v>
      </c>
      <c r="E6" s="5">
        <f t="shared" si="3"/>
        <v>45</v>
      </c>
      <c r="F6" s="61">
        <v>19.670000000000002</v>
      </c>
      <c r="G6" s="60">
        <v>92647</v>
      </c>
      <c r="H6" s="36">
        <f t="shared" si="0"/>
        <v>1822366.4900000002</v>
      </c>
      <c r="I6" s="36">
        <v>0</v>
      </c>
      <c r="J6" s="60">
        <v>0</v>
      </c>
      <c r="K6" s="60">
        <v>0</v>
      </c>
      <c r="L6" s="60">
        <v>0</v>
      </c>
      <c r="M6" s="36">
        <f t="shared" si="4"/>
        <v>1822366.4900000002</v>
      </c>
      <c r="N6" s="36">
        <f t="shared" ref="N6:N13" si="5">M6*2%</f>
        <v>36447.329800000007</v>
      </c>
      <c r="O6" s="60">
        <v>0</v>
      </c>
      <c r="P6" s="36">
        <f t="shared" si="1"/>
        <v>1858813.8198000002</v>
      </c>
      <c r="Q6" s="61">
        <v>19.670000000000002</v>
      </c>
    </row>
    <row r="7" spans="1:17" x14ac:dyDescent="0.25">
      <c r="A7" s="5" t="s">
        <v>100</v>
      </c>
      <c r="B7" s="5" t="s">
        <v>23</v>
      </c>
      <c r="C7" s="6">
        <v>42675</v>
      </c>
      <c r="D7" s="5">
        <f t="shared" si="2"/>
        <v>11</v>
      </c>
      <c r="E7" s="5">
        <f t="shared" si="3"/>
        <v>45</v>
      </c>
      <c r="F7" s="61">
        <v>19.899999999999999</v>
      </c>
      <c r="G7" s="60">
        <v>92647</v>
      </c>
      <c r="H7" s="36">
        <f t="shared" si="0"/>
        <v>1843675.2999999998</v>
      </c>
      <c r="I7" s="36">
        <v>0</v>
      </c>
      <c r="J7" s="60">
        <v>0</v>
      </c>
      <c r="K7" s="60">
        <v>0</v>
      </c>
      <c r="L7" s="60">
        <v>0</v>
      </c>
      <c r="M7" s="36">
        <f t="shared" si="4"/>
        <v>1843675.2999999998</v>
      </c>
      <c r="N7" s="36">
        <f t="shared" si="5"/>
        <v>36873.505999999994</v>
      </c>
      <c r="O7" s="60">
        <v>0</v>
      </c>
      <c r="P7" s="36">
        <f t="shared" si="1"/>
        <v>1880548.8059999999</v>
      </c>
      <c r="Q7" s="61">
        <v>19.899999999999999</v>
      </c>
    </row>
    <row r="8" spans="1:17" x14ac:dyDescent="0.25">
      <c r="A8" s="5" t="s">
        <v>100</v>
      </c>
      <c r="B8" s="5" t="s">
        <v>23</v>
      </c>
      <c r="C8" s="6">
        <v>42675</v>
      </c>
      <c r="D8" s="5">
        <f t="shared" si="2"/>
        <v>11</v>
      </c>
      <c r="E8" s="5">
        <f t="shared" si="3"/>
        <v>45</v>
      </c>
      <c r="F8" s="61">
        <v>19.940000000000001</v>
      </c>
      <c r="G8" s="60">
        <v>90196</v>
      </c>
      <c r="H8" s="36">
        <f t="shared" si="0"/>
        <v>1798508.2400000002</v>
      </c>
      <c r="I8" s="36">
        <v>0</v>
      </c>
      <c r="J8" s="60">
        <v>0</v>
      </c>
      <c r="K8" s="60">
        <v>0</v>
      </c>
      <c r="L8" s="60">
        <v>0</v>
      </c>
      <c r="M8" s="36">
        <f t="shared" si="4"/>
        <v>1798508.2400000002</v>
      </c>
      <c r="N8" s="36">
        <f t="shared" si="5"/>
        <v>35970.164800000006</v>
      </c>
      <c r="O8" s="60">
        <v>0</v>
      </c>
      <c r="P8" s="36">
        <f t="shared" si="1"/>
        <v>1834478.4048000001</v>
      </c>
      <c r="Q8" s="61">
        <v>19.940000000000001</v>
      </c>
    </row>
    <row r="9" spans="1:17" x14ac:dyDescent="0.25">
      <c r="A9" s="5" t="s">
        <v>19</v>
      </c>
      <c r="B9" s="5" t="s">
        <v>20</v>
      </c>
      <c r="C9" s="6">
        <v>42675</v>
      </c>
      <c r="D9" s="5">
        <f t="shared" si="2"/>
        <v>11</v>
      </c>
      <c r="E9" s="5">
        <f t="shared" si="3"/>
        <v>45</v>
      </c>
      <c r="F9" s="61">
        <v>24.88</v>
      </c>
      <c r="G9" s="60">
        <v>93140</v>
      </c>
      <c r="H9" s="36">
        <f t="shared" si="0"/>
        <v>2317323.1999999997</v>
      </c>
      <c r="I9" s="36">
        <v>0</v>
      </c>
      <c r="J9" s="60">
        <v>0</v>
      </c>
      <c r="K9" s="60">
        <v>0</v>
      </c>
      <c r="L9" s="60">
        <v>0</v>
      </c>
      <c r="M9" s="36">
        <f t="shared" si="4"/>
        <v>2317323.1999999997</v>
      </c>
      <c r="N9" s="36">
        <f t="shared" si="5"/>
        <v>46346.463999999993</v>
      </c>
      <c r="O9" s="60">
        <v>0</v>
      </c>
      <c r="P9" s="36">
        <f t="shared" si="1"/>
        <v>2363669.6639999999</v>
      </c>
      <c r="Q9" s="61">
        <v>24.88</v>
      </c>
    </row>
    <row r="10" spans="1:17" x14ac:dyDescent="0.25">
      <c r="A10" s="5" t="s">
        <v>19</v>
      </c>
      <c r="B10" s="5" t="s">
        <v>20</v>
      </c>
      <c r="C10" s="6">
        <v>42675</v>
      </c>
      <c r="D10" s="5">
        <f t="shared" si="2"/>
        <v>11</v>
      </c>
      <c r="E10" s="5">
        <f t="shared" si="3"/>
        <v>45</v>
      </c>
      <c r="F10" s="61">
        <v>24.03</v>
      </c>
      <c r="G10" s="60">
        <v>93630</v>
      </c>
      <c r="H10" s="36">
        <f t="shared" si="0"/>
        <v>2249928.9</v>
      </c>
      <c r="I10" s="36">
        <v>0</v>
      </c>
      <c r="J10" s="60">
        <v>0</v>
      </c>
      <c r="K10" s="60">
        <v>0</v>
      </c>
      <c r="L10" s="60">
        <v>0</v>
      </c>
      <c r="M10" s="36">
        <f t="shared" si="4"/>
        <v>2249928.9</v>
      </c>
      <c r="N10" s="36">
        <f t="shared" si="5"/>
        <v>44998.578000000001</v>
      </c>
      <c r="O10" s="60">
        <v>0</v>
      </c>
      <c r="P10" s="36">
        <f t="shared" si="1"/>
        <v>2294927.4780000001</v>
      </c>
      <c r="Q10" s="61">
        <v>24.03</v>
      </c>
    </row>
    <row r="11" spans="1:17" x14ac:dyDescent="0.25">
      <c r="A11" s="5" t="s">
        <v>19</v>
      </c>
      <c r="B11" s="5" t="s">
        <v>20</v>
      </c>
      <c r="C11" s="6">
        <v>42675</v>
      </c>
      <c r="D11" s="5">
        <f t="shared" si="2"/>
        <v>11</v>
      </c>
      <c r="E11" s="5">
        <f t="shared" si="3"/>
        <v>45</v>
      </c>
      <c r="F11" s="61">
        <v>24.73</v>
      </c>
      <c r="G11" s="60">
        <v>93630</v>
      </c>
      <c r="H11" s="36">
        <f t="shared" si="0"/>
        <v>2315469.9</v>
      </c>
      <c r="I11" s="36">
        <v>0</v>
      </c>
      <c r="J11" s="60">
        <v>0</v>
      </c>
      <c r="K11" s="60">
        <v>0</v>
      </c>
      <c r="L11" s="60">
        <v>0</v>
      </c>
      <c r="M11" s="36">
        <f t="shared" si="4"/>
        <v>2315469.9</v>
      </c>
      <c r="N11" s="36">
        <f t="shared" si="5"/>
        <v>46309.398000000001</v>
      </c>
      <c r="O11" s="60">
        <v>0</v>
      </c>
      <c r="P11" s="36">
        <f t="shared" si="1"/>
        <v>2361779.298</v>
      </c>
      <c r="Q11" s="61">
        <v>24.73</v>
      </c>
    </row>
    <row r="12" spans="1:17" x14ac:dyDescent="0.25">
      <c r="A12" s="5" t="s">
        <v>100</v>
      </c>
      <c r="B12" s="5" t="s">
        <v>23</v>
      </c>
      <c r="C12" s="6">
        <v>42676</v>
      </c>
      <c r="D12" s="5">
        <f t="shared" si="2"/>
        <v>11</v>
      </c>
      <c r="E12" s="5">
        <f t="shared" si="3"/>
        <v>45</v>
      </c>
      <c r="F12" s="61">
        <v>20.37</v>
      </c>
      <c r="G12" s="60">
        <v>90196</v>
      </c>
      <c r="H12" s="36">
        <f t="shared" si="0"/>
        <v>1837292.52</v>
      </c>
      <c r="I12" s="36">
        <v>0</v>
      </c>
      <c r="J12" s="60">
        <v>0</v>
      </c>
      <c r="K12" s="60">
        <v>0</v>
      </c>
      <c r="L12" s="60">
        <v>0</v>
      </c>
      <c r="M12" s="36">
        <f t="shared" si="4"/>
        <v>1837292.52</v>
      </c>
      <c r="N12" s="36">
        <f t="shared" si="5"/>
        <v>36745.850400000003</v>
      </c>
      <c r="O12" s="60">
        <v>0</v>
      </c>
      <c r="P12" s="36">
        <f t="shared" si="1"/>
        <v>1874038.3704000001</v>
      </c>
      <c r="Q12" s="61">
        <v>20.37</v>
      </c>
    </row>
    <row r="13" spans="1:17" x14ac:dyDescent="0.25">
      <c r="A13" s="5" t="s">
        <v>19</v>
      </c>
      <c r="B13" s="5" t="s">
        <v>20</v>
      </c>
      <c r="C13" s="6">
        <v>42676</v>
      </c>
      <c r="D13" s="5">
        <f t="shared" si="2"/>
        <v>11</v>
      </c>
      <c r="E13" s="5">
        <f t="shared" si="3"/>
        <v>45</v>
      </c>
      <c r="F13" s="61">
        <v>20.350000000000001</v>
      </c>
      <c r="G13" s="60">
        <v>93630</v>
      </c>
      <c r="H13" s="36">
        <f t="shared" si="0"/>
        <v>1905370.5000000002</v>
      </c>
      <c r="I13" s="36">
        <v>0</v>
      </c>
      <c r="J13" s="60">
        <v>0</v>
      </c>
      <c r="K13" s="60">
        <v>0</v>
      </c>
      <c r="L13" s="60">
        <v>0</v>
      </c>
      <c r="M13" s="36">
        <f t="shared" si="4"/>
        <v>1905370.5000000002</v>
      </c>
      <c r="N13" s="36">
        <f t="shared" si="5"/>
        <v>38107.410000000003</v>
      </c>
      <c r="O13" s="60">
        <v>0</v>
      </c>
      <c r="P13" s="36">
        <f t="shared" si="1"/>
        <v>1943477.9100000001</v>
      </c>
      <c r="Q13" s="61">
        <v>20.350000000000001</v>
      </c>
    </row>
    <row r="14" spans="1:17" x14ac:dyDescent="0.25">
      <c r="A14" s="5" t="s">
        <v>21</v>
      </c>
      <c r="B14" s="5" t="s">
        <v>15</v>
      </c>
      <c r="C14" s="6">
        <v>42676</v>
      </c>
      <c r="D14" s="5">
        <f t="shared" si="2"/>
        <v>11</v>
      </c>
      <c r="E14" s="5">
        <f t="shared" si="3"/>
        <v>45</v>
      </c>
      <c r="F14" s="61">
        <v>29.64</v>
      </c>
      <c r="G14" s="60">
        <v>57600</v>
      </c>
      <c r="H14" s="36">
        <f t="shared" si="0"/>
        <v>1707264</v>
      </c>
      <c r="I14" s="36">
        <v>0</v>
      </c>
      <c r="J14" s="60">
        <v>0</v>
      </c>
      <c r="K14" s="60">
        <v>0</v>
      </c>
      <c r="L14" s="60">
        <v>0</v>
      </c>
      <c r="M14" s="36">
        <f t="shared" si="4"/>
        <v>1707264</v>
      </c>
      <c r="N14" s="36">
        <v>0</v>
      </c>
      <c r="O14" s="60">
        <v>0</v>
      </c>
      <c r="P14" s="36">
        <f t="shared" si="1"/>
        <v>1707264</v>
      </c>
      <c r="Q14" s="61">
        <v>29.64</v>
      </c>
    </row>
    <row r="15" spans="1:17" x14ac:dyDescent="0.25">
      <c r="A15" s="5" t="s">
        <v>109</v>
      </c>
      <c r="B15" s="5" t="s">
        <v>110</v>
      </c>
      <c r="C15" s="6">
        <v>42676</v>
      </c>
      <c r="D15" s="5">
        <f t="shared" si="2"/>
        <v>11</v>
      </c>
      <c r="E15" s="5">
        <f t="shared" si="3"/>
        <v>45</v>
      </c>
      <c r="F15" s="61">
        <v>20.059999999999999</v>
      </c>
      <c r="G15" s="60">
        <v>46402.66</v>
      </c>
      <c r="H15" s="36">
        <f t="shared" si="0"/>
        <v>930837.35959999997</v>
      </c>
      <c r="I15" s="36">
        <v>0</v>
      </c>
      <c r="J15" s="60">
        <f t="shared" ref="J15:J18" si="6">H15*12.5%</f>
        <v>116354.66995</v>
      </c>
      <c r="K15" s="60">
        <f t="shared" ref="K15:K18" si="7">(I15+J15)*2%</f>
        <v>2327.0933989999999</v>
      </c>
      <c r="L15" s="60">
        <f t="shared" ref="L15:L18" si="8">(I15+J15)*1%</f>
        <v>1163.5466994999999</v>
      </c>
      <c r="M15" s="36">
        <f t="shared" si="4"/>
        <v>1050682.6696484999</v>
      </c>
      <c r="N15" s="36">
        <v>0</v>
      </c>
      <c r="O15" s="60">
        <f>(H15+J15+K15+L15)*4/100+4400*F15</f>
        <v>130291.30678593999</v>
      </c>
      <c r="P15" s="36">
        <f t="shared" si="1"/>
        <v>1180973.9764344399</v>
      </c>
      <c r="Q15" s="61">
        <v>20.07</v>
      </c>
    </row>
    <row r="16" spans="1:17" x14ac:dyDescent="0.25">
      <c r="A16" s="5" t="s">
        <v>109</v>
      </c>
      <c r="B16" s="5" t="s">
        <v>110</v>
      </c>
      <c r="C16" s="6">
        <v>42676</v>
      </c>
      <c r="D16" s="5">
        <f t="shared" si="2"/>
        <v>11</v>
      </c>
      <c r="E16" s="5">
        <f t="shared" si="3"/>
        <v>45</v>
      </c>
      <c r="F16" s="61">
        <v>20</v>
      </c>
      <c r="G16" s="60">
        <v>46402.66</v>
      </c>
      <c r="H16" s="36">
        <f t="shared" si="0"/>
        <v>928053.20000000007</v>
      </c>
      <c r="I16" s="36">
        <v>0</v>
      </c>
      <c r="J16" s="60">
        <f t="shared" si="6"/>
        <v>116006.65000000001</v>
      </c>
      <c r="K16" s="60">
        <f t="shared" si="7"/>
        <v>2320.1330000000003</v>
      </c>
      <c r="L16" s="60">
        <f t="shared" si="8"/>
        <v>1160.0665000000001</v>
      </c>
      <c r="M16" s="36">
        <f t="shared" si="4"/>
        <v>1047540.0495000001</v>
      </c>
      <c r="N16" s="36">
        <v>0</v>
      </c>
      <c r="O16" s="60">
        <f t="shared" ref="O16:O18" si="9">(H16+J16+K16+L16)*4/100+4400*F16</f>
        <v>129901.60198000001</v>
      </c>
      <c r="P16" s="36">
        <f t="shared" si="1"/>
        <v>1177441.65148</v>
      </c>
      <c r="Q16" s="61">
        <v>20.010000000000002</v>
      </c>
    </row>
    <row r="17" spans="1:17" x14ac:dyDescent="0.25">
      <c r="A17" s="5" t="s">
        <v>109</v>
      </c>
      <c r="B17" s="5" t="s">
        <v>110</v>
      </c>
      <c r="C17" s="6">
        <v>42676</v>
      </c>
      <c r="D17" s="5">
        <f t="shared" si="2"/>
        <v>11</v>
      </c>
      <c r="E17" s="5">
        <f t="shared" si="3"/>
        <v>45</v>
      </c>
      <c r="F17" s="61">
        <v>20</v>
      </c>
      <c r="G17" s="60">
        <v>46402.66</v>
      </c>
      <c r="H17" s="36">
        <f t="shared" si="0"/>
        <v>928053.20000000007</v>
      </c>
      <c r="I17" s="36">
        <v>0</v>
      </c>
      <c r="J17" s="60">
        <f t="shared" si="6"/>
        <v>116006.65000000001</v>
      </c>
      <c r="K17" s="60">
        <f t="shared" si="7"/>
        <v>2320.1330000000003</v>
      </c>
      <c r="L17" s="60">
        <f t="shared" si="8"/>
        <v>1160.0665000000001</v>
      </c>
      <c r="M17" s="36">
        <f t="shared" si="4"/>
        <v>1047540.0495000001</v>
      </c>
      <c r="N17" s="36">
        <v>0</v>
      </c>
      <c r="O17" s="60">
        <f t="shared" si="9"/>
        <v>129901.60198000001</v>
      </c>
      <c r="P17" s="36">
        <f t="shared" si="1"/>
        <v>1177441.65148</v>
      </c>
      <c r="Q17" s="61">
        <v>20</v>
      </c>
    </row>
    <row r="18" spans="1:17" x14ac:dyDescent="0.25">
      <c r="A18" s="5" t="s">
        <v>109</v>
      </c>
      <c r="B18" s="5" t="s">
        <v>110</v>
      </c>
      <c r="C18" s="6">
        <v>42676</v>
      </c>
      <c r="D18" s="5">
        <f t="shared" si="2"/>
        <v>11</v>
      </c>
      <c r="E18" s="5">
        <f t="shared" si="3"/>
        <v>45</v>
      </c>
      <c r="F18" s="61">
        <v>20.04</v>
      </c>
      <c r="G18" s="60">
        <v>46402.66</v>
      </c>
      <c r="H18" s="36">
        <f t="shared" si="0"/>
        <v>929909.3064</v>
      </c>
      <c r="I18" s="36">
        <v>0</v>
      </c>
      <c r="J18" s="60">
        <f t="shared" si="6"/>
        <v>116238.6633</v>
      </c>
      <c r="K18" s="60">
        <f t="shared" si="7"/>
        <v>2324.7732660000001</v>
      </c>
      <c r="L18" s="60">
        <f t="shared" si="8"/>
        <v>1162.3866330000001</v>
      </c>
      <c r="M18" s="36">
        <f t="shared" si="4"/>
        <v>1049635.1295990001</v>
      </c>
      <c r="N18" s="36">
        <v>0</v>
      </c>
      <c r="O18" s="60">
        <f t="shared" si="9"/>
        <v>130161.40518396001</v>
      </c>
      <c r="P18" s="36">
        <f t="shared" si="1"/>
        <v>1179796.5347829601</v>
      </c>
      <c r="Q18" s="61">
        <v>20.05</v>
      </c>
    </row>
    <row r="19" spans="1:17" x14ac:dyDescent="0.25">
      <c r="A19" s="5" t="s">
        <v>94</v>
      </c>
      <c r="B19" s="5" t="s">
        <v>20</v>
      </c>
      <c r="C19" s="6">
        <v>42677</v>
      </c>
      <c r="D19" s="5">
        <f t="shared" si="2"/>
        <v>11</v>
      </c>
      <c r="E19" s="5">
        <f t="shared" si="3"/>
        <v>45</v>
      </c>
      <c r="F19" s="61">
        <v>20.14</v>
      </c>
      <c r="G19" s="60">
        <v>94117.6</v>
      </c>
      <c r="H19" s="36">
        <f t="shared" si="0"/>
        <v>1895528.4640000002</v>
      </c>
      <c r="I19" s="36">
        <v>0</v>
      </c>
      <c r="J19" s="60">
        <v>0</v>
      </c>
      <c r="K19" s="60">
        <v>0</v>
      </c>
      <c r="L19" s="60">
        <v>0</v>
      </c>
      <c r="M19" s="36">
        <f t="shared" si="4"/>
        <v>1895528.4640000002</v>
      </c>
      <c r="N19" s="36">
        <f t="shared" ref="N19:N23" si="10">M19*2%</f>
        <v>37910.569280000003</v>
      </c>
      <c r="O19" s="60">
        <v>0</v>
      </c>
      <c r="P19" s="36">
        <f t="shared" si="1"/>
        <v>1933439.0332800001</v>
      </c>
      <c r="Q19" s="61">
        <v>20.14</v>
      </c>
    </row>
    <row r="20" spans="1:17" x14ac:dyDescent="0.25">
      <c r="A20" s="5" t="s">
        <v>100</v>
      </c>
      <c r="B20" s="5" t="s">
        <v>23</v>
      </c>
      <c r="C20" s="6">
        <v>42677</v>
      </c>
      <c r="D20" s="5">
        <f t="shared" si="2"/>
        <v>11</v>
      </c>
      <c r="E20" s="5">
        <f t="shared" si="3"/>
        <v>45</v>
      </c>
      <c r="F20" s="61">
        <v>19.71</v>
      </c>
      <c r="G20" s="60">
        <v>92647</v>
      </c>
      <c r="H20" s="36">
        <f t="shared" si="0"/>
        <v>1826072.37</v>
      </c>
      <c r="I20" s="36">
        <v>0</v>
      </c>
      <c r="J20" s="60">
        <v>0</v>
      </c>
      <c r="K20" s="60">
        <v>0</v>
      </c>
      <c r="L20" s="60">
        <v>0</v>
      </c>
      <c r="M20" s="36">
        <f t="shared" si="4"/>
        <v>1826072.37</v>
      </c>
      <c r="N20" s="36">
        <f t="shared" si="10"/>
        <v>36521.447400000005</v>
      </c>
      <c r="O20" s="60">
        <v>0</v>
      </c>
      <c r="P20" s="36">
        <f t="shared" si="1"/>
        <v>1862593.8174000001</v>
      </c>
      <c r="Q20" s="61">
        <v>19.71</v>
      </c>
    </row>
    <row r="21" spans="1:17" x14ac:dyDescent="0.25">
      <c r="A21" s="5" t="s">
        <v>94</v>
      </c>
      <c r="B21" s="5" t="s">
        <v>20</v>
      </c>
      <c r="C21" s="6">
        <v>42677</v>
      </c>
      <c r="D21" s="5">
        <f t="shared" si="2"/>
        <v>11</v>
      </c>
      <c r="E21" s="5">
        <f t="shared" si="3"/>
        <v>45</v>
      </c>
      <c r="F21" s="61">
        <v>19.71</v>
      </c>
      <c r="G21" s="60">
        <v>94117.6</v>
      </c>
      <c r="H21" s="36">
        <f t="shared" si="0"/>
        <v>1855057.8960000002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4"/>
        <v>1855057.8960000002</v>
      </c>
      <c r="N21" s="36">
        <f t="shared" si="10"/>
        <v>37101.157920000005</v>
      </c>
      <c r="O21" s="60">
        <v>0</v>
      </c>
      <c r="P21" s="36">
        <f t="shared" si="1"/>
        <v>1892159.0539200001</v>
      </c>
      <c r="Q21" s="61">
        <v>19.71</v>
      </c>
    </row>
    <row r="22" spans="1:17" x14ac:dyDescent="0.25">
      <c r="A22" s="5" t="s">
        <v>19</v>
      </c>
      <c r="B22" s="5" t="s">
        <v>20</v>
      </c>
      <c r="C22" s="6">
        <v>42677</v>
      </c>
      <c r="D22" s="5">
        <f t="shared" si="2"/>
        <v>11</v>
      </c>
      <c r="E22" s="5">
        <f t="shared" si="3"/>
        <v>45</v>
      </c>
      <c r="F22" s="61">
        <v>24.68</v>
      </c>
      <c r="G22" s="60">
        <v>93140</v>
      </c>
      <c r="H22" s="36">
        <f t="shared" si="0"/>
        <v>2298695.2000000002</v>
      </c>
      <c r="I22" s="36">
        <v>0</v>
      </c>
      <c r="J22" s="60">
        <v>0</v>
      </c>
      <c r="K22" s="60">
        <v>0</v>
      </c>
      <c r="L22" s="60">
        <v>0</v>
      </c>
      <c r="M22" s="36">
        <f t="shared" si="4"/>
        <v>2298695.2000000002</v>
      </c>
      <c r="N22" s="36">
        <f t="shared" si="10"/>
        <v>45973.904000000002</v>
      </c>
      <c r="O22" s="60">
        <v>0</v>
      </c>
      <c r="P22" s="36">
        <f t="shared" si="1"/>
        <v>2344669.1040000003</v>
      </c>
      <c r="Q22" s="61">
        <v>24.68</v>
      </c>
    </row>
    <row r="23" spans="1:17" x14ac:dyDescent="0.25">
      <c r="A23" s="5" t="s">
        <v>19</v>
      </c>
      <c r="B23" s="5" t="s">
        <v>20</v>
      </c>
      <c r="C23" s="6">
        <v>42677</v>
      </c>
      <c r="D23" s="5">
        <f t="shared" si="2"/>
        <v>11</v>
      </c>
      <c r="E23" s="5">
        <f t="shared" si="3"/>
        <v>45</v>
      </c>
      <c r="F23" s="61">
        <v>19.93</v>
      </c>
      <c r="G23" s="60">
        <v>93630</v>
      </c>
      <c r="H23" s="36">
        <f t="shared" si="0"/>
        <v>1866045.9</v>
      </c>
      <c r="I23" s="36">
        <v>0</v>
      </c>
      <c r="J23" s="60">
        <v>0</v>
      </c>
      <c r="K23" s="60">
        <v>0</v>
      </c>
      <c r="L23" s="60">
        <v>0</v>
      </c>
      <c r="M23" s="36">
        <f t="shared" si="4"/>
        <v>1866045.9</v>
      </c>
      <c r="N23" s="36">
        <f t="shared" si="10"/>
        <v>37320.917999999998</v>
      </c>
      <c r="O23" s="60">
        <v>0</v>
      </c>
      <c r="P23" s="36">
        <f t="shared" si="1"/>
        <v>1903366.818</v>
      </c>
      <c r="Q23" s="61">
        <v>19.93</v>
      </c>
    </row>
    <row r="24" spans="1:17" x14ac:dyDescent="0.25">
      <c r="A24" s="5" t="s">
        <v>32</v>
      </c>
      <c r="B24" s="5" t="s">
        <v>18</v>
      </c>
      <c r="C24" s="6">
        <v>42677</v>
      </c>
      <c r="D24" s="5">
        <f t="shared" si="2"/>
        <v>11</v>
      </c>
      <c r="E24" s="5">
        <f t="shared" si="3"/>
        <v>45</v>
      </c>
      <c r="F24" s="61">
        <v>27.14</v>
      </c>
      <c r="G24" s="60">
        <v>57200</v>
      </c>
      <c r="H24" s="36">
        <f t="shared" si="0"/>
        <v>1552408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4"/>
        <v>1552408</v>
      </c>
      <c r="N24" s="36">
        <v>0</v>
      </c>
      <c r="O24" s="60">
        <v>0</v>
      </c>
      <c r="P24" s="36">
        <f t="shared" si="1"/>
        <v>1552408</v>
      </c>
      <c r="Q24" s="61">
        <v>27.14</v>
      </c>
    </row>
    <row r="25" spans="1:17" x14ac:dyDescent="0.25">
      <c r="A25" s="5" t="s">
        <v>12</v>
      </c>
      <c r="B25" s="5" t="s">
        <v>13</v>
      </c>
      <c r="C25" s="6">
        <v>42677</v>
      </c>
      <c r="D25" s="5">
        <f t="shared" si="2"/>
        <v>11</v>
      </c>
      <c r="E25" s="5">
        <f t="shared" si="3"/>
        <v>45</v>
      </c>
      <c r="F25" s="61">
        <v>28.42</v>
      </c>
      <c r="G25" s="60">
        <v>48529.4</v>
      </c>
      <c r="H25" s="36">
        <f t="shared" si="0"/>
        <v>1379205.5480000002</v>
      </c>
      <c r="I25" s="36">
        <v>0</v>
      </c>
      <c r="J25" s="60">
        <v>0</v>
      </c>
      <c r="K25" s="60">
        <v>0</v>
      </c>
      <c r="L25" s="60">
        <v>0</v>
      </c>
      <c r="M25" s="36">
        <f t="shared" si="4"/>
        <v>1379205.5480000002</v>
      </c>
      <c r="N25" s="36">
        <f t="shared" ref="N25:N79" si="11">M25*2%</f>
        <v>27584.110960000005</v>
      </c>
      <c r="O25" s="60">
        <v>0</v>
      </c>
      <c r="P25" s="36">
        <f t="shared" si="1"/>
        <v>1406789.6589600001</v>
      </c>
      <c r="Q25" s="61">
        <v>28.42</v>
      </c>
    </row>
    <row r="26" spans="1:17" x14ac:dyDescent="0.25">
      <c r="A26" s="5" t="s">
        <v>12</v>
      </c>
      <c r="B26" s="5" t="s">
        <v>13</v>
      </c>
      <c r="C26" s="6">
        <v>42677</v>
      </c>
      <c r="D26" s="5">
        <f t="shared" si="2"/>
        <v>11</v>
      </c>
      <c r="E26" s="5">
        <f t="shared" si="3"/>
        <v>45</v>
      </c>
      <c r="F26" s="61">
        <v>28.55</v>
      </c>
      <c r="G26" s="60">
        <v>48529.4</v>
      </c>
      <c r="H26" s="36">
        <f t="shared" si="0"/>
        <v>1385514.37</v>
      </c>
      <c r="I26" s="36">
        <v>0</v>
      </c>
      <c r="J26" s="60">
        <v>0</v>
      </c>
      <c r="K26" s="60">
        <v>0</v>
      </c>
      <c r="L26" s="60">
        <v>0</v>
      </c>
      <c r="M26" s="36">
        <f t="shared" si="4"/>
        <v>1385514.37</v>
      </c>
      <c r="N26" s="36">
        <f t="shared" si="11"/>
        <v>27710.287400000001</v>
      </c>
      <c r="O26" s="60">
        <v>0</v>
      </c>
      <c r="P26" s="36">
        <f t="shared" si="1"/>
        <v>1413224.6574000001</v>
      </c>
      <c r="Q26" s="61">
        <v>28.55</v>
      </c>
    </row>
    <row r="27" spans="1:17" x14ac:dyDescent="0.25">
      <c r="A27" s="5" t="s">
        <v>109</v>
      </c>
      <c r="B27" s="5" t="s">
        <v>110</v>
      </c>
      <c r="C27" s="6">
        <v>42678</v>
      </c>
      <c r="D27" s="5">
        <f t="shared" si="2"/>
        <v>11</v>
      </c>
      <c r="E27" s="5">
        <f t="shared" si="3"/>
        <v>45</v>
      </c>
      <c r="F27" s="61">
        <v>20</v>
      </c>
      <c r="G27" s="60">
        <v>46402.66</v>
      </c>
      <c r="H27" s="36">
        <f t="shared" si="0"/>
        <v>928053.20000000007</v>
      </c>
      <c r="I27" s="36">
        <v>0</v>
      </c>
      <c r="J27" s="60">
        <f t="shared" ref="J27:J30" si="12">H27*12.5%</f>
        <v>116006.65000000001</v>
      </c>
      <c r="K27" s="60">
        <f t="shared" ref="K27:K30" si="13">(I27+J27)*2%</f>
        <v>2320.1330000000003</v>
      </c>
      <c r="L27" s="60">
        <f t="shared" ref="L27:L30" si="14">(I27+J27)*1%</f>
        <v>1160.0665000000001</v>
      </c>
      <c r="M27" s="36">
        <f t="shared" si="4"/>
        <v>1047540.0495000001</v>
      </c>
      <c r="N27" s="36">
        <v>0</v>
      </c>
      <c r="O27" s="60">
        <f t="shared" ref="O27:O30" si="15">(H27+J27+K27+L27)*4/100+4400*F27</f>
        <v>129901.60198000001</v>
      </c>
      <c r="P27" s="36">
        <f t="shared" si="1"/>
        <v>1177441.65148</v>
      </c>
      <c r="Q27" s="61">
        <v>20.03</v>
      </c>
    </row>
    <row r="28" spans="1:17" x14ac:dyDescent="0.25">
      <c r="A28" s="5" t="s">
        <v>109</v>
      </c>
      <c r="B28" s="5" t="s">
        <v>110</v>
      </c>
      <c r="C28" s="6">
        <v>42678</v>
      </c>
      <c r="D28" s="5">
        <f t="shared" si="2"/>
        <v>11</v>
      </c>
      <c r="E28" s="5">
        <f t="shared" si="3"/>
        <v>45</v>
      </c>
      <c r="F28" s="61">
        <v>20.04</v>
      </c>
      <c r="G28" s="60">
        <v>46402.66</v>
      </c>
      <c r="H28" s="36">
        <f t="shared" si="0"/>
        <v>929909.3064</v>
      </c>
      <c r="I28" s="36">
        <v>0</v>
      </c>
      <c r="J28" s="60">
        <f t="shared" si="12"/>
        <v>116238.6633</v>
      </c>
      <c r="K28" s="60">
        <f t="shared" si="13"/>
        <v>2324.7732660000001</v>
      </c>
      <c r="L28" s="60">
        <f t="shared" si="14"/>
        <v>1162.3866330000001</v>
      </c>
      <c r="M28" s="36">
        <f t="shared" si="4"/>
        <v>1049635.1295990001</v>
      </c>
      <c r="N28" s="36">
        <v>0</v>
      </c>
      <c r="O28" s="60">
        <f t="shared" si="15"/>
        <v>130161.40518396001</v>
      </c>
      <c r="P28" s="36">
        <f t="shared" si="1"/>
        <v>1179796.5347829601</v>
      </c>
      <c r="Q28" s="61">
        <v>20.04</v>
      </c>
    </row>
    <row r="29" spans="1:17" x14ac:dyDescent="0.25">
      <c r="A29" s="5" t="s">
        <v>109</v>
      </c>
      <c r="B29" s="5" t="s">
        <v>110</v>
      </c>
      <c r="C29" s="6">
        <v>42678</v>
      </c>
      <c r="D29" s="5">
        <f t="shared" si="2"/>
        <v>11</v>
      </c>
      <c r="E29" s="5">
        <f t="shared" si="3"/>
        <v>45</v>
      </c>
      <c r="F29" s="61">
        <v>20</v>
      </c>
      <c r="G29" s="60">
        <v>46402.66</v>
      </c>
      <c r="H29" s="36">
        <f t="shared" si="0"/>
        <v>928053.20000000007</v>
      </c>
      <c r="I29" s="36">
        <v>0</v>
      </c>
      <c r="J29" s="60">
        <f t="shared" si="12"/>
        <v>116006.65000000001</v>
      </c>
      <c r="K29" s="60">
        <f t="shared" si="13"/>
        <v>2320.1330000000003</v>
      </c>
      <c r="L29" s="60">
        <f t="shared" si="14"/>
        <v>1160.0665000000001</v>
      </c>
      <c r="M29" s="36">
        <f t="shared" si="4"/>
        <v>1047540.0495000001</v>
      </c>
      <c r="N29" s="36">
        <v>0</v>
      </c>
      <c r="O29" s="60">
        <f t="shared" si="15"/>
        <v>129901.60198000001</v>
      </c>
      <c r="P29" s="36">
        <f t="shared" si="1"/>
        <v>1177441.65148</v>
      </c>
      <c r="Q29" s="61">
        <v>20</v>
      </c>
    </row>
    <row r="30" spans="1:17" x14ac:dyDescent="0.25">
      <c r="A30" s="5" t="s">
        <v>109</v>
      </c>
      <c r="B30" s="5" t="s">
        <v>110</v>
      </c>
      <c r="C30" s="6">
        <v>42678</v>
      </c>
      <c r="D30" s="5">
        <f t="shared" si="2"/>
        <v>11</v>
      </c>
      <c r="E30" s="5">
        <f t="shared" si="3"/>
        <v>45</v>
      </c>
      <c r="F30" s="61">
        <v>20.04</v>
      </c>
      <c r="G30" s="60">
        <v>46402.66</v>
      </c>
      <c r="H30" s="36">
        <f t="shared" si="0"/>
        <v>929909.3064</v>
      </c>
      <c r="I30" s="36">
        <v>0</v>
      </c>
      <c r="J30" s="60">
        <f t="shared" si="12"/>
        <v>116238.6633</v>
      </c>
      <c r="K30" s="60">
        <f t="shared" si="13"/>
        <v>2324.7732660000001</v>
      </c>
      <c r="L30" s="60">
        <f t="shared" si="14"/>
        <v>1162.3866330000001</v>
      </c>
      <c r="M30" s="36">
        <f t="shared" si="4"/>
        <v>1049635.1295990001</v>
      </c>
      <c r="N30" s="36">
        <v>0</v>
      </c>
      <c r="O30" s="60">
        <f t="shared" si="15"/>
        <v>130161.40518396001</v>
      </c>
      <c r="P30" s="36">
        <f t="shared" si="1"/>
        <v>1179796.5347829601</v>
      </c>
      <c r="Q30" s="61">
        <v>20.04</v>
      </c>
    </row>
    <row r="31" spans="1:17" x14ac:dyDescent="0.25">
      <c r="A31" s="5" t="s">
        <v>33</v>
      </c>
      <c r="B31" s="5" t="s">
        <v>18</v>
      </c>
      <c r="C31" s="6">
        <v>42679</v>
      </c>
      <c r="D31" s="5">
        <f t="shared" si="2"/>
        <v>11</v>
      </c>
      <c r="E31" s="5">
        <f t="shared" si="3"/>
        <v>45</v>
      </c>
      <c r="F31" s="61">
        <v>27.66</v>
      </c>
      <c r="G31" s="60">
        <v>56500</v>
      </c>
      <c r="H31" s="36">
        <f t="shared" si="0"/>
        <v>1562790</v>
      </c>
      <c r="I31" s="36">
        <v>0</v>
      </c>
      <c r="J31" s="60">
        <v>0</v>
      </c>
      <c r="K31" s="60">
        <v>0</v>
      </c>
      <c r="L31" s="60">
        <v>0</v>
      </c>
      <c r="M31" s="36">
        <f t="shared" si="4"/>
        <v>1562790</v>
      </c>
      <c r="N31" s="36">
        <v>0</v>
      </c>
      <c r="O31" s="60">
        <v>0</v>
      </c>
      <c r="P31" s="36">
        <f t="shared" si="1"/>
        <v>1562790</v>
      </c>
      <c r="Q31" s="61">
        <v>27.66</v>
      </c>
    </row>
    <row r="32" spans="1:17" x14ac:dyDescent="0.25">
      <c r="A32" s="5" t="s">
        <v>67</v>
      </c>
      <c r="B32" s="5" t="s">
        <v>18</v>
      </c>
      <c r="C32" s="6">
        <v>42679</v>
      </c>
      <c r="D32" s="5">
        <f t="shared" si="2"/>
        <v>11</v>
      </c>
      <c r="E32" s="5">
        <f t="shared" si="3"/>
        <v>45</v>
      </c>
      <c r="F32" s="61">
        <v>26.41</v>
      </c>
      <c r="G32" s="60">
        <v>49700</v>
      </c>
      <c r="H32" s="36">
        <f t="shared" si="0"/>
        <v>1312577</v>
      </c>
      <c r="I32" s="36">
        <v>0</v>
      </c>
      <c r="J32" s="60">
        <v>0</v>
      </c>
      <c r="K32" s="60">
        <v>0</v>
      </c>
      <c r="L32" s="60">
        <v>0</v>
      </c>
      <c r="M32" s="36">
        <f t="shared" si="4"/>
        <v>1312577</v>
      </c>
      <c r="N32" s="36">
        <v>0</v>
      </c>
      <c r="O32" s="60">
        <v>0</v>
      </c>
      <c r="P32" s="36">
        <f t="shared" si="1"/>
        <v>1312577</v>
      </c>
      <c r="Q32" s="61">
        <v>26.41</v>
      </c>
    </row>
    <row r="33" spans="1:17" x14ac:dyDescent="0.25">
      <c r="A33" s="5" t="s">
        <v>12</v>
      </c>
      <c r="B33" s="5" t="s">
        <v>13</v>
      </c>
      <c r="C33" s="6">
        <v>42679</v>
      </c>
      <c r="D33" s="5">
        <f t="shared" si="2"/>
        <v>11</v>
      </c>
      <c r="E33" s="5">
        <f t="shared" si="3"/>
        <v>45</v>
      </c>
      <c r="F33" s="61">
        <v>28.66</v>
      </c>
      <c r="G33" s="60">
        <v>48529.4</v>
      </c>
      <c r="H33" s="36">
        <f t="shared" si="0"/>
        <v>1390852.6040000001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4"/>
        <v>1390852.6040000001</v>
      </c>
      <c r="N33" s="36">
        <f t="shared" si="11"/>
        <v>27817.052080000001</v>
      </c>
      <c r="O33" s="60">
        <v>0</v>
      </c>
      <c r="P33" s="36">
        <f t="shared" si="1"/>
        <v>1418669.6560800001</v>
      </c>
      <c r="Q33" s="61">
        <v>28.66</v>
      </c>
    </row>
    <row r="34" spans="1:17" x14ac:dyDescent="0.25">
      <c r="A34" s="5" t="s">
        <v>33</v>
      </c>
      <c r="B34" s="5" t="s">
        <v>15</v>
      </c>
      <c r="C34" s="6">
        <v>42679</v>
      </c>
      <c r="D34" s="5">
        <f t="shared" si="2"/>
        <v>11</v>
      </c>
      <c r="E34" s="5">
        <f t="shared" si="3"/>
        <v>45</v>
      </c>
      <c r="F34" s="61">
        <v>28.07</v>
      </c>
      <c r="G34" s="60">
        <v>57000</v>
      </c>
      <c r="H34" s="36">
        <f t="shared" si="0"/>
        <v>1599990</v>
      </c>
      <c r="I34" s="36">
        <v>0</v>
      </c>
      <c r="J34" s="60">
        <v>0</v>
      </c>
      <c r="K34" s="60">
        <v>0</v>
      </c>
      <c r="L34" s="60">
        <v>0</v>
      </c>
      <c r="M34" s="36">
        <f t="shared" si="4"/>
        <v>1599990</v>
      </c>
      <c r="N34" s="36">
        <v>0</v>
      </c>
      <c r="O34" s="60">
        <v>0</v>
      </c>
      <c r="P34" s="36">
        <f t="shared" si="1"/>
        <v>1599990</v>
      </c>
      <c r="Q34" s="61">
        <v>28.07</v>
      </c>
    </row>
    <row r="35" spans="1:17" x14ac:dyDescent="0.25">
      <c r="A35" s="5" t="s">
        <v>100</v>
      </c>
      <c r="B35" s="5" t="s">
        <v>23</v>
      </c>
      <c r="C35" s="6">
        <v>42679</v>
      </c>
      <c r="D35" s="5">
        <f t="shared" si="2"/>
        <v>11</v>
      </c>
      <c r="E35" s="5">
        <f t="shared" si="3"/>
        <v>45</v>
      </c>
      <c r="F35" s="61">
        <v>19.64</v>
      </c>
      <c r="G35" s="60">
        <v>90196</v>
      </c>
      <c r="H35" s="36">
        <f t="shared" si="0"/>
        <v>1771449.44</v>
      </c>
      <c r="I35" s="36">
        <v>0</v>
      </c>
      <c r="J35" s="60">
        <v>0</v>
      </c>
      <c r="K35" s="60">
        <v>0</v>
      </c>
      <c r="L35" s="60">
        <v>0</v>
      </c>
      <c r="M35" s="36">
        <f t="shared" si="4"/>
        <v>1771449.44</v>
      </c>
      <c r="N35" s="36">
        <f t="shared" si="11"/>
        <v>35428.988799999999</v>
      </c>
      <c r="O35" s="60">
        <v>0</v>
      </c>
      <c r="P35" s="36">
        <f t="shared" si="1"/>
        <v>1806878.4287999999</v>
      </c>
      <c r="Q35" s="61">
        <v>19.64</v>
      </c>
    </row>
    <row r="36" spans="1:17" x14ac:dyDescent="0.25">
      <c r="A36" s="5" t="s">
        <v>100</v>
      </c>
      <c r="B36" s="5" t="s">
        <v>23</v>
      </c>
      <c r="C36" s="6">
        <v>42679</v>
      </c>
      <c r="D36" s="5">
        <f t="shared" si="2"/>
        <v>11</v>
      </c>
      <c r="E36" s="5">
        <f t="shared" si="3"/>
        <v>45</v>
      </c>
      <c r="F36" s="61">
        <v>19.95</v>
      </c>
      <c r="G36" s="60">
        <v>90196</v>
      </c>
      <c r="H36" s="36">
        <f t="shared" si="0"/>
        <v>1799410.2</v>
      </c>
      <c r="I36" s="36">
        <v>0</v>
      </c>
      <c r="J36" s="60">
        <v>0</v>
      </c>
      <c r="K36" s="60">
        <v>0</v>
      </c>
      <c r="L36" s="60">
        <v>0</v>
      </c>
      <c r="M36" s="36">
        <f t="shared" si="4"/>
        <v>1799410.2</v>
      </c>
      <c r="N36" s="36">
        <f t="shared" si="11"/>
        <v>35988.203999999998</v>
      </c>
      <c r="O36" s="60">
        <v>0</v>
      </c>
      <c r="P36" s="36">
        <f t="shared" si="1"/>
        <v>1835398.4039999999</v>
      </c>
      <c r="Q36" s="61">
        <v>19.95</v>
      </c>
    </row>
    <row r="37" spans="1:17" x14ac:dyDescent="0.25">
      <c r="A37" s="5" t="s">
        <v>33</v>
      </c>
      <c r="B37" s="5" t="s">
        <v>15</v>
      </c>
      <c r="C37" s="6">
        <v>42679</v>
      </c>
      <c r="D37" s="5">
        <f t="shared" si="2"/>
        <v>11</v>
      </c>
      <c r="E37" s="5">
        <f t="shared" si="3"/>
        <v>45</v>
      </c>
      <c r="F37" s="61">
        <v>28.96</v>
      </c>
      <c r="G37" s="60">
        <v>57000</v>
      </c>
      <c r="H37" s="36">
        <f t="shared" si="0"/>
        <v>1650720</v>
      </c>
      <c r="I37" s="36">
        <v>0</v>
      </c>
      <c r="J37" s="60">
        <v>0</v>
      </c>
      <c r="K37" s="60">
        <v>0</v>
      </c>
      <c r="L37" s="60">
        <v>0</v>
      </c>
      <c r="M37" s="36">
        <f t="shared" si="4"/>
        <v>1650720</v>
      </c>
      <c r="N37" s="36">
        <v>0</v>
      </c>
      <c r="O37" s="60">
        <v>0</v>
      </c>
      <c r="P37" s="36">
        <f t="shared" si="1"/>
        <v>1650720</v>
      </c>
      <c r="Q37" s="61">
        <v>28.96</v>
      </c>
    </row>
    <row r="38" spans="1:17" x14ac:dyDescent="0.25">
      <c r="A38" s="5" t="s">
        <v>33</v>
      </c>
      <c r="B38" s="5" t="s">
        <v>18</v>
      </c>
      <c r="C38" s="6">
        <v>42679</v>
      </c>
      <c r="D38" s="5">
        <f t="shared" si="2"/>
        <v>11</v>
      </c>
      <c r="E38" s="5">
        <f t="shared" si="3"/>
        <v>45</v>
      </c>
      <c r="F38" s="61">
        <v>27.41</v>
      </c>
      <c r="G38" s="60">
        <v>51429.65</v>
      </c>
      <c r="H38" s="36">
        <f t="shared" si="0"/>
        <v>1409686.7065000001</v>
      </c>
      <c r="I38" s="36">
        <v>0</v>
      </c>
      <c r="J38" s="60">
        <v>0</v>
      </c>
      <c r="K38" s="60">
        <v>0</v>
      </c>
      <c r="L38" s="60">
        <v>0</v>
      </c>
      <c r="M38" s="36">
        <f t="shared" si="4"/>
        <v>1409686.7065000001</v>
      </c>
      <c r="N38" s="36">
        <v>0</v>
      </c>
      <c r="O38" s="60">
        <v>0</v>
      </c>
      <c r="P38" s="36">
        <f t="shared" si="1"/>
        <v>1409686.7065000001</v>
      </c>
      <c r="Q38" s="61">
        <v>27.41</v>
      </c>
    </row>
    <row r="39" spans="1:17" x14ac:dyDescent="0.25">
      <c r="A39" s="5" t="s">
        <v>24</v>
      </c>
      <c r="B39" s="5" t="s">
        <v>18</v>
      </c>
      <c r="C39" s="6">
        <v>42679</v>
      </c>
      <c r="D39" s="5">
        <f t="shared" si="2"/>
        <v>11</v>
      </c>
      <c r="E39" s="5">
        <f t="shared" si="3"/>
        <v>45</v>
      </c>
      <c r="F39" s="61">
        <v>28.27</v>
      </c>
      <c r="G39" s="60">
        <v>54535.79</v>
      </c>
      <c r="H39" s="36">
        <f t="shared" si="0"/>
        <v>1541726.7833</v>
      </c>
      <c r="I39" s="36">
        <v>0</v>
      </c>
      <c r="J39" s="60">
        <v>0</v>
      </c>
      <c r="K39" s="60">
        <v>0</v>
      </c>
      <c r="L39" s="60">
        <v>0</v>
      </c>
      <c r="M39" s="36">
        <f t="shared" si="4"/>
        <v>1541726.7833</v>
      </c>
      <c r="N39" s="36">
        <v>0</v>
      </c>
      <c r="O39" s="60">
        <v>0</v>
      </c>
      <c r="P39" s="36">
        <f t="shared" si="1"/>
        <v>1541726.7833</v>
      </c>
      <c r="Q39" s="61">
        <v>28.27</v>
      </c>
    </row>
    <row r="40" spans="1:17" x14ac:dyDescent="0.25">
      <c r="A40" s="5" t="s">
        <v>27</v>
      </c>
      <c r="B40" s="5" t="s">
        <v>18</v>
      </c>
      <c r="C40" s="6">
        <v>42679</v>
      </c>
      <c r="D40" s="5">
        <f t="shared" si="2"/>
        <v>11</v>
      </c>
      <c r="E40" s="5">
        <f t="shared" si="3"/>
        <v>45</v>
      </c>
      <c r="F40" s="61">
        <v>19.940000000000001</v>
      </c>
      <c r="G40" s="60">
        <v>57200</v>
      </c>
      <c r="H40" s="36">
        <f t="shared" si="0"/>
        <v>1140568</v>
      </c>
      <c r="I40" s="36">
        <v>0</v>
      </c>
      <c r="J40" s="60">
        <v>0</v>
      </c>
      <c r="K40" s="60">
        <v>0</v>
      </c>
      <c r="L40" s="60">
        <v>0</v>
      </c>
      <c r="M40" s="36">
        <f t="shared" si="4"/>
        <v>1140568</v>
      </c>
      <c r="N40" s="36">
        <v>0</v>
      </c>
      <c r="O40" s="60">
        <v>0</v>
      </c>
      <c r="P40" s="36">
        <f t="shared" si="1"/>
        <v>1140568</v>
      </c>
      <c r="Q40" s="61">
        <v>19.940000000000001</v>
      </c>
    </row>
    <row r="41" spans="1:17" x14ac:dyDescent="0.25">
      <c r="A41" s="5" t="s">
        <v>21</v>
      </c>
      <c r="B41" s="5" t="s">
        <v>15</v>
      </c>
      <c r="C41" s="6">
        <v>42680</v>
      </c>
      <c r="D41" s="5">
        <f t="shared" si="2"/>
        <v>11</v>
      </c>
      <c r="E41" s="5">
        <f t="shared" si="3"/>
        <v>46</v>
      </c>
      <c r="F41" s="61">
        <v>30.71</v>
      </c>
      <c r="G41" s="60">
        <v>57483.29</v>
      </c>
      <c r="H41" s="36">
        <f t="shared" si="0"/>
        <v>1765311.8359000001</v>
      </c>
      <c r="I41" s="36"/>
      <c r="J41" s="60">
        <v>0</v>
      </c>
      <c r="K41" s="60"/>
      <c r="L41" s="60"/>
      <c r="M41" s="36">
        <f t="shared" si="4"/>
        <v>1765311.8359000001</v>
      </c>
      <c r="N41" s="36">
        <v>0</v>
      </c>
      <c r="O41" s="60"/>
      <c r="P41" s="36">
        <f t="shared" si="1"/>
        <v>1765311.8359000001</v>
      </c>
      <c r="Q41" s="61">
        <v>30.71</v>
      </c>
    </row>
    <row r="42" spans="1:17" x14ac:dyDescent="0.25">
      <c r="A42" s="5" t="s">
        <v>100</v>
      </c>
      <c r="B42" s="5" t="s">
        <v>23</v>
      </c>
      <c r="C42" s="6">
        <v>42681</v>
      </c>
      <c r="D42" s="5">
        <f t="shared" si="2"/>
        <v>11</v>
      </c>
      <c r="E42" s="5">
        <f t="shared" si="3"/>
        <v>46</v>
      </c>
      <c r="F42" s="61">
        <v>19.920000000000002</v>
      </c>
      <c r="G42" s="60">
        <v>92647</v>
      </c>
      <c r="H42" s="36">
        <f t="shared" si="0"/>
        <v>1845528.2400000002</v>
      </c>
      <c r="I42" s="36">
        <v>0</v>
      </c>
      <c r="J42" s="60">
        <v>0</v>
      </c>
      <c r="K42" s="60">
        <v>0</v>
      </c>
      <c r="L42" s="60">
        <v>0</v>
      </c>
      <c r="M42" s="36">
        <f t="shared" si="4"/>
        <v>1845528.2400000002</v>
      </c>
      <c r="N42" s="36">
        <f t="shared" si="11"/>
        <v>36910.564800000007</v>
      </c>
      <c r="O42" s="60">
        <v>0</v>
      </c>
      <c r="P42" s="36">
        <f t="shared" si="1"/>
        <v>1882438.8048000003</v>
      </c>
      <c r="Q42" s="61">
        <v>19.920000000000002</v>
      </c>
    </row>
    <row r="43" spans="1:17" x14ac:dyDescent="0.25">
      <c r="A43" s="5" t="s">
        <v>16</v>
      </c>
      <c r="B43" s="5" t="s">
        <v>15</v>
      </c>
      <c r="C43" s="6">
        <v>42681</v>
      </c>
      <c r="D43" s="5">
        <f t="shared" si="2"/>
        <v>11</v>
      </c>
      <c r="E43" s="5">
        <f t="shared" si="3"/>
        <v>46</v>
      </c>
      <c r="F43" s="61">
        <v>29.01</v>
      </c>
      <c r="G43" s="60">
        <v>57000</v>
      </c>
      <c r="H43" s="36">
        <f t="shared" si="0"/>
        <v>1653570</v>
      </c>
      <c r="I43" s="36">
        <v>0</v>
      </c>
      <c r="J43" s="60">
        <v>0</v>
      </c>
      <c r="K43" s="60">
        <v>0</v>
      </c>
      <c r="L43" s="60">
        <v>0</v>
      </c>
      <c r="M43" s="36">
        <f t="shared" si="4"/>
        <v>1653570</v>
      </c>
      <c r="N43" s="36">
        <v>0</v>
      </c>
      <c r="O43" s="60">
        <v>0</v>
      </c>
      <c r="P43" s="36">
        <f t="shared" si="1"/>
        <v>1653570</v>
      </c>
      <c r="Q43" s="61">
        <v>29.01</v>
      </c>
    </row>
    <row r="44" spans="1:17" x14ac:dyDescent="0.25">
      <c r="A44" s="5" t="s">
        <v>31</v>
      </c>
      <c r="B44" s="5" t="s">
        <v>18</v>
      </c>
      <c r="C44" s="6">
        <v>42681</v>
      </c>
      <c r="D44" s="5">
        <f t="shared" si="2"/>
        <v>11</v>
      </c>
      <c r="E44" s="5">
        <f t="shared" si="3"/>
        <v>46</v>
      </c>
      <c r="F44" s="61">
        <v>26.82</v>
      </c>
      <c r="G44" s="60">
        <v>57200</v>
      </c>
      <c r="H44" s="36">
        <f t="shared" si="0"/>
        <v>1534104</v>
      </c>
      <c r="I44" s="36">
        <v>0</v>
      </c>
      <c r="J44" s="60">
        <v>0</v>
      </c>
      <c r="K44" s="60">
        <v>0</v>
      </c>
      <c r="L44" s="60">
        <v>0</v>
      </c>
      <c r="M44" s="36">
        <f t="shared" si="4"/>
        <v>1534104</v>
      </c>
      <c r="N44" s="36">
        <v>0</v>
      </c>
      <c r="O44" s="60">
        <v>0</v>
      </c>
      <c r="P44" s="36">
        <f t="shared" si="1"/>
        <v>1534104</v>
      </c>
      <c r="Q44" s="61">
        <v>26.82</v>
      </c>
    </row>
    <row r="45" spans="1:17" x14ac:dyDescent="0.25">
      <c r="A45" s="5" t="s">
        <v>12</v>
      </c>
      <c r="B45" s="5" t="s">
        <v>13</v>
      </c>
      <c r="C45" s="6">
        <v>42681</v>
      </c>
      <c r="D45" s="5">
        <f t="shared" si="2"/>
        <v>11</v>
      </c>
      <c r="E45" s="5">
        <f t="shared" si="3"/>
        <v>46</v>
      </c>
      <c r="F45" s="61">
        <v>28.9</v>
      </c>
      <c r="G45" s="60">
        <v>48529.4</v>
      </c>
      <c r="H45" s="36">
        <f t="shared" si="0"/>
        <v>1402499.66</v>
      </c>
      <c r="I45" s="36">
        <v>0</v>
      </c>
      <c r="J45" s="60">
        <v>0</v>
      </c>
      <c r="K45" s="60">
        <v>0</v>
      </c>
      <c r="L45" s="60">
        <v>0</v>
      </c>
      <c r="M45" s="36">
        <f t="shared" si="4"/>
        <v>1402499.66</v>
      </c>
      <c r="N45" s="36">
        <f t="shared" ref="N45" si="16">M45*2%</f>
        <v>28049.993199999997</v>
      </c>
      <c r="O45" s="60">
        <v>0</v>
      </c>
      <c r="P45" s="36">
        <f t="shared" si="1"/>
        <v>1430549.6531999998</v>
      </c>
      <c r="Q45" s="61">
        <v>28.9</v>
      </c>
    </row>
    <row r="46" spans="1:17" x14ac:dyDescent="0.25">
      <c r="A46" s="5" t="s">
        <v>90</v>
      </c>
      <c r="B46" s="5" t="s">
        <v>20</v>
      </c>
      <c r="C46" s="6">
        <v>42682</v>
      </c>
      <c r="D46" s="5">
        <f t="shared" si="2"/>
        <v>11</v>
      </c>
      <c r="E46" s="5">
        <f t="shared" si="3"/>
        <v>46</v>
      </c>
      <c r="F46" s="61">
        <v>24.09</v>
      </c>
      <c r="G46" s="60">
        <v>97100</v>
      </c>
      <c r="H46" s="36">
        <f t="shared" si="0"/>
        <v>2339139</v>
      </c>
      <c r="I46" s="36">
        <v>0</v>
      </c>
      <c r="J46" s="60">
        <v>0</v>
      </c>
      <c r="K46" s="60">
        <v>0</v>
      </c>
      <c r="L46" s="60">
        <v>0</v>
      </c>
      <c r="M46" s="36">
        <f t="shared" si="4"/>
        <v>2339139</v>
      </c>
      <c r="N46" s="36">
        <f t="shared" si="11"/>
        <v>46782.78</v>
      </c>
      <c r="O46" s="60">
        <v>0</v>
      </c>
      <c r="P46" s="36">
        <f t="shared" si="1"/>
        <v>2385921.7799999998</v>
      </c>
      <c r="Q46" s="61">
        <v>24.11</v>
      </c>
    </row>
    <row r="47" spans="1:17" x14ac:dyDescent="0.25">
      <c r="A47" s="5" t="s">
        <v>94</v>
      </c>
      <c r="B47" s="5" t="s">
        <v>20</v>
      </c>
      <c r="C47" s="6">
        <v>42682</v>
      </c>
      <c r="D47" s="5">
        <f t="shared" si="2"/>
        <v>11</v>
      </c>
      <c r="E47" s="5">
        <f t="shared" si="3"/>
        <v>46</v>
      </c>
      <c r="F47" s="61">
        <v>25.22</v>
      </c>
      <c r="G47" s="60">
        <v>94117.6</v>
      </c>
      <c r="H47" s="36">
        <f t="shared" si="0"/>
        <v>2373645.872</v>
      </c>
      <c r="I47" s="36">
        <v>0</v>
      </c>
      <c r="J47" s="60">
        <v>0</v>
      </c>
      <c r="K47" s="60">
        <v>0</v>
      </c>
      <c r="L47" s="60">
        <v>0</v>
      </c>
      <c r="M47" s="36">
        <f t="shared" si="4"/>
        <v>2373645.872</v>
      </c>
      <c r="N47" s="36">
        <f t="shared" si="11"/>
        <v>47472.917439999997</v>
      </c>
      <c r="O47" s="60">
        <v>0</v>
      </c>
      <c r="P47" s="36">
        <f t="shared" si="1"/>
        <v>2421118.78944</v>
      </c>
      <c r="Q47" s="61">
        <v>25.22</v>
      </c>
    </row>
    <row r="48" spans="1:17" x14ac:dyDescent="0.25">
      <c r="A48" s="5" t="s">
        <v>100</v>
      </c>
      <c r="B48" s="5" t="s">
        <v>23</v>
      </c>
      <c r="C48" s="6">
        <v>42682</v>
      </c>
      <c r="D48" s="5">
        <f t="shared" si="2"/>
        <v>11</v>
      </c>
      <c r="E48" s="5">
        <f t="shared" si="3"/>
        <v>46</v>
      </c>
      <c r="F48" s="61">
        <v>20.09</v>
      </c>
      <c r="G48" s="60">
        <v>92647</v>
      </c>
      <c r="H48" s="36">
        <f t="shared" si="0"/>
        <v>1861278.23</v>
      </c>
      <c r="I48" s="36">
        <v>0</v>
      </c>
      <c r="J48" s="60">
        <v>0</v>
      </c>
      <c r="K48" s="60">
        <v>0</v>
      </c>
      <c r="L48" s="60">
        <v>0</v>
      </c>
      <c r="M48" s="36">
        <f t="shared" si="4"/>
        <v>1861278.23</v>
      </c>
      <c r="N48" s="36">
        <f t="shared" si="11"/>
        <v>37225.564599999998</v>
      </c>
      <c r="O48" s="60">
        <v>0</v>
      </c>
      <c r="P48" s="36">
        <f t="shared" si="1"/>
        <v>1898503.7945999999</v>
      </c>
      <c r="Q48" s="61">
        <v>20.09</v>
      </c>
    </row>
    <row r="49" spans="1:17" x14ac:dyDescent="0.25">
      <c r="A49" s="5" t="s">
        <v>16</v>
      </c>
      <c r="B49" s="5" t="s">
        <v>15</v>
      </c>
      <c r="C49" s="6">
        <v>42683</v>
      </c>
      <c r="D49" s="5">
        <f t="shared" si="2"/>
        <v>11</v>
      </c>
      <c r="E49" s="5">
        <f t="shared" si="3"/>
        <v>46</v>
      </c>
      <c r="F49" s="61">
        <v>29.15</v>
      </c>
      <c r="G49" s="60">
        <v>57000</v>
      </c>
      <c r="H49" s="36">
        <f t="shared" si="0"/>
        <v>1661550</v>
      </c>
      <c r="I49" s="36">
        <v>0</v>
      </c>
      <c r="J49" s="60">
        <v>0</v>
      </c>
      <c r="K49" s="60">
        <v>0</v>
      </c>
      <c r="L49" s="60">
        <v>0</v>
      </c>
      <c r="M49" s="36">
        <f t="shared" si="4"/>
        <v>1661550</v>
      </c>
      <c r="N49" s="36">
        <v>0</v>
      </c>
      <c r="O49" s="60">
        <v>0</v>
      </c>
      <c r="P49" s="36">
        <f t="shared" si="1"/>
        <v>1661550</v>
      </c>
      <c r="Q49" s="61">
        <v>29.15</v>
      </c>
    </row>
    <row r="50" spans="1:17" x14ac:dyDescent="0.25">
      <c r="A50" s="5" t="s">
        <v>19</v>
      </c>
      <c r="B50" s="5" t="s">
        <v>20</v>
      </c>
      <c r="C50" s="6">
        <v>42683</v>
      </c>
      <c r="D50" s="5">
        <f t="shared" si="2"/>
        <v>11</v>
      </c>
      <c r="E50" s="5">
        <f t="shared" si="3"/>
        <v>46</v>
      </c>
      <c r="F50" s="61">
        <v>24.92</v>
      </c>
      <c r="G50" s="60">
        <v>93140</v>
      </c>
      <c r="H50" s="36">
        <f t="shared" si="0"/>
        <v>2321048.8000000003</v>
      </c>
      <c r="I50" s="36">
        <v>0</v>
      </c>
      <c r="J50" s="60">
        <v>0</v>
      </c>
      <c r="K50" s="60">
        <v>0</v>
      </c>
      <c r="L50" s="60">
        <v>0</v>
      </c>
      <c r="M50" s="36">
        <f t="shared" si="4"/>
        <v>2321048.8000000003</v>
      </c>
      <c r="N50" s="36">
        <f t="shared" si="11"/>
        <v>46420.97600000001</v>
      </c>
      <c r="O50" s="60">
        <v>0</v>
      </c>
      <c r="P50" s="36">
        <f t="shared" si="1"/>
        <v>2367469.7760000001</v>
      </c>
      <c r="Q50" s="61">
        <v>24.92</v>
      </c>
    </row>
    <row r="51" spans="1:17" x14ac:dyDescent="0.25">
      <c r="A51" s="5" t="s">
        <v>31</v>
      </c>
      <c r="B51" s="5" t="s">
        <v>18</v>
      </c>
      <c r="C51" s="6">
        <v>42684</v>
      </c>
      <c r="D51" s="5">
        <f t="shared" si="2"/>
        <v>11</v>
      </c>
      <c r="E51" s="5">
        <f t="shared" si="3"/>
        <v>46</v>
      </c>
      <c r="F51" s="61">
        <v>26.26</v>
      </c>
      <c r="G51" s="60">
        <v>55944.54</v>
      </c>
      <c r="H51" s="36">
        <f t="shared" si="0"/>
        <v>1469103.6204000001</v>
      </c>
      <c r="I51" s="36">
        <v>0</v>
      </c>
      <c r="J51" s="60">
        <v>0</v>
      </c>
      <c r="K51" s="60">
        <v>0</v>
      </c>
      <c r="L51" s="60">
        <v>0</v>
      </c>
      <c r="M51" s="36">
        <f t="shared" si="4"/>
        <v>1469103.6204000001</v>
      </c>
      <c r="N51" s="36">
        <v>0</v>
      </c>
      <c r="O51" s="60">
        <v>0</v>
      </c>
      <c r="P51" s="36">
        <f t="shared" si="1"/>
        <v>1469103.6204000001</v>
      </c>
      <c r="Q51" s="61">
        <v>26.26</v>
      </c>
    </row>
    <row r="52" spans="1:17" x14ac:dyDescent="0.25">
      <c r="A52" s="5" t="s">
        <v>16</v>
      </c>
      <c r="B52" s="5" t="s">
        <v>18</v>
      </c>
      <c r="C52" s="6">
        <v>42684</v>
      </c>
      <c r="D52" s="5">
        <f t="shared" si="2"/>
        <v>11</v>
      </c>
      <c r="E52" s="5">
        <f t="shared" si="3"/>
        <v>46</v>
      </c>
      <c r="F52" s="61">
        <v>29.62</v>
      </c>
      <c r="G52" s="60">
        <v>52811</v>
      </c>
      <c r="H52" s="36">
        <f t="shared" si="0"/>
        <v>1564261.82</v>
      </c>
      <c r="I52" s="36">
        <v>0</v>
      </c>
      <c r="J52" s="60">
        <v>0</v>
      </c>
      <c r="K52" s="60">
        <v>0</v>
      </c>
      <c r="L52" s="60">
        <v>0</v>
      </c>
      <c r="M52" s="36">
        <f t="shared" si="4"/>
        <v>1564261.82</v>
      </c>
      <c r="N52" s="36">
        <v>0</v>
      </c>
      <c r="O52" s="60">
        <v>0</v>
      </c>
      <c r="P52" s="36">
        <f t="shared" si="1"/>
        <v>1564261.82</v>
      </c>
      <c r="Q52" s="61">
        <v>29.62</v>
      </c>
    </row>
    <row r="53" spans="1:17" x14ac:dyDescent="0.25">
      <c r="A53" s="5" t="s">
        <v>33</v>
      </c>
      <c r="B53" s="5" t="s">
        <v>15</v>
      </c>
      <c r="C53" s="6">
        <v>42685</v>
      </c>
      <c r="D53" s="5">
        <f t="shared" si="2"/>
        <v>11</v>
      </c>
      <c r="E53" s="5">
        <f t="shared" si="3"/>
        <v>46</v>
      </c>
      <c r="F53" s="61">
        <v>26.97</v>
      </c>
      <c r="G53" s="60">
        <v>50700</v>
      </c>
      <c r="H53" s="36">
        <f t="shared" si="0"/>
        <v>1367379</v>
      </c>
      <c r="I53" s="36">
        <v>0</v>
      </c>
      <c r="J53" s="60">
        <v>0</v>
      </c>
      <c r="K53" s="60">
        <v>0</v>
      </c>
      <c r="L53" s="60">
        <v>0</v>
      </c>
      <c r="M53" s="36">
        <f t="shared" si="4"/>
        <v>1367379</v>
      </c>
      <c r="N53" s="36">
        <v>0</v>
      </c>
      <c r="O53" s="60">
        <v>0</v>
      </c>
      <c r="P53" s="36">
        <f t="shared" si="1"/>
        <v>1367379</v>
      </c>
      <c r="Q53" s="61">
        <v>26.97</v>
      </c>
    </row>
    <row r="54" spans="1:17" x14ac:dyDescent="0.25">
      <c r="A54" s="5" t="s">
        <v>33</v>
      </c>
      <c r="B54" s="5" t="s">
        <v>15</v>
      </c>
      <c r="C54" s="6">
        <v>42685</v>
      </c>
      <c r="D54" s="5">
        <f t="shared" si="2"/>
        <v>11</v>
      </c>
      <c r="E54" s="5">
        <f t="shared" si="3"/>
        <v>46</v>
      </c>
      <c r="F54" s="61">
        <v>27.41</v>
      </c>
      <c r="G54" s="60">
        <v>57954.14</v>
      </c>
      <c r="H54" s="36">
        <f t="shared" si="0"/>
        <v>1588522.9774</v>
      </c>
      <c r="I54" s="36">
        <v>0</v>
      </c>
      <c r="J54" s="60">
        <v>0</v>
      </c>
      <c r="K54" s="60">
        <v>0</v>
      </c>
      <c r="L54" s="60">
        <v>0</v>
      </c>
      <c r="M54" s="36">
        <f t="shared" si="4"/>
        <v>1588522.9774</v>
      </c>
      <c r="N54" s="36">
        <v>0</v>
      </c>
      <c r="O54" s="60">
        <v>0</v>
      </c>
      <c r="P54" s="36">
        <f t="shared" si="1"/>
        <v>1588522.9774</v>
      </c>
      <c r="Q54" s="61">
        <v>27.41</v>
      </c>
    </row>
    <row r="55" spans="1:17" x14ac:dyDescent="0.25">
      <c r="A55" s="5" t="s">
        <v>33</v>
      </c>
      <c r="B55" s="5" t="s">
        <v>15</v>
      </c>
      <c r="C55" s="6">
        <v>42685</v>
      </c>
      <c r="D55" s="5">
        <f t="shared" si="2"/>
        <v>11</v>
      </c>
      <c r="E55" s="5">
        <f t="shared" si="3"/>
        <v>46</v>
      </c>
      <c r="F55" s="61">
        <v>27.69</v>
      </c>
      <c r="G55" s="60">
        <v>57000</v>
      </c>
      <c r="H55" s="36">
        <f t="shared" si="0"/>
        <v>1578330</v>
      </c>
      <c r="I55" s="36">
        <v>0</v>
      </c>
      <c r="J55" s="60">
        <v>0</v>
      </c>
      <c r="K55" s="60">
        <v>0</v>
      </c>
      <c r="L55" s="60">
        <v>0</v>
      </c>
      <c r="M55" s="36">
        <f t="shared" si="4"/>
        <v>1578330</v>
      </c>
      <c r="N55" s="36">
        <v>0</v>
      </c>
      <c r="O55" s="60">
        <v>0</v>
      </c>
      <c r="P55" s="36">
        <f t="shared" si="1"/>
        <v>1578330</v>
      </c>
      <c r="Q55" s="61">
        <v>27.69</v>
      </c>
    </row>
    <row r="56" spans="1:17" x14ac:dyDescent="0.25">
      <c r="A56" s="5" t="s">
        <v>94</v>
      </c>
      <c r="B56" s="5" t="s">
        <v>20</v>
      </c>
      <c r="C56" s="6">
        <v>42687</v>
      </c>
      <c r="D56" s="5">
        <f t="shared" si="2"/>
        <v>11</v>
      </c>
      <c r="E56" s="5">
        <f t="shared" si="3"/>
        <v>47</v>
      </c>
      <c r="F56" s="61">
        <v>20.23</v>
      </c>
      <c r="G56" s="60">
        <v>97549</v>
      </c>
      <c r="H56" s="36">
        <f t="shared" si="0"/>
        <v>1973416.27</v>
      </c>
      <c r="I56" s="36">
        <v>0</v>
      </c>
      <c r="J56" s="60">
        <v>0</v>
      </c>
      <c r="K56" s="60">
        <v>0</v>
      </c>
      <c r="L56" s="60">
        <v>0</v>
      </c>
      <c r="M56" s="36">
        <f t="shared" si="4"/>
        <v>1973416.27</v>
      </c>
      <c r="N56" s="36">
        <f t="shared" ref="N56:N57" si="17">M56*2%</f>
        <v>39468.325400000002</v>
      </c>
      <c r="O56" s="60">
        <v>0</v>
      </c>
      <c r="P56" s="36">
        <f t="shared" si="1"/>
        <v>2012884.5954</v>
      </c>
      <c r="Q56" s="61">
        <v>20.23</v>
      </c>
    </row>
    <row r="57" spans="1:17" x14ac:dyDescent="0.25">
      <c r="A57" s="5" t="s">
        <v>12</v>
      </c>
      <c r="B57" s="5" t="s">
        <v>13</v>
      </c>
      <c r="C57" s="6">
        <v>42686</v>
      </c>
      <c r="D57" s="5">
        <f t="shared" si="2"/>
        <v>11</v>
      </c>
      <c r="E57" s="5">
        <f t="shared" si="3"/>
        <v>46</v>
      </c>
      <c r="F57" s="61">
        <v>28.25</v>
      </c>
      <c r="G57" s="60">
        <v>48529.4</v>
      </c>
      <c r="H57" s="36">
        <f t="shared" si="0"/>
        <v>1370955.55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4"/>
        <v>1370955.55</v>
      </c>
      <c r="N57" s="36">
        <f t="shared" si="17"/>
        <v>27419.111000000001</v>
      </c>
      <c r="O57" s="60">
        <v>0</v>
      </c>
      <c r="P57" s="36">
        <f t="shared" si="1"/>
        <v>1398374.6610000001</v>
      </c>
      <c r="Q57" s="61">
        <v>28.25</v>
      </c>
    </row>
    <row r="58" spans="1:17" x14ac:dyDescent="0.25">
      <c r="A58" s="5" t="s">
        <v>24</v>
      </c>
      <c r="B58" s="5" t="s">
        <v>15</v>
      </c>
      <c r="C58" s="6">
        <v>42688</v>
      </c>
      <c r="D58" s="5">
        <f t="shared" si="2"/>
        <v>11</v>
      </c>
      <c r="E58" s="5">
        <f t="shared" si="3"/>
        <v>47</v>
      </c>
      <c r="F58" s="61">
        <v>20</v>
      </c>
      <c r="G58" s="60">
        <v>57600</v>
      </c>
      <c r="H58" s="36">
        <f t="shared" si="0"/>
        <v>1152000</v>
      </c>
      <c r="I58" s="36">
        <v>0</v>
      </c>
      <c r="J58" s="60">
        <v>0</v>
      </c>
      <c r="K58" s="60">
        <v>0</v>
      </c>
      <c r="L58" s="60">
        <v>0</v>
      </c>
      <c r="M58" s="36">
        <f t="shared" si="4"/>
        <v>1152000</v>
      </c>
      <c r="N58" s="36">
        <v>0</v>
      </c>
      <c r="O58" s="60">
        <v>0</v>
      </c>
      <c r="P58" s="36">
        <f t="shared" si="1"/>
        <v>1152000</v>
      </c>
      <c r="Q58" s="61">
        <v>20</v>
      </c>
    </row>
    <row r="59" spans="1:17" x14ac:dyDescent="0.25">
      <c r="A59" s="5" t="s">
        <v>24</v>
      </c>
      <c r="B59" s="5" t="s">
        <v>15</v>
      </c>
      <c r="C59" s="6">
        <v>42688</v>
      </c>
      <c r="D59" s="5">
        <f t="shared" si="2"/>
        <v>11</v>
      </c>
      <c r="E59" s="5">
        <f t="shared" si="3"/>
        <v>47</v>
      </c>
      <c r="F59" s="61">
        <v>20.2</v>
      </c>
      <c r="G59" s="60">
        <v>57758.22</v>
      </c>
      <c r="H59" s="36">
        <f t="shared" si="0"/>
        <v>1166716.044</v>
      </c>
      <c r="I59" s="36">
        <v>0</v>
      </c>
      <c r="J59" s="60">
        <v>0</v>
      </c>
      <c r="K59" s="60">
        <v>0</v>
      </c>
      <c r="L59" s="60">
        <v>0</v>
      </c>
      <c r="M59" s="36">
        <f t="shared" si="4"/>
        <v>1166716.044</v>
      </c>
      <c r="N59" s="36">
        <v>0</v>
      </c>
      <c r="O59" s="60">
        <v>0</v>
      </c>
      <c r="P59" s="36">
        <f t="shared" si="1"/>
        <v>1166716.044</v>
      </c>
      <c r="Q59" s="61">
        <v>20.2</v>
      </c>
    </row>
    <row r="60" spans="1:17" x14ac:dyDescent="0.25">
      <c r="A60" s="5" t="s">
        <v>24</v>
      </c>
      <c r="B60" s="5" t="s">
        <v>15</v>
      </c>
      <c r="C60" s="6">
        <v>42688</v>
      </c>
      <c r="D60" s="5">
        <f t="shared" si="2"/>
        <v>11</v>
      </c>
      <c r="E60" s="5">
        <f t="shared" si="3"/>
        <v>47</v>
      </c>
      <c r="F60" s="61">
        <v>19.440000000000001</v>
      </c>
      <c r="G60" s="60">
        <v>57600</v>
      </c>
      <c r="H60" s="36">
        <f t="shared" si="0"/>
        <v>1119744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4"/>
        <v>1119744</v>
      </c>
      <c r="N60" s="36">
        <v>0</v>
      </c>
      <c r="O60" s="60">
        <v>0</v>
      </c>
      <c r="P60" s="36">
        <f t="shared" si="1"/>
        <v>1119744</v>
      </c>
      <c r="Q60" s="61">
        <v>19.440000000000001</v>
      </c>
    </row>
    <row r="61" spans="1:17" x14ac:dyDescent="0.25">
      <c r="A61" s="5" t="s">
        <v>94</v>
      </c>
      <c r="B61" s="5" t="s">
        <v>20</v>
      </c>
      <c r="C61" s="6">
        <v>42688</v>
      </c>
      <c r="D61" s="5">
        <f t="shared" si="2"/>
        <v>11</v>
      </c>
      <c r="E61" s="5">
        <f t="shared" si="3"/>
        <v>47</v>
      </c>
      <c r="F61" s="61">
        <v>19.899999999999999</v>
      </c>
      <c r="G61" s="60">
        <v>97549</v>
      </c>
      <c r="H61" s="36">
        <f t="shared" si="0"/>
        <v>1941225.0999999999</v>
      </c>
      <c r="I61" s="36">
        <v>0</v>
      </c>
      <c r="J61" s="60">
        <v>0</v>
      </c>
      <c r="K61" s="60">
        <v>0</v>
      </c>
      <c r="L61" s="60">
        <v>0</v>
      </c>
      <c r="M61" s="36">
        <f t="shared" si="4"/>
        <v>1941225.0999999999</v>
      </c>
      <c r="N61" s="36">
        <f t="shared" si="11"/>
        <v>38824.502</v>
      </c>
      <c r="O61" s="60">
        <v>0</v>
      </c>
      <c r="P61" s="36">
        <f t="shared" si="1"/>
        <v>1980049.602</v>
      </c>
      <c r="Q61" s="61">
        <v>19.899999999999999</v>
      </c>
    </row>
    <row r="62" spans="1:17" x14ac:dyDescent="0.25">
      <c r="A62" s="5" t="s">
        <v>19</v>
      </c>
      <c r="B62" s="5" t="s">
        <v>20</v>
      </c>
      <c r="C62" s="6">
        <v>42688</v>
      </c>
      <c r="D62" s="5">
        <f t="shared" si="2"/>
        <v>11</v>
      </c>
      <c r="E62" s="5">
        <f t="shared" si="3"/>
        <v>47</v>
      </c>
      <c r="F62" s="61">
        <v>20.46</v>
      </c>
      <c r="G62" s="60">
        <v>95100</v>
      </c>
      <c r="H62" s="36">
        <f t="shared" si="0"/>
        <v>1945746</v>
      </c>
      <c r="I62" s="36">
        <v>0</v>
      </c>
      <c r="J62" s="60">
        <v>0</v>
      </c>
      <c r="K62" s="60">
        <v>0</v>
      </c>
      <c r="L62" s="60">
        <v>0</v>
      </c>
      <c r="M62" s="36">
        <f t="shared" si="4"/>
        <v>1945746</v>
      </c>
      <c r="N62" s="36">
        <f t="shared" si="11"/>
        <v>38914.92</v>
      </c>
      <c r="O62" s="60">
        <v>0</v>
      </c>
      <c r="P62" s="36">
        <f t="shared" si="1"/>
        <v>1984660.92</v>
      </c>
      <c r="Q62" s="61">
        <v>20.46</v>
      </c>
    </row>
    <row r="63" spans="1:17" x14ac:dyDescent="0.25">
      <c r="A63" s="5" t="s">
        <v>19</v>
      </c>
      <c r="B63" s="5" t="s">
        <v>20</v>
      </c>
      <c r="C63" s="6">
        <v>42688</v>
      </c>
      <c r="D63" s="5">
        <f t="shared" si="2"/>
        <v>11</v>
      </c>
      <c r="E63" s="5">
        <f t="shared" si="3"/>
        <v>47</v>
      </c>
      <c r="F63" s="61">
        <v>24.78</v>
      </c>
      <c r="G63" s="60">
        <v>95100</v>
      </c>
      <c r="H63" s="36">
        <f t="shared" si="0"/>
        <v>2356578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4"/>
        <v>2356578</v>
      </c>
      <c r="N63" s="36">
        <f t="shared" si="11"/>
        <v>47131.56</v>
      </c>
      <c r="O63" s="60">
        <v>0</v>
      </c>
      <c r="P63" s="36">
        <f t="shared" si="1"/>
        <v>2403709.56</v>
      </c>
      <c r="Q63" s="61">
        <v>24.87</v>
      </c>
    </row>
    <row r="64" spans="1:17" x14ac:dyDescent="0.25">
      <c r="A64" s="5" t="s">
        <v>24</v>
      </c>
      <c r="B64" s="5" t="s">
        <v>18</v>
      </c>
      <c r="C64" s="6">
        <v>42689</v>
      </c>
      <c r="D64" s="5">
        <f t="shared" si="2"/>
        <v>11</v>
      </c>
      <c r="E64" s="5">
        <f t="shared" si="3"/>
        <v>47</v>
      </c>
      <c r="F64" s="61">
        <v>18.75</v>
      </c>
      <c r="G64" s="60">
        <v>57054.93</v>
      </c>
      <c r="H64" s="36">
        <f t="shared" si="0"/>
        <v>1069779.9375</v>
      </c>
      <c r="I64" s="36">
        <v>0</v>
      </c>
      <c r="J64" s="60">
        <v>0</v>
      </c>
      <c r="K64" s="60">
        <v>0</v>
      </c>
      <c r="L64" s="60">
        <v>0</v>
      </c>
      <c r="M64" s="36">
        <f t="shared" si="4"/>
        <v>1069779.9375</v>
      </c>
      <c r="N64" s="36">
        <v>0</v>
      </c>
      <c r="O64" s="60">
        <v>0</v>
      </c>
      <c r="P64" s="36">
        <f t="shared" si="1"/>
        <v>1069779.9375</v>
      </c>
      <c r="Q64" s="61">
        <v>18.75</v>
      </c>
    </row>
    <row r="65" spans="1:17" x14ac:dyDescent="0.25">
      <c r="A65" s="5" t="s">
        <v>19</v>
      </c>
      <c r="B65" s="5" t="s">
        <v>20</v>
      </c>
      <c r="C65" s="6">
        <v>42689</v>
      </c>
      <c r="D65" s="5">
        <f t="shared" si="2"/>
        <v>11</v>
      </c>
      <c r="E65" s="5">
        <f t="shared" si="3"/>
        <v>47</v>
      </c>
      <c r="F65" s="61">
        <v>24.42</v>
      </c>
      <c r="G65" s="60">
        <v>95100</v>
      </c>
      <c r="H65" s="36">
        <f t="shared" si="0"/>
        <v>2322342</v>
      </c>
      <c r="I65" s="36">
        <v>0</v>
      </c>
      <c r="J65" s="60">
        <v>0</v>
      </c>
      <c r="K65" s="60">
        <v>0</v>
      </c>
      <c r="L65" s="60">
        <v>0</v>
      </c>
      <c r="M65" s="36">
        <f t="shared" si="4"/>
        <v>2322342</v>
      </c>
      <c r="N65" s="36">
        <f t="shared" ref="N65:N66" si="18">M65*2%</f>
        <v>46446.840000000004</v>
      </c>
      <c r="O65" s="60">
        <v>0</v>
      </c>
      <c r="P65" s="36">
        <f t="shared" si="1"/>
        <v>2368788.84</v>
      </c>
      <c r="Q65" s="61">
        <v>24.42</v>
      </c>
    </row>
    <row r="66" spans="1:17" x14ac:dyDescent="0.25">
      <c r="A66" s="5" t="s">
        <v>12</v>
      </c>
      <c r="B66" s="5" t="s">
        <v>13</v>
      </c>
      <c r="C66" s="6">
        <v>42689</v>
      </c>
      <c r="D66" s="5">
        <f t="shared" si="2"/>
        <v>11</v>
      </c>
      <c r="E66" s="5">
        <f t="shared" si="3"/>
        <v>47</v>
      </c>
      <c r="F66" s="61">
        <v>28.42</v>
      </c>
      <c r="G66" s="60">
        <v>48529.4</v>
      </c>
      <c r="H66" s="36">
        <f t="shared" ref="H66:H120" si="19">+F66*G66</f>
        <v>1379205.5480000002</v>
      </c>
      <c r="I66" s="36">
        <v>0</v>
      </c>
      <c r="J66" s="60">
        <v>0</v>
      </c>
      <c r="K66" s="60">
        <v>0</v>
      </c>
      <c r="L66" s="60">
        <v>0</v>
      </c>
      <c r="M66" s="36">
        <f t="shared" si="4"/>
        <v>1379205.5480000002</v>
      </c>
      <c r="N66" s="36">
        <f t="shared" si="18"/>
        <v>27584.110960000005</v>
      </c>
      <c r="O66" s="60">
        <v>0</v>
      </c>
      <c r="P66" s="36">
        <f t="shared" ref="P66:P120" si="20">+M66+N66+O66</f>
        <v>1406789.6589600001</v>
      </c>
      <c r="Q66" s="61">
        <v>28.42</v>
      </c>
    </row>
    <row r="67" spans="1:17" x14ac:dyDescent="0.25">
      <c r="A67" s="5" t="s">
        <v>65</v>
      </c>
      <c r="B67" s="5" t="s">
        <v>66</v>
      </c>
      <c r="C67" s="6">
        <v>42690</v>
      </c>
      <c r="D67" s="5">
        <f t="shared" ref="D67:D120" si="21">MONTH(C67)</f>
        <v>11</v>
      </c>
      <c r="E67" s="5">
        <f t="shared" ref="E67:E120" si="22">WEEKNUM(C67)</f>
        <v>47</v>
      </c>
      <c r="F67" s="61">
        <v>20.23</v>
      </c>
      <c r="G67" s="60">
        <v>75786.350000000006</v>
      </c>
      <c r="H67" s="36">
        <f t="shared" si="19"/>
        <v>1533157.8605000002</v>
      </c>
      <c r="I67" s="36">
        <v>0</v>
      </c>
      <c r="J67" s="60">
        <f t="shared" ref="J67:J71" si="23">H67*12.5%</f>
        <v>191644.73256250002</v>
      </c>
      <c r="K67" s="60">
        <f t="shared" ref="K67:K71" si="24">(I67+J67)*2%</f>
        <v>3832.8946512500006</v>
      </c>
      <c r="L67" s="60">
        <f t="shared" ref="L67:L71" si="25">(I67+J67)*1%</f>
        <v>1916.4473256250003</v>
      </c>
      <c r="M67" s="36">
        <f t="shared" ref="M67:M120" si="26">SUM(H67:L67)</f>
        <v>1730551.9350393752</v>
      </c>
      <c r="N67" s="36">
        <v>0</v>
      </c>
      <c r="O67" s="60">
        <f>(H67+J67+K67+L67)*4/100+4400*F67</f>
        <v>158234.07740157499</v>
      </c>
      <c r="P67" s="36">
        <f t="shared" si="20"/>
        <v>1888786.0124409501</v>
      </c>
      <c r="Q67" s="61">
        <v>21</v>
      </c>
    </row>
    <row r="68" spans="1:17" x14ac:dyDescent="0.25">
      <c r="A68" s="5" t="s">
        <v>65</v>
      </c>
      <c r="B68" s="5" t="s">
        <v>66</v>
      </c>
      <c r="C68" s="6">
        <v>42690</v>
      </c>
      <c r="D68" s="5">
        <f t="shared" si="21"/>
        <v>11</v>
      </c>
      <c r="E68" s="5">
        <f t="shared" si="22"/>
        <v>47</v>
      </c>
      <c r="F68" s="61">
        <v>21.11</v>
      </c>
      <c r="G68" s="60">
        <v>75786.350000000006</v>
      </c>
      <c r="H68" s="36">
        <f t="shared" si="19"/>
        <v>1599849.8485000001</v>
      </c>
      <c r="I68" s="36">
        <v>0</v>
      </c>
      <c r="J68" s="60">
        <f t="shared" si="23"/>
        <v>199981.23106250001</v>
      </c>
      <c r="K68" s="60">
        <f t="shared" si="24"/>
        <v>3999.6246212500005</v>
      </c>
      <c r="L68" s="60">
        <f t="shared" si="25"/>
        <v>1999.8123106250002</v>
      </c>
      <c r="M68" s="36">
        <f t="shared" si="26"/>
        <v>1805830.5164943752</v>
      </c>
      <c r="N68" s="36">
        <v>0</v>
      </c>
      <c r="O68" s="60">
        <f t="shared" ref="O68:O71" si="27">(H68+J68+K68+L68)*4/100+4400*F68</f>
        <v>165117.22065977502</v>
      </c>
      <c r="P68" s="36">
        <f t="shared" si="20"/>
        <v>1970947.7371541501</v>
      </c>
      <c r="Q68" s="61">
        <v>21.13</v>
      </c>
    </row>
    <row r="69" spans="1:17" x14ac:dyDescent="0.25">
      <c r="A69" s="5" t="s">
        <v>65</v>
      </c>
      <c r="B69" s="5" t="s">
        <v>66</v>
      </c>
      <c r="C69" s="6">
        <v>42690</v>
      </c>
      <c r="D69" s="5">
        <f t="shared" si="21"/>
        <v>11</v>
      </c>
      <c r="E69" s="5">
        <f t="shared" si="22"/>
        <v>47</v>
      </c>
      <c r="F69" s="61">
        <v>21.01</v>
      </c>
      <c r="G69" s="60">
        <v>75786.350000000006</v>
      </c>
      <c r="H69" s="36">
        <f t="shared" si="19"/>
        <v>1592271.2135000003</v>
      </c>
      <c r="I69" s="36">
        <v>0</v>
      </c>
      <c r="J69" s="60">
        <f t="shared" si="23"/>
        <v>199033.90168750004</v>
      </c>
      <c r="K69" s="60">
        <f t="shared" si="24"/>
        <v>3980.6780337500008</v>
      </c>
      <c r="L69" s="60">
        <f t="shared" si="25"/>
        <v>1990.3390168750004</v>
      </c>
      <c r="M69" s="36">
        <f t="shared" si="26"/>
        <v>1797276.1322381254</v>
      </c>
      <c r="N69" s="36">
        <v>0</v>
      </c>
      <c r="O69" s="60">
        <f t="shared" si="27"/>
        <v>164335.04528952501</v>
      </c>
      <c r="P69" s="36">
        <f t="shared" si="20"/>
        <v>1961611.1775276505</v>
      </c>
      <c r="Q69" s="61">
        <v>20.94</v>
      </c>
    </row>
    <row r="70" spans="1:17" x14ac:dyDescent="0.25">
      <c r="A70" s="5" t="s">
        <v>65</v>
      </c>
      <c r="B70" s="5" t="s">
        <v>66</v>
      </c>
      <c r="C70" s="6">
        <v>42690</v>
      </c>
      <c r="D70" s="5">
        <f t="shared" si="21"/>
        <v>11</v>
      </c>
      <c r="E70" s="5">
        <f t="shared" si="22"/>
        <v>47</v>
      </c>
      <c r="F70" s="61">
        <v>21.15</v>
      </c>
      <c r="G70" s="60">
        <v>75786.350000000006</v>
      </c>
      <c r="H70" s="36">
        <f t="shared" si="19"/>
        <v>1602881.3025</v>
      </c>
      <c r="I70" s="36">
        <v>0</v>
      </c>
      <c r="J70" s="60">
        <f t="shared" si="23"/>
        <v>200360.1628125</v>
      </c>
      <c r="K70" s="60">
        <f t="shared" si="24"/>
        <v>4007.2032562499999</v>
      </c>
      <c r="L70" s="60">
        <f t="shared" si="25"/>
        <v>2003.6016281249999</v>
      </c>
      <c r="M70" s="36">
        <f t="shared" si="26"/>
        <v>1809252.2701968749</v>
      </c>
      <c r="N70" s="36">
        <v>0</v>
      </c>
      <c r="O70" s="60">
        <f t="shared" si="27"/>
        <v>165430.09080787498</v>
      </c>
      <c r="P70" s="36">
        <f t="shared" si="20"/>
        <v>1974682.3610047498</v>
      </c>
      <c r="Q70" s="61">
        <v>21.01</v>
      </c>
    </row>
    <row r="71" spans="1:17" x14ac:dyDescent="0.25">
      <c r="A71" s="5" t="s">
        <v>65</v>
      </c>
      <c r="B71" s="5" t="s">
        <v>66</v>
      </c>
      <c r="C71" s="6">
        <v>42690</v>
      </c>
      <c r="D71" s="5">
        <f t="shared" si="21"/>
        <v>11</v>
      </c>
      <c r="E71" s="5">
        <f t="shared" si="22"/>
        <v>47</v>
      </c>
      <c r="F71" s="61">
        <v>20.309999999999999</v>
      </c>
      <c r="G71" s="60">
        <v>75786.350000000006</v>
      </c>
      <c r="H71" s="36">
        <f t="shared" si="19"/>
        <v>1539220.7685</v>
      </c>
      <c r="I71" s="36">
        <v>0</v>
      </c>
      <c r="J71" s="60">
        <f t="shared" si="23"/>
        <v>192402.5960625</v>
      </c>
      <c r="K71" s="60">
        <f t="shared" si="24"/>
        <v>3848.0519212500003</v>
      </c>
      <c r="L71" s="60">
        <f t="shared" si="25"/>
        <v>1924.0259606250002</v>
      </c>
      <c r="M71" s="36">
        <f t="shared" si="26"/>
        <v>1737395.442444375</v>
      </c>
      <c r="N71" s="36">
        <v>0</v>
      </c>
      <c r="O71" s="60">
        <f t="shared" si="27"/>
        <v>158859.817697775</v>
      </c>
      <c r="P71" s="36">
        <f t="shared" si="20"/>
        <v>1896255.2601421501</v>
      </c>
      <c r="Q71" s="61">
        <v>20.100000000000001</v>
      </c>
    </row>
    <row r="72" spans="1:17" x14ac:dyDescent="0.25">
      <c r="A72" s="5" t="s">
        <v>19</v>
      </c>
      <c r="B72" s="5" t="s">
        <v>20</v>
      </c>
      <c r="C72" s="6">
        <v>42691</v>
      </c>
      <c r="D72" s="5">
        <f t="shared" si="21"/>
        <v>11</v>
      </c>
      <c r="E72" s="5">
        <f t="shared" si="22"/>
        <v>47</v>
      </c>
      <c r="F72" s="61">
        <v>19.829999999999998</v>
      </c>
      <c r="G72" s="60">
        <v>95100</v>
      </c>
      <c r="H72" s="36">
        <f t="shared" si="19"/>
        <v>1885832.9999999998</v>
      </c>
      <c r="I72" s="36">
        <v>0</v>
      </c>
      <c r="J72" s="60">
        <v>0</v>
      </c>
      <c r="K72" s="60">
        <v>0</v>
      </c>
      <c r="L72" s="60">
        <v>0</v>
      </c>
      <c r="M72" s="36">
        <f t="shared" si="26"/>
        <v>1885832.9999999998</v>
      </c>
      <c r="N72" s="36">
        <f t="shared" si="11"/>
        <v>37716.659999999996</v>
      </c>
      <c r="O72" s="60">
        <v>0</v>
      </c>
      <c r="P72" s="36">
        <f t="shared" si="20"/>
        <v>1923549.6599999997</v>
      </c>
      <c r="Q72" s="61">
        <v>19.829999999999998</v>
      </c>
    </row>
    <row r="73" spans="1:17" x14ac:dyDescent="0.25">
      <c r="A73" s="5" t="s">
        <v>22</v>
      </c>
      <c r="B73" s="5" t="s">
        <v>15</v>
      </c>
      <c r="C73" s="6">
        <v>42691</v>
      </c>
      <c r="D73" s="5">
        <f t="shared" si="21"/>
        <v>11</v>
      </c>
      <c r="E73" s="5">
        <f t="shared" si="22"/>
        <v>47</v>
      </c>
      <c r="F73" s="61">
        <v>28.36</v>
      </c>
      <c r="G73" s="60">
        <v>55200.1</v>
      </c>
      <c r="H73" s="36">
        <f t="shared" si="19"/>
        <v>1565474.8359999999</v>
      </c>
      <c r="I73" s="36">
        <v>0</v>
      </c>
      <c r="J73" s="60">
        <v>0</v>
      </c>
      <c r="K73" s="60">
        <v>0</v>
      </c>
      <c r="L73" s="60">
        <v>0</v>
      </c>
      <c r="M73" s="36">
        <f t="shared" si="26"/>
        <v>1565474.8359999999</v>
      </c>
      <c r="N73" s="36">
        <v>0</v>
      </c>
      <c r="O73" s="60">
        <v>0</v>
      </c>
      <c r="P73" s="36">
        <f t="shared" si="20"/>
        <v>1565474.8359999999</v>
      </c>
      <c r="Q73" s="61">
        <v>28.36</v>
      </c>
    </row>
    <row r="74" spans="1:17" x14ac:dyDescent="0.25">
      <c r="A74" s="5" t="s">
        <v>24</v>
      </c>
      <c r="B74" s="5" t="s">
        <v>15</v>
      </c>
      <c r="C74" s="6">
        <v>42691</v>
      </c>
      <c r="D74" s="5">
        <f t="shared" si="21"/>
        <v>11</v>
      </c>
      <c r="E74" s="5">
        <f t="shared" si="22"/>
        <v>47</v>
      </c>
      <c r="F74" s="61">
        <v>27.56</v>
      </c>
      <c r="G74" s="60">
        <v>56215.29</v>
      </c>
      <c r="H74" s="36">
        <f t="shared" si="19"/>
        <v>1549293.3924</v>
      </c>
      <c r="I74" s="36">
        <v>0</v>
      </c>
      <c r="J74" s="60">
        <v>0</v>
      </c>
      <c r="K74" s="60">
        <v>0</v>
      </c>
      <c r="L74" s="60">
        <v>0</v>
      </c>
      <c r="M74" s="36">
        <f t="shared" si="26"/>
        <v>1549293.3924</v>
      </c>
      <c r="N74" s="36">
        <v>0</v>
      </c>
      <c r="O74" s="60">
        <v>0</v>
      </c>
      <c r="P74" s="36">
        <f t="shared" si="20"/>
        <v>1549293.3924</v>
      </c>
      <c r="Q74" s="61">
        <v>27.56</v>
      </c>
    </row>
    <row r="75" spans="1:17" x14ac:dyDescent="0.25">
      <c r="A75" s="5" t="s">
        <v>19</v>
      </c>
      <c r="B75" s="5" t="s">
        <v>20</v>
      </c>
      <c r="C75" s="6">
        <v>42691</v>
      </c>
      <c r="D75" s="5">
        <f t="shared" si="21"/>
        <v>11</v>
      </c>
      <c r="E75" s="5">
        <f t="shared" si="22"/>
        <v>47</v>
      </c>
      <c r="F75" s="61">
        <v>19.98</v>
      </c>
      <c r="G75" s="60">
        <v>94320.82</v>
      </c>
      <c r="H75" s="36">
        <f t="shared" si="19"/>
        <v>1884529.9836000002</v>
      </c>
      <c r="I75" s="36">
        <v>0</v>
      </c>
      <c r="J75" s="60">
        <v>0</v>
      </c>
      <c r="K75" s="60">
        <v>0</v>
      </c>
      <c r="L75" s="60">
        <v>0</v>
      </c>
      <c r="M75" s="36">
        <f t="shared" si="26"/>
        <v>1884529.9836000002</v>
      </c>
      <c r="N75" s="36">
        <f t="shared" si="11"/>
        <v>37690.599672000004</v>
      </c>
      <c r="O75" s="60">
        <v>0</v>
      </c>
      <c r="P75" s="36">
        <f t="shared" si="20"/>
        <v>1922220.5832720001</v>
      </c>
      <c r="Q75" s="61">
        <v>19.98</v>
      </c>
    </row>
    <row r="76" spans="1:17" x14ac:dyDescent="0.25">
      <c r="A76" s="5" t="s">
        <v>97</v>
      </c>
      <c r="B76" s="5" t="s">
        <v>20</v>
      </c>
      <c r="C76" s="6">
        <v>42691</v>
      </c>
      <c r="D76" s="5">
        <f t="shared" si="21"/>
        <v>11</v>
      </c>
      <c r="E76" s="5">
        <f t="shared" si="22"/>
        <v>47</v>
      </c>
      <c r="F76" s="61">
        <v>20</v>
      </c>
      <c r="G76" s="60">
        <v>97549</v>
      </c>
      <c r="H76" s="36">
        <f t="shared" si="19"/>
        <v>1950980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26"/>
        <v>1950980</v>
      </c>
      <c r="N76" s="36">
        <f t="shared" si="11"/>
        <v>39019.599999999999</v>
      </c>
      <c r="O76" s="60">
        <v>0</v>
      </c>
      <c r="P76" s="36">
        <f t="shared" si="20"/>
        <v>1989999.6</v>
      </c>
      <c r="Q76" s="61">
        <v>20</v>
      </c>
    </row>
    <row r="77" spans="1:17" x14ac:dyDescent="0.25">
      <c r="A77" s="5" t="s">
        <v>100</v>
      </c>
      <c r="B77" s="5" t="s">
        <v>23</v>
      </c>
      <c r="C77" s="6">
        <v>42692</v>
      </c>
      <c r="D77" s="5">
        <f t="shared" si="21"/>
        <v>11</v>
      </c>
      <c r="E77" s="5">
        <f t="shared" si="22"/>
        <v>47</v>
      </c>
      <c r="F77" s="61">
        <v>19.96</v>
      </c>
      <c r="G77" s="60">
        <v>90196</v>
      </c>
      <c r="H77" s="36">
        <f t="shared" si="19"/>
        <v>1800312.1600000001</v>
      </c>
      <c r="I77" s="36">
        <v>0</v>
      </c>
      <c r="J77" s="60">
        <v>0</v>
      </c>
      <c r="K77" s="60">
        <v>0</v>
      </c>
      <c r="L77" s="60">
        <v>0</v>
      </c>
      <c r="M77" s="36">
        <f t="shared" si="26"/>
        <v>1800312.1600000001</v>
      </c>
      <c r="N77" s="36">
        <f t="shared" si="11"/>
        <v>36006.243200000004</v>
      </c>
      <c r="O77" s="60">
        <v>0</v>
      </c>
      <c r="P77" s="36">
        <f t="shared" si="20"/>
        <v>1836318.4032000001</v>
      </c>
      <c r="Q77" s="61">
        <v>19.96</v>
      </c>
    </row>
    <row r="78" spans="1:17" x14ac:dyDescent="0.25">
      <c r="A78" s="5" t="s">
        <v>100</v>
      </c>
      <c r="B78" s="5" t="s">
        <v>23</v>
      </c>
      <c r="C78" s="6">
        <v>42692</v>
      </c>
      <c r="D78" s="5">
        <f t="shared" si="21"/>
        <v>11</v>
      </c>
      <c r="E78" s="5">
        <f t="shared" si="22"/>
        <v>47</v>
      </c>
      <c r="F78" s="61">
        <v>19.989999999999998</v>
      </c>
      <c r="G78" s="60">
        <v>90196</v>
      </c>
      <c r="H78" s="36">
        <f t="shared" si="19"/>
        <v>1803018.0399999998</v>
      </c>
      <c r="I78" s="36">
        <v>0</v>
      </c>
      <c r="J78" s="60">
        <v>0</v>
      </c>
      <c r="K78" s="60">
        <v>0</v>
      </c>
      <c r="L78" s="60">
        <v>0</v>
      </c>
      <c r="M78" s="36">
        <f t="shared" si="26"/>
        <v>1803018.0399999998</v>
      </c>
      <c r="N78" s="36">
        <f t="shared" si="11"/>
        <v>36060.360799999995</v>
      </c>
      <c r="O78" s="60">
        <v>0</v>
      </c>
      <c r="P78" s="36">
        <f t="shared" si="20"/>
        <v>1839078.4007999997</v>
      </c>
      <c r="Q78" s="61">
        <v>19.989999999999998</v>
      </c>
    </row>
    <row r="79" spans="1:17" x14ac:dyDescent="0.25">
      <c r="A79" s="5" t="s">
        <v>12</v>
      </c>
      <c r="B79" s="5" t="s">
        <v>13</v>
      </c>
      <c r="C79" s="6">
        <v>42692</v>
      </c>
      <c r="D79" s="5">
        <f t="shared" si="21"/>
        <v>11</v>
      </c>
      <c r="E79" s="5">
        <f t="shared" si="22"/>
        <v>47</v>
      </c>
      <c r="F79" s="61">
        <v>28.61</v>
      </c>
      <c r="G79" s="60">
        <v>48529.4</v>
      </c>
      <c r="H79" s="36">
        <f t="shared" si="19"/>
        <v>1388426.1340000001</v>
      </c>
      <c r="I79" s="36">
        <v>0</v>
      </c>
      <c r="J79" s="60">
        <v>0</v>
      </c>
      <c r="K79" s="60">
        <v>0</v>
      </c>
      <c r="L79" s="60">
        <v>0</v>
      </c>
      <c r="M79" s="36">
        <f t="shared" si="26"/>
        <v>1388426.1340000001</v>
      </c>
      <c r="N79" s="36">
        <f t="shared" si="11"/>
        <v>27768.522680000002</v>
      </c>
      <c r="O79" s="60">
        <v>0</v>
      </c>
      <c r="P79" s="36">
        <f t="shared" si="20"/>
        <v>1416194.65668</v>
      </c>
      <c r="Q79" s="61">
        <v>28.61</v>
      </c>
    </row>
    <row r="80" spans="1:17" x14ac:dyDescent="0.25">
      <c r="A80" s="5" t="s">
        <v>16</v>
      </c>
      <c r="B80" s="5" t="s">
        <v>15</v>
      </c>
      <c r="C80" s="6">
        <v>42693</v>
      </c>
      <c r="D80" s="5">
        <f t="shared" si="21"/>
        <v>11</v>
      </c>
      <c r="E80" s="5">
        <f t="shared" si="22"/>
        <v>47</v>
      </c>
      <c r="F80" s="61">
        <v>29.52</v>
      </c>
      <c r="G80" s="60">
        <v>57000</v>
      </c>
      <c r="H80" s="36">
        <f t="shared" si="19"/>
        <v>1682640</v>
      </c>
      <c r="I80" s="36">
        <v>0</v>
      </c>
      <c r="J80" s="60">
        <v>0</v>
      </c>
      <c r="K80" s="60">
        <v>0</v>
      </c>
      <c r="L80" s="60">
        <v>0</v>
      </c>
      <c r="M80" s="36">
        <f t="shared" si="26"/>
        <v>1682640</v>
      </c>
      <c r="N80" s="36">
        <v>0</v>
      </c>
      <c r="O80" s="60">
        <v>0</v>
      </c>
      <c r="P80" s="36">
        <f t="shared" si="20"/>
        <v>1682640</v>
      </c>
      <c r="Q80" s="61">
        <v>29.52</v>
      </c>
    </row>
    <row r="81" spans="1:17" x14ac:dyDescent="0.25">
      <c r="A81" s="5" t="s">
        <v>30</v>
      </c>
      <c r="B81" s="5" t="s">
        <v>15</v>
      </c>
      <c r="C81" s="6">
        <v>42693</v>
      </c>
      <c r="D81" s="5">
        <f t="shared" si="21"/>
        <v>11</v>
      </c>
      <c r="E81" s="5">
        <f t="shared" si="22"/>
        <v>47</v>
      </c>
      <c r="F81" s="61">
        <v>27.69</v>
      </c>
      <c r="G81" s="60">
        <v>57336.39</v>
      </c>
      <c r="H81" s="36">
        <f t="shared" si="19"/>
        <v>1587644.6391</v>
      </c>
      <c r="I81" s="36">
        <v>0</v>
      </c>
      <c r="J81" s="60">
        <v>0</v>
      </c>
      <c r="K81" s="60">
        <v>0</v>
      </c>
      <c r="L81" s="60">
        <v>0</v>
      </c>
      <c r="M81" s="36">
        <f t="shared" si="26"/>
        <v>1587644.6391</v>
      </c>
      <c r="N81" s="36">
        <v>0</v>
      </c>
      <c r="O81" s="60">
        <v>0</v>
      </c>
      <c r="P81" s="36">
        <f t="shared" si="20"/>
        <v>1587644.6391</v>
      </c>
      <c r="Q81" s="61">
        <v>27.69</v>
      </c>
    </row>
    <row r="82" spans="1:17" x14ac:dyDescent="0.25">
      <c r="A82" s="5" t="s">
        <v>19</v>
      </c>
      <c r="B82" s="5" t="s">
        <v>20</v>
      </c>
      <c r="C82" s="6">
        <v>42693</v>
      </c>
      <c r="D82" s="5">
        <f t="shared" si="21"/>
        <v>11</v>
      </c>
      <c r="E82" s="5">
        <f t="shared" si="22"/>
        <v>47</v>
      </c>
      <c r="F82" s="61">
        <v>24.07</v>
      </c>
      <c r="G82" s="60">
        <v>97288.22</v>
      </c>
      <c r="H82" s="36">
        <f t="shared" si="19"/>
        <v>2341727.4553999999</v>
      </c>
      <c r="I82" s="36">
        <v>0</v>
      </c>
      <c r="J82" s="60">
        <v>0</v>
      </c>
      <c r="K82" s="60">
        <v>0</v>
      </c>
      <c r="L82" s="60">
        <v>0</v>
      </c>
      <c r="M82" s="36">
        <f t="shared" si="26"/>
        <v>2341727.4553999999</v>
      </c>
      <c r="N82" s="36">
        <f t="shared" ref="N82:N105" si="28">M82*2%</f>
        <v>46834.549107999999</v>
      </c>
      <c r="O82" s="60">
        <v>0</v>
      </c>
      <c r="P82" s="36">
        <f t="shared" si="20"/>
        <v>2388562.0045079999</v>
      </c>
      <c r="Q82" s="61">
        <v>24.07</v>
      </c>
    </row>
    <row r="83" spans="1:17" x14ac:dyDescent="0.25">
      <c r="A83" s="5" t="s">
        <v>97</v>
      </c>
      <c r="B83" s="5" t="s">
        <v>20</v>
      </c>
      <c r="C83" s="6">
        <v>42693</v>
      </c>
      <c r="D83" s="5">
        <f t="shared" si="21"/>
        <v>11</v>
      </c>
      <c r="E83" s="5">
        <f t="shared" si="22"/>
        <v>47</v>
      </c>
      <c r="F83" s="61">
        <v>20.04</v>
      </c>
      <c r="G83" s="60">
        <v>97549.5</v>
      </c>
      <c r="H83" s="36">
        <f t="shared" si="19"/>
        <v>1954891.98</v>
      </c>
      <c r="I83" s="36">
        <v>0</v>
      </c>
      <c r="J83" s="60">
        <v>0</v>
      </c>
      <c r="K83" s="60">
        <v>0</v>
      </c>
      <c r="L83" s="60">
        <v>0</v>
      </c>
      <c r="M83" s="36">
        <f t="shared" si="26"/>
        <v>1954891.98</v>
      </c>
      <c r="N83" s="36">
        <f t="shared" si="28"/>
        <v>39097.839599999999</v>
      </c>
      <c r="O83" s="60">
        <v>0</v>
      </c>
      <c r="P83" s="36">
        <f t="shared" si="20"/>
        <v>1993989.8196</v>
      </c>
      <c r="Q83" s="61">
        <v>20.04</v>
      </c>
    </row>
    <row r="84" spans="1:17" x14ac:dyDescent="0.25">
      <c r="A84" s="5" t="s">
        <v>100</v>
      </c>
      <c r="B84" s="5" t="s">
        <v>23</v>
      </c>
      <c r="C84" s="6">
        <v>42693</v>
      </c>
      <c r="D84" s="5">
        <f t="shared" si="21"/>
        <v>11</v>
      </c>
      <c r="E84" s="5">
        <f t="shared" si="22"/>
        <v>47</v>
      </c>
      <c r="F84" s="61">
        <v>20.34</v>
      </c>
      <c r="G84" s="60">
        <v>90196</v>
      </c>
      <c r="H84" s="36">
        <f t="shared" si="19"/>
        <v>1834586.64</v>
      </c>
      <c r="I84" s="36">
        <v>0</v>
      </c>
      <c r="J84" s="60">
        <v>0</v>
      </c>
      <c r="K84" s="60">
        <v>0</v>
      </c>
      <c r="L84" s="60">
        <v>0</v>
      </c>
      <c r="M84" s="36">
        <f t="shared" si="26"/>
        <v>1834586.64</v>
      </c>
      <c r="N84" s="36">
        <f t="shared" si="28"/>
        <v>36691.732799999998</v>
      </c>
      <c r="O84" s="60">
        <v>0</v>
      </c>
      <c r="P84" s="36">
        <f t="shared" si="20"/>
        <v>1871278.3728</v>
      </c>
      <c r="Q84" s="61">
        <v>20.34</v>
      </c>
    </row>
    <row r="85" spans="1:17" x14ac:dyDescent="0.25">
      <c r="A85" s="5" t="s">
        <v>100</v>
      </c>
      <c r="B85" s="5" t="s">
        <v>23</v>
      </c>
      <c r="C85" s="6">
        <v>42693</v>
      </c>
      <c r="D85" s="5">
        <f t="shared" si="21"/>
        <v>11</v>
      </c>
      <c r="E85" s="5">
        <f t="shared" si="22"/>
        <v>47</v>
      </c>
      <c r="F85" s="61">
        <v>20.23</v>
      </c>
      <c r="G85" s="60">
        <v>90196</v>
      </c>
      <c r="H85" s="36">
        <f t="shared" si="19"/>
        <v>1824665.08</v>
      </c>
      <c r="I85" s="36">
        <v>0</v>
      </c>
      <c r="J85" s="60">
        <v>0</v>
      </c>
      <c r="K85" s="60">
        <v>0</v>
      </c>
      <c r="L85" s="60">
        <v>0</v>
      </c>
      <c r="M85" s="36">
        <f t="shared" si="26"/>
        <v>1824665.08</v>
      </c>
      <c r="N85" s="36">
        <f t="shared" si="28"/>
        <v>36493.301599999999</v>
      </c>
      <c r="O85" s="60">
        <v>0</v>
      </c>
      <c r="P85" s="36">
        <f t="shared" si="20"/>
        <v>1861158.3816</v>
      </c>
      <c r="Q85" s="61">
        <v>20.23</v>
      </c>
    </row>
    <row r="86" spans="1:17" x14ac:dyDescent="0.25">
      <c r="A86" s="5" t="s">
        <v>30</v>
      </c>
      <c r="B86" s="5" t="s">
        <v>15</v>
      </c>
      <c r="C86" s="6">
        <v>42695</v>
      </c>
      <c r="D86" s="5">
        <f t="shared" si="21"/>
        <v>11</v>
      </c>
      <c r="E86" s="5">
        <f t="shared" si="22"/>
        <v>48</v>
      </c>
      <c r="F86" s="61">
        <v>23.86</v>
      </c>
      <c r="G86" s="60">
        <v>57600</v>
      </c>
      <c r="H86" s="36">
        <f t="shared" si="19"/>
        <v>1374336</v>
      </c>
      <c r="I86" s="36">
        <v>0</v>
      </c>
      <c r="J86" s="60">
        <v>0</v>
      </c>
      <c r="K86" s="60">
        <v>0</v>
      </c>
      <c r="L86" s="60">
        <v>0</v>
      </c>
      <c r="M86" s="36">
        <f t="shared" si="26"/>
        <v>1374336</v>
      </c>
      <c r="N86" s="36">
        <v>0</v>
      </c>
      <c r="O86" s="60">
        <v>0</v>
      </c>
      <c r="P86" s="36">
        <f t="shared" si="20"/>
        <v>1374336</v>
      </c>
      <c r="Q86" s="61">
        <v>23.86</v>
      </c>
    </row>
    <row r="87" spans="1:17" x14ac:dyDescent="0.25">
      <c r="A87" s="5" t="s">
        <v>98</v>
      </c>
      <c r="B87" s="5" t="s">
        <v>99</v>
      </c>
      <c r="C87" s="6">
        <v>42695</v>
      </c>
      <c r="D87" s="5">
        <f t="shared" si="21"/>
        <v>11</v>
      </c>
      <c r="E87" s="5">
        <f t="shared" si="22"/>
        <v>48</v>
      </c>
      <c r="F87" s="61">
        <v>25.96</v>
      </c>
      <c r="G87" s="60">
        <v>57000</v>
      </c>
      <c r="H87" s="36">
        <f t="shared" si="19"/>
        <v>1479720</v>
      </c>
      <c r="I87" s="36">
        <v>0</v>
      </c>
      <c r="J87" s="60">
        <v>0</v>
      </c>
      <c r="K87" s="60">
        <v>0</v>
      </c>
      <c r="L87" s="60">
        <v>0</v>
      </c>
      <c r="M87" s="36">
        <f t="shared" si="26"/>
        <v>1479720</v>
      </c>
      <c r="N87" s="36">
        <f t="shared" si="28"/>
        <v>29594.400000000001</v>
      </c>
      <c r="O87" s="60">
        <f>3200*F87</f>
        <v>83072</v>
      </c>
      <c r="P87" s="36">
        <f t="shared" si="20"/>
        <v>1592386.4</v>
      </c>
      <c r="Q87" s="61">
        <v>25.96</v>
      </c>
    </row>
    <row r="88" spans="1:17" x14ac:dyDescent="0.25">
      <c r="A88" s="5" t="s">
        <v>98</v>
      </c>
      <c r="B88" s="5" t="s">
        <v>99</v>
      </c>
      <c r="C88" s="6">
        <v>42695</v>
      </c>
      <c r="D88" s="5">
        <f t="shared" si="21"/>
        <v>11</v>
      </c>
      <c r="E88" s="5">
        <f t="shared" si="22"/>
        <v>48</v>
      </c>
      <c r="F88" s="61">
        <v>27.44</v>
      </c>
      <c r="G88" s="60">
        <v>57000</v>
      </c>
      <c r="H88" s="36">
        <f t="shared" si="19"/>
        <v>1564080</v>
      </c>
      <c r="I88" s="36">
        <v>0</v>
      </c>
      <c r="J88" s="60">
        <v>0</v>
      </c>
      <c r="K88" s="60">
        <v>0</v>
      </c>
      <c r="L88" s="60">
        <v>0</v>
      </c>
      <c r="M88" s="36">
        <f t="shared" si="26"/>
        <v>1564080</v>
      </c>
      <c r="N88" s="36">
        <f t="shared" si="28"/>
        <v>31281.600000000002</v>
      </c>
      <c r="O88" s="60">
        <f>3200*F88</f>
        <v>87808</v>
      </c>
      <c r="P88" s="36">
        <f t="shared" si="20"/>
        <v>1683169.6</v>
      </c>
      <c r="Q88" s="61">
        <v>27.44</v>
      </c>
    </row>
    <row r="89" spans="1:17" x14ac:dyDescent="0.25">
      <c r="A89" s="5" t="s">
        <v>98</v>
      </c>
      <c r="B89" s="5" t="s">
        <v>99</v>
      </c>
      <c r="C89" s="6">
        <v>42695</v>
      </c>
      <c r="D89" s="5">
        <f t="shared" si="21"/>
        <v>11</v>
      </c>
      <c r="E89" s="5">
        <f t="shared" si="22"/>
        <v>48</v>
      </c>
      <c r="F89" s="61">
        <v>25.56</v>
      </c>
      <c r="G89" s="60">
        <v>57000</v>
      </c>
      <c r="H89" s="36">
        <f t="shared" si="19"/>
        <v>1456920</v>
      </c>
      <c r="I89" s="36">
        <v>0</v>
      </c>
      <c r="J89" s="60">
        <v>0</v>
      </c>
      <c r="K89" s="60">
        <v>0</v>
      </c>
      <c r="L89" s="60">
        <v>0</v>
      </c>
      <c r="M89" s="36">
        <f t="shared" si="26"/>
        <v>1456920</v>
      </c>
      <c r="N89" s="36">
        <f t="shared" si="28"/>
        <v>29138.400000000001</v>
      </c>
      <c r="O89" s="60">
        <f>3200*F89</f>
        <v>81792</v>
      </c>
      <c r="P89" s="36">
        <f t="shared" si="20"/>
        <v>1567850.4</v>
      </c>
      <c r="Q89" s="61">
        <v>25.56</v>
      </c>
    </row>
    <row r="90" spans="1:17" x14ac:dyDescent="0.25">
      <c r="A90" s="5" t="s">
        <v>24</v>
      </c>
      <c r="B90" s="5" t="s">
        <v>15</v>
      </c>
      <c r="C90" s="6">
        <v>42696</v>
      </c>
      <c r="D90" s="5">
        <f t="shared" si="21"/>
        <v>11</v>
      </c>
      <c r="E90" s="5">
        <f t="shared" si="22"/>
        <v>48</v>
      </c>
      <c r="F90" s="61">
        <v>20.53</v>
      </c>
      <c r="G90" s="60">
        <v>56000</v>
      </c>
      <c r="H90" s="36">
        <f t="shared" si="19"/>
        <v>1149680</v>
      </c>
      <c r="I90" s="36">
        <v>0</v>
      </c>
      <c r="J90" s="60">
        <v>0</v>
      </c>
      <c r="K90" s="60">
        <v>0</v>
      </c>
      <c r="L90" s="60">
        <v>0</v>
      </c>
      <c r="M90" s="36">
        <f t="shared" si="26"/>
        <v>1149680</v>
      </c>
      <c r="N90" s="36">
        <v>0</v>
      </c>
      <c r="O90" s="60">
        <v>0</v>
      </c>
      <c r="P90" s="36">
        <f t="shared" si="20"/>
        <v>1149680</v>
      </c>
      <c r="Q90" s="61">
        <v>20.53</v>
      </c>
    </row>
    <row r="91" spans="1:17" x14ac:dyDescent="0.25">
      <c r="A91" s="5" t="s">
        <v>109</v>
      </c>
      <c r="B91" s="5" t="s">
        <v>110</v>
      </c>
      <c r="C91" s="6">
        <v>42697</v>
      </c>
      <c r="D91" s="5">
        <f t="shared" si="21"/>
        <v>11</v>
      </c>
      <c r="E91" s="5">
        <f t="shared" si="22"/>
        <v>48</v>
      </c>
      <c r="F91" s="61">
        <v>20.04</v>
      </c>
      <c r="G91" s="60">
        <v>46444.36</v>
      </c>
      <c r="H91" s="36">
        <f t="shared" si="19"/>
        <v>930744.97439999995</v>
      </c>
      <c r="I91" s="36">
        <v>0</v>
      </c>
      <c r="J91" s="60">
        <f t="shared" ref="J91:J120" si="29">H91*12.5%</f>
        <v>116343.12179999999</v>
      </c>
      <c r="K91" s="60">
        <f t="shared" ref="K91:K94" si="30">(I91+J91)*2%</f>
        <v>2326.8624359999999</v>
      </c>
      <c r="L91" s="60">
        <f t="shared" ref="L91:L94" si="31">(I91+J91)*1%</f>
        <v>1163.4312179999999</v>
      </c>
      <c r="M91" s="36">
        <f t="shared" si="26"/>
        <v>1050578.3898539997</v>
      </c>
      <c r="N91" s="36">
        <v>0</v>
      </c>
      <c r="O91" s="60">
        <f t="shared" ref="O91:O94" si="32">(H91+J91+K91+L91)*4/100+4400*F91</f>
        <v>130199.13559415999</v>
      </c>
      <c r="P91" s="36">
        <f t="shared" si="20"/>
        <v>1180777.5254481598</v>
      </c>
      <c r="Q91" s="61">
        <v>20.02</v>
      </c>
    </row>
    <row r="92" spans="1:17" x14ac:dyDescent="0.25">
      <c r="A92" s="5" t="s">
        <v>109</v>
      </c>
      <c r="B92" s="5" t="s">
        <v>110</v>
      </c>
      <c r="C92" s="6">
        <v>42697</v>
      </c>
      <c r="D92" s="5">
        <f t="shared" si="21"/>
        <v>11</v>
      </c>
      <c r="E92" s="5">
        <f t="shared" si="22"/>
        <v>48</v>
      </c>
      <c r="F92" s="61">
        <v>20</v>
      </c>
      <c r="G92" s="60">
        <v>46444.36</v>
      </c>
      <c r="H92" s="36">
        <f t="shared" si="19"/>
        <v>928887.2</v>
      </c>
      <c r="I92" s="36">
        <v>0</v>
      </c>
      <c r="J92" s="60">
        <f t="shared" si="29"/>
        <v>116110.9</v>
      </c>
      <c r="K92" s="60">
        <f t="shared" si="30"/>
        <v>2322.2179999999998</v>
      </c>
      <c r="L92" s="60">
        <f t="shared" si="31"/>
        <v>1161.1089999999999</v>
      </c>
      <c r="M92" s="36">
        <f t="shared" si="26"/>
        <v>1048481.427</v>
      </c>
      <c r="N92" s="36">
        <v>0</v>
      </c>
      <c r="O92" s="60">
        <f t="shared" si="32"/>
        <v>129939.25708000001</v>
      </c>
      <c r="P92" s="36">
        <f t="shared" si="20"/>
        <v>1178420.68408</v>
      </c>
      <c r="Q92" s="61">
        <v>20</v>
      </c>
    </row>
    <row r="93" spans="1:17" x14ac:dyDescent="0.25">
      <c r="A93" s="5" t="s">
        <v>109</v>
      </c>
      <c r="B93" s="5" t="s">
        <v>110</v>
      </c>
      <c r="C93" s="6">
        <v>42697</v>
      </c>
      <c r="D93" s="5">
        <f t="shared" si="21"/>
        <v>11</v>
      </c>
      <c r="E93" s="5">
        <f t="shared" si="22"/>
        <v>48</v>
      </c>
      <c r="F93" s="61">
        <v>20</v>
      </c>
      <c r="G93" s="60">
        <v>46444.36</v>
      </c>
      <c r="H93" s="36">
        <f t="shared" si="19"/>
        <v>928887.2</v>
      </c>
      <c r="I93" s="36">
        <v>0</v>
      </c>
      <c r="J93" s="60">
        <f t="shared" si="29"/>
        <v>116110.9</v>
      </c>
      <c r="K93" s="60">
        <f t="shared" si="30"/>
        <v>2322.2179999999998</v>
      </c>
      <c r="L93" s="60">
        <f t="shared" si="31"/>
        <v>1161.1089999999999</v>
      </c>
      <c r="M93" s="36">
        <f t="shared" si="26"/>
        <v>1048481.427</v>
      </c>
      <c r="N93" s="36">
        <v>0</v>
      </c>
      <c r="O93" s="60">
        <f t="shared" si="32"/>
        <v>129939.25708000001</v>
      </c>
      <c r="P93" s="36">
        <f t="shared" si="20"/>
        <v>1178420.68408</v>
      </c>
      <c r="Q93" s="61">
        <v>19.98</v>
      </c>
    </row>
    <row r="94" spans="1:17" x14ac:dyDescent="0.25">
      <c r="A94" s="5" t="s">
        <v>109</v>
      </c>
      <c r="B94" s="5" t="s">
        <v>110</v>
      </c>
      <c r="C94" s="6">
        <v>42697</v>
      </c>
      <c r="D94" s="5">
        <f t="shared" si="21"/>
        <v>11</v>
      </c>
      <c r="E94" s="5">
        <f t="shared" si="22"/>
        <v>48</v>
      </c>
      <c r="F94" s="61">
        <v>20</v>
      </c>
      <c r="G94" s="60">
        <v>46444.36</v>
      </c>
      <c r="H94" s="36">
        <f t="shared" si="19"/>
        <v>928887.2</v>
      </c>
      <c r="I94" s="36">
        <v>0</v>
      </c>
      <c r="J94" s="60">
        <f t="shared" si="29"/>
        <v>116110.9</v>
      </c>
      <c r="K94" s="60">
        <f t="shared" si="30"/>
        <v>2322.2179999999998</v>
      </c>
      <c r="L94" s="60">
        <f t="shared" si="31"/>
        <v>1161.1089999999999</v>
      </c>
      <c r="M94" s="36">
        <f t="shared" si="26"/>
        <v>1048481.427</v>
      </c>
      <c r="N94" s="36">
        <v>0</v>
      </c>
      <c r="O94" s="60">
        <f t="shared" si="32"/>
        <v>129939.25708000001</v>
      </c>
      <c r="P94" s="36">
        <f t="shared" si="20"/>
        <v>1178420.68408</v>
      </c>
      <c r="Q94" s="61">
        <v>19.98</v>
      </c>
    </row>
    <row r="95" spans="1:17" x14ac:dyDescent="0.25">
      <c r="A95" s="5" t="s">
        <v>24</v>
      </c>
      <c r="B95" s="5" t="s">
        <v>18</v>
      </c>
      <c r="C95" s="6">
        <v>42697</v>
      </c>
      <c r="D95" s="5">
        <f t="shared" si="21"/>
        <v>11</v>
      </c>
      <c r="E95" s="5">
        <f t="shared" si="22"/>
        <v>48</v>
      </c>
      <c r="F95" s="61">
        <v>27.95</v>
      </c>
      <c r="G95" s="60">
        <v>55165.11</v>
      </c>
      <c r="H95" s="36">
        <f t="shared" si="19"/>
        <v>1541864.8244999999</v>
      </c>
      <c r="I95" s="36">
        <v>0</v>
      </c>
      <c r="J95" s="60">
        <v>0</v>
      </c>
      <c r="K95" s="60">
        <v>0</v>
      </c>
      <c r="L95" s="60">
        <v>0</v>
      </c>
      <c r="M95" s="36">
        <f t="shared" si="26"/>
        <v>1541864.8244999999</v>
      </c>
      <c r="N95" s="36">
        <v>0</v>
      </c>
      <c r="O95" s="60">
        <v>0</v>
      </c>
      <c r="P95" s="36">
        <f t="shared" si="20"/>
        <v>1541864.8244999999</v>
      </c>
      <c r="Q95" s="61">
        <v>27.95</v>
      </c>
    </row>
    <row r="96" spans="1:17" x14ac:dyDescent="0.25">
      <c r="A96" s="5" t="s">
        <v>12</v>
      </c>
      <c r="B96" s="5" t="s">
        <v>13</v>
      </c>
      <c r="C96" s="6">
        <v>42697</v>
      </c>
      <c r="D96" s="5">
        <f t="shared" si="21"/>
        <v>11</v>
      </c>
      <c r="E96" s="5">
        <f t="shared" si="22"/>
        <v>48</v>
      </c>
      <c r="F96" s="61">
        <v>28.72</v>
      </c>
      <c r="G96" s="60">
        <v>48039.199999999997</v>
      </c>
      <c r="H96" s="36">
        <f t="shared" si="19"/>
        <v>1379685.8239999998</v>
      </c>
      <c r="I96" s="36">
        <v>0</v>
      </c>
      <c r="J96" s="60">
        <v>0</v>
      </c>
      <c r="K96" s="60">
        <v>0</v>
      </c>
      <c r="L96" s="60">
        <v>0</v>
      </c>
      <c r="M96" s="36">
        <f t="shared" si="26"/>
        <v>1379685.8239999998</v>
      </c>
      <c r="N96" s="36">
        <f t="shared" si="28"/>
        <v>27593.716479999995</v>
      </c>
      <c r="O96" s="60">
        <v>0</v>
      </c>
      <c r="P96" s="36">
        <f t="shared" si="20"/>
        <v>1407279.5404799997</v>
      </c>
      <c r="Q96" s="61">
        <v>28.72</v>
      </c>
    </row>
    <row r="97" spans="1:17" x14ac:dyDescent="0.25">
      <c r="A97" s="5" t="s">
        <v>98</v>
      </c>
      <c r="B97" s="5" t="s">
        <v>99</v>
      </c>
      <c r="C97" s="6">
        <v>42697</v>
      </c>
      <c r="D97" s="5">
        <f t="shared" si="21"/>
        <v>11</v>
      </c>
      <c r="E97" s="5">
        <f t="shared" si="22"/>
        <v>48</v>
      </c>
      <c r="F97" s="61">
        <v>24.98</v>
      </c>
      <c r="G97" s="60">
        <v>57000</v>
      </c>
      <c r="H97" s="36">
        <f t="shared" si="19"/>
        <v>1423860</v>
      </c>
      <c r="I97" s="36">
        <v>0</v>
      </c>
      <c r="J97" s="60">
        <v>0</v>
      </c>
      <c r="K97" s="60">
        <v>0</v>
      </c>
      <c r="L97" s="60">
        <v>0</v>
      </c>
      <c r="M97" s="36">
        <f t="shared" si="26"/>
        <v>1423860</v>
      </c>
      <c r="N97" s="36">
        <f t="shared" si="28"/>
        <v>28477.200000000001</v>
      </c>
      <c r="O97" s="60">
        <f>3200*F97</f>
        <v>79936</v>
      </c>
      <c r="P97" s="36">
        <f t="shared" si="20"/>
        <v>1532273.2</v>
      </c>
      <c r="Q97" s="61">
        <v>24.98</v>
      </c>
    </row>
    <row r="98" spans="1:17" x14ac:dyDescent="0.25">
      <c r="A98" s="5" t="s">
        <v>21</v>
      </c>
      <c r="B98" s="5" t="s">
        <v>15</v>
      </c>
      <c r="C98" s="6">
        <v>42701</v>
      </c>
      <c r="D98" s="5">
        <f t="shared" si="21"/>
        <v>11</v>
      </c>
      <c r="E98" s="5">
        <f t="shared" si="22"/>
        <v>49</v>
      </c>
      <c r="F98" s="61">
        <v>28.35</v>
      </c>
      <c r="G98" s="60">
        <v>56000</v>
      </c>
      <c r="H98" s="36">
        <f t="shared" si="19"/>
        <v>1587600</v>
      </c>
      <c r="I98" s="36">
        <v>0</v>
      </c>
      <c r="J98" s="60">
        <v>0</v>
      </c>
      <c r="K98" s="60">
        <v>0</v>
      </c>
      <c r="L98" s="60">
        <v>0</v>
      </c>
      <c r="M98" s="36">
        <f t="shared" si="26"/>
        <v>1587600</v>
      </c>
      <c r="N98" s="36">
        <v>0</v>
      </c>
      <c r="O98" s="60">
        <v>0</v>
      </c>
      <c r="P98" s="36">
        <f t="shared" si="20"/>
        <v>1587600</v>
      </c>
      <c r="Q98" s="61">
        <v>28.35</v>
      </c>
    </row>
    <row r="99" spans="1:17" x14ac:dyDescent="0.25">
      <c r="A99" s="5" t="s">
        <v>12</v>
      </c>
      <c r="B99" s="5" t="s">
        <v>13</v>
      </c>
      <c r="C99" s="6">
        <v>42698</v>
      </c>
      <c r="D99" s="5">
        <f t="shared" si="21"/>
        <v>11</v>
      </c>
      <c r="E99" s="5">
        <f t="shared" si="22"/>
        <v>48</v>
      </c>
      <c r="F99" s="61">
        <v>28.01</v>
      </c>
      <c r="G99" s="60">
        <v>48039.199999999997</v>
      </c>
      <c r="H99" s="36">
        <f t="shared" si="19"/>
        <v>1345577.9920000001</v>
      </c>
      <c r="I99" s="36">
        <v>0</v>
      </c>
      <c r="J99" s="60">
        <v>0</v>
      </c>
      <c r="K99" s="60">
        <v>0</v>
      </c>
      <c r="L99" s="60">
        <v>0</v>
      </c>
      <c r="M99" s="36">
        <f t="shared" si="26"/>
        <v>1345577.9920000001</v>
      </c>
      <c r="N99" s="36">
        <f t="shared" si="28"/>
        <v>26911.559840000002</v>
      </c>
      <c r="O99" s="60">
        <v>0</v>
      </c>
      <c r="P99" s="36">
        <f t="shared" si="20"/>
        <v>1372489.5518400001</v>
      </c>
      <c r="Q99" s="61">
        <v>28.01</v>
      </c>
    </row>
    <row r="100" spans="1:17" x14ac:dyDescent="0.25">
      <c r="A100" s="5" t="s">
        <v>31</v>
      </c>
      <c r="B100" s="5" t="s">
        <v>15</v>
      </c>
      <c r="C100" s="6">
        <v>42698</v>
      </c>
      <c r="D100" s="5">
        <f t="shared" si="21"/>
        <v>11</v>
      </c>
      <c r="E100" s="5">
        <f t="shared" si="22"/>
        <v>48</v>
      </c>
      <c r="F100" s="61">
        <v>19.920000000000002</v>
      </c>
      <c r="G100" s="60">
        <v>56000</v>
      </c>
      <c r="H100" s="36">
        <f t="shared" si="19"/>
        <v>1115520</v>
      </c>
      <c r="I100" s="36">
        <v>0</v>
      </c>
      <c r="J100" s="60">
        <v>0</v>
      </c>
      <c r="K100" s="60">
        <v>0</v>
      </c>
      <c r="L100" s="60">
        <v>0</v>
      </c>
      <c r="M100" s="36">
        <f t="shared" si="26"/>
        <v>1115520</v>
      </c>
      <c r="N100" s="36">
        <v>0</v>
      </c>
      <c r="O100" s="60">
        <v>0</v>
      </c>
      <c r="P100" s="36">
        <f t="shared" si="20"/>
        <v>1115520</v>
      </c>
      <c r="Q100" s="61">
        <v>19.920000000000002</v>
      </c>
    </row>
    <row r="101" spans="1:17" x14ac:dyDescent="0.25">
      <c r="A101" s="5" t="s">
        <v>100</v>
      </c>
      <c r="B101" s="5" t="s">
        <v>23</v>
      </c>
      <c r="C101" s="6">
        <v>42699</v>
      </c>
      <c r="D101" s="5">
        <f t="shared" si="21"/>
        <v>11</v>
      </c>
      <c r="E101" s="5">
        <f t="shared" si="22"/>
        <v>48</v>
      </c>
      <c r="F101" s="61">
        <v>20.11</v>
      </c>
      <c r="G101" s="60">
        <v>90196</v>
      </c>
      <c r="H101" s="36">
        <f t="shared" si="19"/>
        <v>1813841.56</v>
      </c>
      <c r="I101" s="36">
        <v>0</v>
      </c>
      <c r="J101" s="60">
        <v>0</v>
      </c>
      <c r="K101" s="60">
        <v>0</v>
      </c>
      <c r="L101" s="60">
        <v>0</v>
      </c>
      <c r="M101" s="36">
        <f t="shared" si="26"/>
        <v>1813841.56</v>
      </c>
      <c r="N101" s="36">
        <f t="shared" ref="N101" si="33">M101*2%</f>
        <v>36276.831200000001</v>
      </c>
      <c r="O101" s="60">
        <v>0</v>
      </c>
      <c r="P101" s="36">
        <f t="shared" si="20"/>
        <v>1850118.3912</v>
      </c>
      <c r="Q101" s="61">
        <v>20.11</v>
      </c>
    </row>
    <row r="102" spans="1:17" x14ac:dyDescent="0.25">
      <c r="A102" s="5" t="s">
        <v>21</v>
      </c>
      <c r="B102" s="5" t="s">
        <v>15</v>
      </c>
      <c r="C102" s="6">
        <v>42699</v>
      </c>
      <c r="D102" s="5">
        <f t="shared" si="21"/>
        <v>11</v>
      </c>
      <c r="E102" s="5">
        <f t="shared" si="22"/>
        <v>48</v>
      </c>
      <c r="F102" s="61">
        <v>25.52</v>
      </c>
      <c r="G102" s="60">
        <v>56000</v>
      </c>
      <c r="H102" s="36">
        <f t="shared" si="19"/>
        <v>1429120</v>
      </c>
      <c r="I102" s="36">
        <v>0</v>
      </c>
      <c r="J102" s="60">
        <v>0</v>
      </c>
      <c r="K102" s="60">
        <v>0</v>
      </c>
      <c r="L102" s="60">
        <v>0</v>
      </c>
      <c r="M102" s="36">
        <f t="shared" si="26"/>
        <v>1429120</v>
      </c>
      <c r="N102" s="36">
        <v>0</v>
      </c>
      <c r="O102" s="60">
        <v>0</v>
      </c>
      <c r="P102" s="36">
        <f t="shared" si="20"/>
        <v>1429120</v>
      </c>
      <c r="Q102" s="61">
        <v>25.52</v>
      </c>
    </row>
    <row r="103" spans="1:17" x14ac:dyDescent="0.25">
      <c r="A103" s="5" t="s">
        <v>21</v>
      </c>
      <c r="B103" s="5" t="s">
        <v>15</v>
      </c>
      <c r="C103" s="6">
        <v>42699</v>
      </c>
      <c r="D103" s="5">
        <f t="shared" si="21"/>
        <v>11</v>
      </c>
      <c r="E103" s="5">
        <f t="shared" si="22"/>
        <v>48</v>
      </c>
      <c r="F103" s="61">
        <v>27.56</v>
      </c>
      <c r="G103" s="60">
        <v>56000</v>
      </c>
      <c r="H103" s="36">
        <f t="shared" si="19"/>
        <v>1543360</v>
      </c>
      <c r="I103" s="36">
        <v>0</v>
      </c>
      <c r="J103" s="60">
        <v>0</v>
      </c>
      <c r="K103" s="60">
        <v>0</v>
      </c>
      <c r="L103" s="60">
        <v>0</v>
      </c>
      <c r="M103" s="36">
        <f t="shared" si="26"/>
        <v>1543360</v>
      </c>
      <c r="N103" s="36">
        <v>0</v>
      </c>
      <c r="O103" s="60">
        <v>0</v>
      </c>
      <c r="P103" s="36">
        <f t="shared" si="20"/>
        <v>1543360</v>
      </c>
      <c r="Q103" s="61">
        <v>27.56</v>
      </c>
    </row>
    <row r="104" spans="1:17" x14ac:dyDescent="0.25">
      <c r="A104" s="5" t="s">
        <v>97</v>
      </c>
      <c r="B104" s="5" t="s">
        <v>20</v>
      </c>
      <c r="C104" s="6">
        <v>42700</v>
      </c>
      <c r="D104" s="5">
        <f t="shared" si="21"/>
        <v>11</v>
      </c>
      <c r="E104" s="5">
        <f t="shared" si="22"/>
        <v>48</v>
      </c>
      <c r="F104" s="61">
        <v>20.13</v>
      </c>
      <c r="G104" s="60">
        <v>97549</v>
      </c>
      <c r="H104" s="36">
        <f t="shared" si="19"/>
        <v>1963661.3699999999</v>
      </c>
      <c r="I104" s="36">
        <v>0</v>
      </c>
      <c r="J104" s="60">
        <v>0</v>
      </c>
      <c r="K104" s="60">
        <v>0</v>
      </c>
      <c r="L104" s="60">
        <v>0</v>
      </c>
      <c r="M104" s="36">
        <f t="shared" si="26"/>
        <v>1963661.3699999999</v>
      </c>
      <c r="N104" s="36">
        <f t="shared" si="28"/>
        <v>39273.227399999996</v>
      </c>
      <c r="O104" s="60">
        <v>0</v>
      </c>
      <c r="P104" s="36">
        <f t="shared" si="20"/>
        <v>2002934.5973999999</v>
      </c>
      <c r="Q104" s="61">
        <v>20.13</v>
      </c>
    </row>
    <row r="105" spans="1:17" x14ac:dyDescent="0.25">
      <c r="A105" s="5" t="s">
        <v>12</v>
      </c>
      <c r="B105" s="5" t="s">
        <v>13</v>
      </c>
      <c r="C105" s="6">
        <v>42700</v>
      </c>
      <c r="D105" s="5">
        <f t="shared" si="21"/>
        <v>11</v>
      </c>
      <c r="E105" s="5">
        <f t="shared" si="22"/>
        <v>48</v>
      </c>
      <c r="F105" s="61">
        <v>28.55</v>
      </c>
      <c r="G105" s="60">
        <v>48039.199999999997</v>
      </c>
      <c r="H105" s="36">
        <f t="shared" si="19"/>
        <v>1371519.16</v>
      </c>
      <c r="I105" s="36">
        <v>0</v>
      </c>
      <c r="J105" s="60">
        <v>0</v>
      </c>
      <c r="K105" s="60">
        <v>0</v>
      </c>
      <c r="L105" s="60">
        <v>0</v>
      </c>
      <c r="M105" s="36">
        <f t="shared" si="26"/>
        <v>1371519.16</v>
      </c>
      <c r="N105" s="36">
        <f t="shared" si="28"/>
        <v>27430.3832</v>
      </c>
      <c r="O105" s="60">
        <v>0</v>
      </c>
      <c r="P105" s="36">
        <f t="shared" si="20"/>
        <v>1398949.5432</v>
      </c>
      <c r="Q105" s="61">
        <v>28.55</v>
      </c>
    </row>
    <row r="106" spans="1:17" x14ac:dyDescent="0.25">
      <c r="A106" s="5" t="s">
        <v>24</v>
      </c>
      <c r="B106" s="5" t="s">
        <v>18</v>
      </c>
      <c r="C106" s="6">
        <v>42700</v>
      </c>
      <c r="D106" s="5">
        <f t="shared" si="21"/>
        <v>11</v>
      </c>
      <c r="E106" s="5">
        <f t="shared" si="22"/>
        <v>48</v>
      </c>
      <c r="F106" s="61">
        <v>27.33</v>
      </c>
      <c r="G106" s="60">
        <v>55500</v>
      </c>
      <c r="H106" s="36">
        <f t="shared" si="19"/>
        <v>1516815</v>
      </c>
      <c r="I106" s="36">
        <v>0</v>
      </c>
      <c r="J106" s="60">
        <v>0</v>
      </c>
      <c r="K106" s="60">
        <v>0</v>
      </c>
      <c r="L106" s="60">
        <v>0</v>
      </c>
      <c r="M106" s="36">
        <f t="shared" si="26"/>
        <v>1516815</v>
      </c>
      <c r="N106" s="36">
        <v>0</v>
      </c>
      <c r="O106" s="60">
        <v>0</v>
      </c>
      <c r="P106" s="36">
        <f t="shared" si="20"/>
        <v>1516815</v>
      </c>
      <c r="Q106" s="61">
        <v>27.33</v>
      </c>
    </row>
    <row r="107" spans="1:17" x14ac:dyDescent="0.25">
      <c r="A107" s="5" t="s">
        <v>12</v>
      </c>
      <c r="B107" s="5" t="s">
        <v>13</v>
      </c>
      <c r="C107" s="6">
        <v>42702</v>
      </c>
      <c r="D107" s="5">
        <f t="shared" si="21"/>
        <v>11</v>
      </c>
      <c r="E107" s="5">
        <f t="shared" si="22"/>
        <v>49</v>
      </c>
      <c r="F107" s="61">
        <v>28.06</v>
      </c>
      <c r="G107" s="60">
        <v>48039.199999999997</v>
      </c>
      <c r="H107" s="36">
        <f t="shared" si="19"/>
        <v>1347979.9519999998</v>
      </c>
      <c r="I107" s="36">
        <v>0</v>
      </c>
      <c r="J107" s="60">
        <v>0</v>
      </c>
      <c r="K107" s="60">
        <v>0</v>
      </c>
      <c r="L107" s="60">
        <v>0</v>
      </c>
      <c r="M107" s="36">
        <f t="shared" si="26"/>
        <v>1347979.9519999998</v>
      </c>
      <c r="N107" s="36">
        <f t="shared" ref="N107" si="34">M107*2%</f>
        <v>26959.599039999997</v>
      </c>
      <c r="O107" s="60">
        <v>0</v>
      </c>
      <c r="P107" s="36">
        <f t="shared" si="20"/>
        <v>1374939.5510399998</v>
      </c>
      <c r="Q107" s="61">
        <v>28.06</v>
      </c>
    </row>
    <row r="108" spans="1:17" x14ac:dyDescent="0.25">
      <c r="A108" s="5" t="s">
        <v>17</v>
      </c>
      <c r="B108" s="5" t="s">
        <v>18</v>
      </c>
      <c r="C108" s="6">
        <v>42698</v>
      </c>
      <c r="D108" s="5">
        <f t="shared" si="21"/>
        <v>11</v>
      </c>
      <c r="E108" s="5">
        <f t="shared" si="22"/>
        <v>48</v>
      </c>
      <c r="F108" s="61">
        <v>30.37</v>
      </c>
      <c r="G108" s="60">
        <v>50000</v>
      </c>
      <c r="H108" s="36">
        <f t="shared" si="19"/>
        <v>1518500</v>
      </c>
      <c r="I108" s="36">
        <v>0</v>
      </c>
      <c r="J108" s="60">
        <v>0</v>
      </c>
      <c r="K108" s="60">
        <v>0</v>
      </c>
      <c r="L108" s="60">
        <v>0</v>
      </c>
      <c r="M108" s="36">
        <f t="shared" si="26"/>
        <v>1518500</v>
      </c>
      <c r="N108" s="36">
        <v>0</v>
      </c>
      <c r="O108" s="60">
        <v>0</v>
      </c>
      <c r="P108" s="36">
        <f t="shared" si="20"/>
        <v>1518500</v>
      </c>
      <c r="Q108" s="61">
        <v>30.37</v>
      </c>
    </row>
    <row r="109" spans="1:17" x14ac:dyDescent="0.25">
      <c r="A109" s="5" t="s">
        <v>105</v>
      </c>
      <c r="B109" s="5" t="s">
        <v>18</v>
      </c>
      <c r="C109" s="6">
        <v>42700</v>
      </c>
      <c r="D109" s="5">
        <f t="shared" si="21"/>
        <v>11</v>
      </c>
      <c r="E109" s="5">
        <f t="shared" si="22"/>
        <v>48</v>
      </c>
      <c r="F109" s="61">
        <v>29.41</v>
      </c>
      <c r="G109" s="60">
        <v>57200</v>
      </c>
      <c r="H109" s="36">
        <f t="shared" si="19"/>
        <v>1682252</v>
      </c>
      <c r="I109" s="36">
        <v>0</v>
      </c>
      <c r="J109" s="60">
        <v>0</v>
      </c>
      <c r="K109" s="60">
        <v>0</v>
      </c>
      <c r="L109" s="60">
        <v>0</v>
      </c>
      <c r="M109" s="36">
        <f t="shared" si="26"/>
        <v>1682252</v>
      </c>
      <c r="N109" s="36">
        <v>0</v>
      </c>
      <c r="O109" s="60">
        <v>0</v>
      </c>
      <c r="P109" s="36">
        <f t="shared" si="20"/>
        <v>1682252</v>
      </c>
      <c r="Q109" s="61">
        <v>29.41</v>
      </c>
    </row>
    <row r="110" spans="1:17" x14ac:dyDescent="0.25">
      <c r="A110" s="5" t="s">
        <v>16</v>
      </c>
      <c r="B110" s="5" t="s">
        <v>18</v>
      </c>
      <c r="C110" s="6">
        <v>42701</v>
      </c>
      <c r="D110" s="5">
        <f t="shared" si="21"/>
        <v>11</v>
      </c>
      <c r="E110" s="5">
        <f t="shared" si="22"/>
        <v>49</v>
      </c>
      <c r="F110" s="61">
        <v>28.09</v>
      </c>
      <c r="G110" s="60">
        <v>55800</v>
      </c>
      <c r="H110" s="36">
        <f t="shared" si="19"/>
        <v>1567422</v>
      </c>
      <c r="I110" s="36">
        <v>0</v>
      </c>
      <c r="J110" s="60">
        <v>0</v>
      </c>
      <c r="K110" s="60">
        <v>0</v>
      </c>
      <c r="L110" s="60">
        <v>0</v>
      </c>
      <c r="M110" s="36">
        <f t="shared" si="26"/>
        <v>1567422</v>
      </c>
      <c r="N110" s="36">
        <v>0</v>
      </c>
      <c r="O110" s="60">
        <v>0</v>
      </c>
      <c r="P110" s="36">
        <f t="shared" si="20"/>
        <v>1567422</v>
      </c>
      <c r="Q110" s="61">
        <v>28.09</v>
      </c>
    </row>
    <row r="111" spans="1:17" x14ac:dyDescent="0.25">
      <c r="A111" s="5" t="s">
        <v>33</v>
      </c>
      <c r="B111" s="5" t="s">
        <v>18</v>
      </c>
      <c r="C111" s="6">
        <v>42702</v>
      </c>
      <c r="D111" s="5">
        <f t="shared" si="21"/>
        <v>11</v>
      </c>
      <c r="E111" s="5">
        <f t="shared" si="22"/>
        <v>49</v>
      </c>
      <c r="F111" s="61">
        <v>27.3</v>
      </c>
      <c r="G111" s="60">
        <v>56464.160000000003</v>
      </c>
      <c r="H111" s="36">
        <f t="shared" si="19"/>
        <v>1541471.5680000002</v>
      </c>
      <c r="I111" s="36">
        <v>0</v>
      </c>
      <c r="J111" s="60">
        <v>0</v>
      </c>
      <c r="K111" s="60">
        <v>0</v>
      </c>
      <c r="L111" s="60">
        <v>0</v>
      </c>
      <c r="M111" s="36">
        <f t="shared" si="26"/>
        <v>1541471.5680000002</v>
      </c>
      <c r="N111" s="36">
        <v>0</v>
      </c>
      <c r="O111" s="60">
        <v>0</v>
      </c>
      <c r="P111" s="36">
        <f t="shared" si="20"/>
        <v>1541471.5680000002</v>
      </c>
      <c r="Q111" s="61">
        <v>27.3</v>
      </c>
    </row>
    <row r="112" spans="1:17" x14ac:dyDescent="0.25">
      <c r="A112" s="5" t="s">
        <v>24</v>
      </c>
      <c r="B112" s="5" t="s">
        <v>15</v>
      </c>
      <c r="C112" s="6">
        <v>42703</v>
      </c>
      <c r="D112" s="5">
        <f t="shared" si="21"/>
        <v>11</v>
      </c>
      <c r="E112" s="5">
        <f t="shared" si="22"/>
        <v>49</v>
      </c>
      <c r="F112" s="61">
        <v>19.96</v>
      </c>
      <c r="G112" s="60">
        <v>55637</v>
      </c>
      <c r="H112" s="36">
        <f t="shared" si="19"/>
        <v>1110514.52</v>
      </c>
      <c r="I112" s="36">
        <v>0</v>
      </c>
      <c r="J112" s="60">
        <v>0</v>
      </c>
      <c r="K112" s="60">
        <v>0</v>
      </c>
      <c r="L112" s="60">
        <v>0</v>
      </c>
      <c r="M112" s="36">
        <f t="shared" si="26"/>
        <v>1110514.52</v>
      </c>
      <c r="N112" s="36">
        <v>0</v>
      </c>
      <c r="O112" s="60">
        <v>0</v>
      </c>
      <c r="P112" s="36">
        <f t="shared" si="20"/>
        <v>1110514.52</v>
      </c>
      <c r="Q112" s="61">
        <v>19.96</v>
      </c>
    </row>
    <row r="113" spans="1:17" x14ac:dyDescent="0.25">
      <c r="A113" s="5" t="s">
        <v>24</v>
      </c>
      <c r="B113" s="5" t="s">
        <v>15</v>
      </c>
      <c r="C113" s="6">
        <v>42703</v>
      </c>
      <c r="D113" s="5">
        <f t="shared" si="21"/>
        <v>11</v>
      </c>
      <c r="E113" s="5">
        <f t="shared" si="22"/>
        <v>49</v>
      </c>
      <c r="F113" s="61">
        <v>19.55</v>
      </c>
      <c r="G113" s="60">
        <v>55400</v>
      </c>
      <c r="H113" s="36">
        <f t="shared" si="19"/>
        <v>1083070</v>
      </c>
      <c r="I113" s="36">
        <v>0</v>
      </c>
      <c r="J113" s="60">
        <v>0</v>
      </c>
      <c r="K113" s="60">
        <v>0</v>
      </c>
      <c r="L113" s="60">
        <v>0</v>
      </c>
      <c r="M113" s="36">
        <f t="shared" si="26"/>
        <v>1083070</v>
      </c>
      <c r="N113" s="36">
        <v>0</v>
      </c>
      <c r="O113" s="60">
        <v>0</v>
      </c>
      <c r="P113" s="36">
        <f t="shared" si="20"/>
        <v>1083070</v>
      </c>
      <c r="Q113" s="61">
        <v>19.55</v>
      </c>
    </row>
    <row r="114" spans="1:17" x14ac:dyDescent="0.25">
      <c r="A114" s="5" t="s">
        <v>24</v>
      </c>
      <c r="B114" s="5" t="s">
        <v>15</v>
      </c>
      <c r="C114" s="6">
        <v>42703</v>
      </c>
      <c r="D114" s="5">
        <f t="shared" si="21"/>
        <v>11</v>
      </c>
      <c r="E114" s="5">
        <f t="shared" si="22"/>
        <v>49</v>
      </c>
      <c r="F114" s="61">
        <v>19.899999999999999</v>
      </c>
      <c r="G114" s="60">
        <v>55477.43</v>
      </c>
      <c r="H114" s="36">
        <f t="shared" si="19"/>
        <v>1104000.8569999998</v>
      </c>
      <c r="I114" s="36">
        <v>0</v>
      </c>
      <c r="J114" s="60">
        <v>0</v>
      </c>
      <c r="K114" s="60">
        <v>0</v>
      </c>
      <c r="L114" s="60">
        <v>0</v>
      </c>
      <c r="M114" s="36">
        <f t="shared" si="26"/>
        <v>1104000.8569999998</v>
      </c>
      <c r="N114" s="36">
        <v>0</v>
      </c>
      <c r="O114" s="60">
        <v>0</v>
      </c>
      <c r="P114" s="36">
        <f t="shared" si="20"/>
        <v>1104000.8569999998</v>
      </c>
      <c r="Q114" s="61">
        <v>19.899999999999999</v>
      </c>
    </row>
    <row r="115" spans="1:17" x14ac:dyDescent="0.25">
      <c r="A115" s="5" t="s">
        <v>24</v>
      </c>
      <c r="B115" s="5" t="s">
        <v>15</v>
      </c>
      <c r="C115" s="6">
        <v>42703</v>
      </c>
      <c r="D115" s="5">
        <f t="shared" si="21"/>
        <v>11</v>
      </c>
      <c r="E115" s="5">
        <f t="shared" si="22"/>
        <v>49</v>
      </c>
      <c r="F115" s="61">
        <v>19.21</v>
      </c>
      <c r="G115" s="60">
        <v>55400</v>
      </c>
      <c r="H115" s="36">
        <f t="shared" si="19"/>
        <v>1064234</v>
      </c>
      <c r="I115" s="36">
        <v>0</v>
      </c>
      <c r="J115" s="60">
        <v>0</v>
      </c>
      <c r="K115" s="60">
        <v>0</v>
      </c>
      <c r="L115" s="60">
        <v>0</v>
      </c>
      <c r="M115" s="36">
        <f t="shared" si="26"/>
        <v>1064234</v>
      </c>
      <c r="N115" s="36">
        <v>0</v>
      </c>
      <c r="O115" s="60">
        <v>0</v>
      </c>
      <c r="P115" s="36">
        <f t="shared" si="20"/>
        <v>1064234</v>
      </c>
      <c r="Q115" s="61">
        <v>19.21</v>
      </c>
    </row>
    <row r="116" spans="1:17" x14ac:dyDescent="0.25">
      <c r="A116" s="5" t="s">
        <v>65</v>
      </c>
      <c r="B116" s="5" t="s">
        <v>66</v>
      </c>
      <c r="C116" s="6">
        <v>42704</v>
      </c>
      <c r="D116" s="5">
        <f t="shared" si="21"/>
        <v>11</v>
      </c>
      <c r="E116" s="5">
        <f t="shared" si="22"/>
        <v>49</v>
      </c>
      <c r="F116" s="61">
        <v>19.97</v>
      </c>
      <c r="G116" s="60">
        <v>75786.36</v>
      </c>
      <c r="H116" s="36">
        <f t="shared" si="19"/>
        <v>1513453.6091999998</v>
      </c>
      <c r="I116" s="36">
        <v>0</v>
      </c>
      <c r="J116" s="60">
        <f t="shared" si="29"/>
        <v>189181.70114999998</v>
      </c>
      <c r="K116" s="60">
        <f t="shared" ref="K116:K120" si="35">(I116+J116)*2%</f>
        <v>3783.6340229999996</v>
      </c>
      <c r="L116" s="60">
        <f t="shared" ref="L116:L120" si="36">(I116+J116)*1%</f>
        <v>1891.8170114999998</v>
      </c>
      <c r="M116" s="36">
        <f t="shared" si="26"/>
        <v>1708310.7613845</v>
      </c>
      <c r="N116" s="36">
        <v>0</v>
      </c>
      <c r="O116" s="60">
        <f t="shared" ref="O116:O120" si="37">(H116+J116+K116+L116)*4/100+4400*F116</f>
        <v>156200.43045538</v>
      </c>
      <c r="P116" s="36">
        <f t="shared" si="20"/>
        <v>1864511.1918398798</v>
      </c>
      <c r="Q116" s="61">
        <v>19.96</v>
      </c>
    </row>
    <row r="117" spans="1:17" x14ac:dyDescent="0.25">
      <c r="A117" s="5" t="s">
        <v>65</v>
      </c>
      <c r="B117" s="5" t="s">
        <v>66</v>
      </c>
      <c r="C117" s="6">
        <v>42704</v>
      </c>
      <c r="D117" s="5">
        <f t="shared" si="21"/>
        <v>11</v>
      </c>
      <c r="E117" s="5">
        <f t="shared" si="22"/>
        <v>49</v>
      </c>
      <c r="F117" s="61">
        <v>20</v>
      </c>
      <c r="G117" s="60">
        <v>75786.36</v>
      </c>
      <c r="H117" s="36">
        <f t="shared" si="19"/>
        <v>1515727.2</v>
      </c>
      <c r="I117" s="36">
        <v>0</v>
      </c>
      <c r="J117" s="60">
        <f t="shared" si="29"/>
        <v>189465.9</v>
      </c>
      <c r="K117" s="60">
        <f t="shared" si="35"/>
        <v>3789.3179999999998</v>
      </c>
      <c r="L117" s="60">
        <f t="shared" si="36"/>
        <v>1894.6589999999999</v>
      </c>
      <c r="M117" s="36">
        <f t="shared" si="26"/>
        <v>1710877.0769999998</v>
      </c>
      <c r="N117" s="36">
        <v>0</v>
      </c>
      <c r="O117" s="60">
        <f t="shared" si="37"/>
        <v>156435.08308000001</v>
      </c>
      <c r="P117" s="36">
        <f t="shared" si="20"/>
        <v>1867312.1600799998</v>
      </c>
      <c r="Q117" s="61">
        <v>20.010000000000002</v>
      </c>
    </row>
    <row r="118" spans="1:17" x14ac:dyDescent="0.25">
      <c r="A118" s="5" t="s">
        <v>65</v>
      </c>
      <c r="B118" s="5" t="s">
        <v>66</v>
      </c>
      <c r="C118" s="6">
        <v>42704</v>
      </c>
      <c r="D118" s="5">
        <f t="shared" si="21"/>
        <v>11</v>
      </c>
      <c r="E118" s="5">
        <f t="shared" si="22"/>
        <v>49</v>
      </c>
      <c r="F118" s="61">
        <v>19.97</v>
      </c>
      <c r="G118" s="60">
        <v>75786.36</v>
      </c>
      <c r="H118" s="36">
        <f t="shared" si="19"/>
        <v>1513453.6091999998</v>
      </c>
      <c r="I118" s="36">
        <v>0</v>
      </c>
      <c r="J118" s="60">
        <f t="shared" si="29"/>
        <v>189181.70114999998</v>
      </c>
      <c r="K118" s="60">
        <f t="shared" si="35"/>
        <v>3783.6340229999996</v>
      </c>
      <c r="L118" s="60">
        <f t="shared" si="36"/>
        <v>1891.8170114999998</v>
      </c>
      <c r="M118" s="36">
        <f t="shared" si="26"/>
        <v>1708310.7613845</v>
      </c>
      <c r="N118" s="36">
        <v>0</v>
      </c>
      <c r="O118" s="60">
        <f t="shared" si="37"/>
        <v>156200.43045538</v>
      </c>
      <c r="P118" s="36">
        <f t="shared" si="20"/>
        <v>1864511.1918398798</v>
      </c>
      <c r="Q118" s="61">
        <v>19.97</v>
      </c>
    </row>
    <row r="119" spans="1:17" x14ac:dyDescent="0.25">
      <c r="A119" s="5" t="s">
        <v>65</v>
      </c>
      <c r="B119" s="5" t="s">
        <v>66</v>
      </c>
      <c r="C119" s="6">
        <v>42704</v>
      </c>
      <c r="D119" s="5">
        <f t="shared" si="21"/>
        <v>11</v>
      </c>
      <c r="E119" s="5">
        <f t="shared" si="22"/>
        <v>49</v>
      </c>
      <c r="F119" s="61">
        <v>20</v>
      </c>
      <c r="G119" s="60">
        <v>75786.36</v>
      </c>
      <c r="H119" s="36">
        <f t="shared" si="19"/>
        <v>1515727.2</v>
      </c>
      <c r="I119" s="36">
        <v>0</v>
      </c>
      <c r="J119" s="60">
        <f t="shared" si="29"/>
        <v>189465.9</v>
      </c>
      <c r="K119" s="60">
        <f t="shared" si="35"/>
        <v>3789.3179999999998</v>
      </c>
      <c r="L119" s="60">
        <f t="shared" si="36"/>
        <v>1894.6589999999999</v>
      </c>
      <c r="M119" s="36">
        <f t="shared" si="26"/>
        <v>1710877.0769999998</v>
      </c>
      <c r="N119" s="36">
        <v>0</v>
      </c>
      <c r="O119" s="60">
        <f t="shared" si="37"/>
        <v>156435.08308000001</v>
      </c>
      <c r="P119" s="36">
        <f t="shared" si="20"/>
        <v>1867312.1600799998</v>
      </c>
      <c r="Q119" s="61">
        <v>20.010000000000002</v>
      </c>
    </row>
    <row r="120" spans="1:17" x14ac:dyDescent="0.25">
      <c r="A120" s="5" t="s">
        <v>65</v>
      </c>
      <c r="B120" s="5" t="s">
        <v>66</v>
      </c>
      <c r="C120" s="6">
        <v>42704</v>
      </c>
      <c r="D120" s="5">
        <f t="shared" si="21"/>
        <v>11</v>
      </c>
      <c r="E120" s="5">
        <f t="shared" si="22"/>
        <v>49</v>
      </c>
      <c r="F120" s="61">
        <v>20</v>
      </c>
      <c r="G120" s="60">
        <v>75786.36</v>
      </c>
      <c r="H120" s="36">
        <f t="shared" si="19"/>
        <v>1515727.2</v>
      </c>
      <c r="I120" s="36">
        <v>0</v>
      </c>
      <c r="J120" s="60">
        <f t="shared" si="29"/>
        <v>189465.9</v>
      </c>
      <c r="K120" s="60">
        <f t="shared" si="35"/>
        <v>3789.3179999999998</v>
      </c>
      <c r="L120" s="60">
        <f t="shared" si="36"/>
        <v>1894.6589999999999</v>
      </c>
      <c r="M120" s="36">
        <f t="shared" si="26"/>
        <v>1710877.0769999998</v>
      </c>
      <c r="N120" s="36">
        <v>0</v>
      </c>
      <c r="O120" s="60">
        <f t="shared" si="37"/>
        <v>156435.08308000001</v>
      </c>
      <c r="P120" s="36">
        <f t="shared" si="20"/>
        <v>1867312.1600799998</v>
      </c>
      <c r="Q120" s="61">
        <v>19.989999999999998</v>
      </c>
    </row>
  </sheetData>
  <autoFilter ref="A1:Q120"/>
  <hyperlinks>
    <hyperlink ref="K1" r:id="rId1"/>
    <hyperlink ref="L1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C1" workbookViewId="0">
      <selection activeCell="Q2" sqref="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67</v>
      </c>
      <c r="B2" s="5" t="s">
        <v>18</v>
      </c>
      <c r="C2" s="6">
        <v>42705</v>
      </c>
      <c r="D2" s="5">
        <f>MONTH(C2)</f>
        <v>12</v>
      </c>
      <c r="E2" s="5">
        <f>WEEKNUM(C2)</f>
        <v>49</v>
      </c>
      <c r="F2" s="61">
        <v>19.71</v>
      </c>
      <c r="G2" s="60">
        <v>51932.27</v>
      </c>
      <c r="H2" s="36">
        <f>F2*G2</f>
        <v>1023585.0416999999</v>
      </c>
      <c r="I2" s="36">
        <v>0</v>
      </c>
      <c r="J2" s="60">
        <v>0</v>
      </c>
      <c r="K2" s="60">
        <v>0</v>
      </c>
      <c r="L2" s="60">
        <v>0</v>
      </c>
      <c r="M2" s="36">
        <f>SUM(H2:L2)</f>
        <v>1023585.0416999999</v>
      </c>
      <c r="N2" s="36">
        <v>0</v>
      </c>
      <c r="O2" s="60">
        <v>0</v>
      </c>
      <c r="P2" s="36">
        <f>SUM(M2:O2)</f>
        <v>1023585.0416999999</v>
      </c>
      <c r="Q2" s="61">
        <v>19.71</v>
      </c>
    </row>
    <row r="3" spans="1:17" x14ac:dyDescent="0.25">
      <c r="A3" s="5" t="s">
        <v>27</v>
      </c>
      <c r="B3" s="5" t="s">
        <v>18</v>
      </c>
      <c r="C3" s="6">
        <v>42705</v>
      </c>
      <c r="D3" s="5">
        <f t="shared" ref="D3:D66" si="0">MONTH(C3)</f>
        <v>12</v>
      </c>
      <c r="E3" s="5">
        <f t="shared" ref="E3:E66" si="1">WEEKNUM(C3)</f>
        <v>49</v>
      </c>
      <c r="F3" s="61">
        <v>19.16</v>
      </c>
      <c r="G3" s="60">
        <v>57200</v>
      </c>
      <c r="H3" s="36">
        <f t="shared" ref="H3:H66" si="2">F3*G3</f>
        <v>1095952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3">SUM(H3:L3)</f>
        <v>1095952</v>
      </c>
      <c r="N3" s="36">
        <v>0</v>
      </c>
      <c r="O3" s="60">
        <v>0</v>
      </c>
      <c r="P3" s="36">
        <f t="shared" ref="P3:P66" si="4">SUM(M3:O3)</f>
        <v>1095952</v>
      </c>
      <c r="Q3" s="61">
        <v>19.16</v>
      </c>
    </row>
    <row r="4" spans="1:17" x14ac:dyDescent="0.25">
      <c r="A4" s="5" t="s">
        <v>21</v>
      </c>
      <c r="B4" s="5" t="s">
        <v>15</v>
      </c>
      <c r="C4" s="6">
        <v>42705</v>
      </c>
      <c r="D4" s="5">
        <f t="shared" si="0"/>
        <v>12</v>
      </c>
      <c r="E4" s="5">
        <f t="shared" si="1"/>
        <v>49</v>
      </c>
      <c r="F4" s="61">
        <v>19.829999999999998</v>
      </c>
      <c r="G4" s="60">
        <v>55500</v>
      </c>
      <c r="H4" s="36">
        <f t="shared" si="2"/>
        <v>1100565</v>
      </c>
      <c r="I4" s="36">
        <v>0</v>
      </c>
      <c r="J4" s="60">
        <v>0</v>
      </c>
      <c r="K4" s="60">
        <v>0</v>
      </c>
      <c r="L4" s="60">
        <v>0</v>
      </c>
      <c r="M4" s="36">
        <f t="shared" si="3"/>
        <v>1100565</v>
      </c>
      <c r="N4" s="36">
        <v>0</v>
      </c>
      <c r="O4" s="60">
        <v>0</v>
      </c>
      <c r="P4" s="36">
        <f t="shared" si="4"/>
        <v>1100565</v>
      </c>
      <c r="Q4" s="61">
        <v>19.829999999999998</v>
      </c>
    </row>
    <row r="5" spans="1:17" x14ac:dyDescent="0.25">
      <c r="A5" s="5" t="s">
        <v>21</v>
      </c>
      <c r="B5" s="5" t="s">
        <v>15</v>
      </c>
      <c r="C5" s="6">
        <v>42705</v>
      </c>
      <c r="D5" s="5">
        <f t="shared" si="0"/>
        <v>12</v>
      </c>
      <c r="E5" s="5">
        <f t="shared" si="1"/>
        <v>49</v>
      </c>
      <c r="F5" s="61">
        <v>24.58</v>
      </c>
      <c r="G5" s="60">
        <v>55400</v>
      </c>
      <c r="H5" s="36">
        <f t="shared" si="2"/>
        <v>1361732</v>
      </c>
      <c r="I5" s="36">
        <v>0</v>
      </c>
      <c r="J5" s="60">
        <v>0</v>
      </c>
      <c r="K5" s="60">
        <v>0</v>
      </c>
      <c r="L5" s="60">
        <v>0</v>
      </c>
      <c r="M5" s="36">
        <f t="shared" si="3"/>
        <v>1361732</v>
      </c>
      <c r="N5" s="36">
        <v>0</v>
      </c>
      <c r="O5" s="60">
        <v>0</v>
      </c>
      <c r="P5" s="36">
        <f t="shared" si="4"/>
        <v>1361732</v>
      </c>
      <c r="Q5" s="61">
        <v>24.58</v>
      </c>
    </row>
    <row r="6" spans="1:17" x14ac:dyDescent="0.25">
      <c r="A6" s="5" t="s">
        <v>21</v>
      </c>
      <c r="B6" s="5" t="s">
        <v>15</v>
      </c>
      <c r="C6" s="6">
        <v>42705</v>
      </c>
      <c r="D6" s="5">
        <f t="shared" si="0"/>
        <v>12</v>
      </c>
      <c r="E6" s="5">
        <f t="shared" si="1"/>
        <v>49</v>
      </c>
      <c r="F6" s="61">
        <v>24.48</v>
      </c>
      <c r="G6" s="60">
        <v>55500</v>
      </c>
      <c r="H6" s="36">
        <f t="shared" si="2"/>
        <v>1358640</v>
      </c>
      <c r="I6" s="36">
        <v>0</v>
      </c>
      <c r="J6" s="60">
        <v>0</v>
      </c>
      <c r="K6" s="60">
        <v>0</v>
      </c>
      <c r="L6" s="60">
        <v>0</v>
      </c>
      <c r="M6" s="36">
        <f t="shared" si="3"/>
        <v>1358640</v>
      </c>
      <c r="N6" s="36">
        <v>0</v>
      </c>
      <c r="O6" s="60">
        <v>0</v>
      </c>
      <c r="P6" s="36">
        <f t="shared" si="4"/>
        <v>1358640</v>
      </c>
      <c r="Q6" s="61">
        <v>24.48</v>
      </c>
    </row>
    <row r="7" spans="1:17" x14ac:dyDescent="0.25">
      <c r="A7" s="5" t="s">
        <v>12</v>
      </c>
      <c r="B7" s="5" t="s">
        <v>13</v>
      </c>
      <c r="C7" s="6">
        <v>42705</v>
      </c>
      <c r="D7" s="5">
        <f t="shared" si="0"/>
        <v>12</v>
      </c>
      <c r="E7" s="5">
        <f t="shared" si="1"/>
        <v>49</v>
      </c>
      <c r="F7" s="61">
        <v>28.36</v>
      </c>
      <c r="G7" s="60">
        <v>48039.199999999997</v>
      </c>
      <c r="H7" s="36">
        <f t="shared" si="2"/>
        <v>1362391.7119999998</v>
      </c>
      <c r="I7" s="36">
        <v>0</v>
      </c>
      <c r="J7" s="60">
        <v>0</v>
      </c>
      <c r="K7" s="60">
        <v>0</v>
      </c>
      <c r="L7" s="60">
        <v>0</v>
      </c>
      <c r="M7" s="36">
        <f t="shared" si="3"/>
        <v>1362391.7119999998</v>
      </c>
      <c r="N7" s="36">
        <f>M7*2%</f>
        <v>27247.834239999996</v>
      </c>
      <c r="O7" s="60">
        <v>0</v>
      </c>
      <c r="P7" s="36">
        <f t="shared" si="4"/>
        <v>1389639.5462399998</v>
      </c>
      <c r="Q7" s="61">
        <v>28.36</v>
      </c>
    </row>
    <row r="8" spans="1:17" x14ac:dyDescent="0.25">
      <c r="A8" s="5" t="s">
        <v>109</v>
      </c>
      <c r="B8" s="5" t="s">
        <v>110</v>
      </c>
      <c r="C8" s="6">
        <v>42706</v>
      </c>
      <c r="D8" s="5">
        <f t="shared" si="0"/>
        <v>12</v>
      </c>
      <c r="E8" s="5">
        <f t="shared" si="1"/>
        <v>49</v>
      </c>
      <c r="F8" s="61">
        <v>20</v>
      </c>
      <c r="G8" s="60">
        <v>46444.36</v>
      </c>
      <c r="H8" s="36">
        <f t="shared" si="2"/>
        <v>928887.2</v>
      </c>
      <c r="I8" s="36">
        <v>0</v>
      </c>
      <c r="J8" s="60">
        <f>H8*12.5%</f>
        <v>116110.9</v>
      </c>
      <c r="K8" s="60">
        <f>J8*2%</f>
        <v>2322.2179999999998</v>
      </c>
      <c r="L8" s="60">
        <f>J8*1%</f>
        <v>1161.1089999999999</v>
      </c>
      <c r="M8" s="36">
        <f t="shared" si="3"/>
        <v>1048481.427</v>
      </c>
      <c r="N8" s="36">
        <v>0</v>
      </c>
      <c r="O8" s="60">
        <f>M8*4%+Q8*4400</f>
        <v>129983.25708000001</v>
      </c>
      <c r="P8" s="36">
        <f t="shared" si="4"/>
        <v>1178464.68408</v>
      </c>
      <c r="Q8" s="61">
        <v>20.010000000000002</v>
      </c>
    </row>
    <row r="9" spans="1:17" x14ac:dyDescent="0.25">
      <c r="A9" s="5" t="s">
        <v>109</v>
      </c>
      <c r="B9" s="5" t="s">
        <v>110</v>
      </c>
      <c r="C9" s="6">
        <v>42706</v>
      </c>
      <c r="D9" s="5">
        <f t="shared" si="0"/>
        <v>12</v>
      </c>
      <c r="E9" s="5">
        <f t="shared" si="1"/>
        <v>49</v>
      </c>
      <c r="F9" s="61">
        <v>19.96</v>
      </c>
      <c r="G9" s="60">
        <v>46444.36</v>
      </c>
      <c r="H9" s="36">
        <f t="shared" si="2"/>
        <v>927029.42560000008</v>
      </c>
      <c r="I9" s="36">
        <v>0</v>
      </c>
      <c r="J9" s="60">
        <f>H9*12.5%</f>
        <v>115878.67820000001</v>
      </c>
      <c r="K9" s="60">
        <f>J9*2%</f>
        <v>2317.5735640000003</v>
      </c>
      <c r="L9" s="60">
        <f>J9*1%</f>
        <v>1158.7867820000001</v>
      </c>
      <c r="M9" s="36">
        <f t="shared" si="3"/>
        <v>1046384.464146</v>
      </c>
      <c r="N9" s="36">
        <v>0</v>
      </c>
      <c r="O9" s="60">
        <f>M9*4%+Q9*4400</f>
        <v>129679.37856584</v>
      </c>
      <c r="P9" s="36">
        <f t="shared" si="4"/>
        <v>1176063.8427118401</v>
      </c>
      <c r="Q9" s="61">
        <v>19.96</v>
      </c>
    </row>
    <row r="10" spans="1:17" x14ac:dyDescent="0.25">
      <c r="A10" s="5" t="s">
        <v>105</v>
      </c>
      <c r="B10" s="5" t="s">
        <v>15</v>
      </c>
      <c r="C10" s="6">
        <v>42706</v>
      </c>
      <c r="D10" s="5">
        <f t="shared" si="0"/>
        <v>12</v>
      </c>
      <c r="E10" s="5">
        <f t="shared" si="1"/>
        <v>49</v>
      </c>
      <c r="F10" s="61">
        <v>28.31</v>
      </c>
      <c r="G10" s="60">
        <v>56000</v>
      </c>
      <c r="H10" s="36">
        <f t="shared" si="2"/>
        <v>1585360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3"/>
        <v>1585360</v>
      </c>
      <c r="N10" s="36">
        <v>0</v>
      </c>
      <c r="O10" s="60">
        <v>0</v>
      </c>
      <c r="P10" s="36">
        <f t="shared" si="4"/>
        <v>1585360</v>
      </c>
      <c r="Q10" s="61">
        <v>28.31</v>
      </c>
    </row>
    <row r="11" spans="1:17" x14ac:dyDescent="0.25">
      <c r="A11" s="5" t="s">
        <v>21</v>
      </c>
      <c r="B11" s="5" t="s">
        <v>15</v>
      </c>
      <c r="C11" s="6">
        <v>42706</v>
      </c>
      <c r="D11" s="5">
        <f t="shared" si="0"/>
        <v>12</v>
      </c>
      <c r="E11" s="5">
        <f t="shared" si="1"/>
        <v>49</v>
      </c>
      <c r="F11" s="61">
        <v>19.84</v>
      </c>
      <c r="G11" s="60">
        <v>55400</v>
      </c>
      <c r="H11" s="36">
        <f t="shared" si="2"/>
        <v>1099136</v>
      </c>
      <c r="I11" s="36">
        <v>0</v>
      </c>
      <c r="J11" s="60">
        <v>0</v>
      </c>
      <c r="K11" s="60">
        <v>0</v>
      </c>
      <c r="L11" s="60">
        <v>0</v>
      </c>
      <c r="M11" s="36">
        <f t="shared" si="3"/>
        <v>1099136</v>
      </c>
      <c r="N11" s="36">
        <v>0</v>
      </c>
      <c r="O11" s="60">
        <v>0</v>
      </c>
      <c r="P11" s="36">
        <f t="shared" si="4"/>
        <v>1099136</v>
      </c>
      <c r="Q11" s="61">
        <v>19.84</v>
      </c>
    </row>
    <row r="12" spans="1:17" x14ac:dyDescent="0.25">
      <c r="A12" s="5" t="s">
        <v>34</v>
      </c>
      <c r="B12" s="5" t="s">
        <v>18</v>
      </c>
      <c r="C12" s="6">
        <v>42707</v>
      </c>
      <c r="D12" s="5">
        <f t="shared" si="0"/>
        <v>12</v>
      </c>
      <c r="E12" s="5">
        <f t="shared" si="1"/>
        <v>49</v>
      </c>
      <c r="F12" s="61">
        <v>27.11</v>
      </c>
      <c r="G12" s="60">
        <v>50500</v>
      </c>
      <c r="H12" s="36">
        <f t="shared" si="2"/>
        <v>1369055</v>
      </c>
      <c r="I12" s="36">
        <v>0</v>
      </c>
      <c r="J12" s="60">
        <v>0</v>
      </c>
      <c r="K12" s="60">
        <v>0</v>
      </c>
      <c r="L12" s="60">
        <v>0</v>
      </c>
      <c r="M12" s="36">
        <f t="shared" si="3"/>
        <v>1369055</v>
      </c>
      <c r="N12" s="36">
        <v>0</v>
      </c>
      <c r="O12" s="60">
        <v>0</v>
      </c>
      <c r="P12" s="36">
        <f t="shared" si="4"/>
        <v>1369055</v>
      </c>
      <c r="Q12" s="61">
        <v>27.11</v>
      </c>
    </row>
    <row r="13" spans="1:17" x14ac:dyDescent="0.25">
      <c r="A13" s="5" t="s">
        <v>33</v>
      </c>
      <c r="B13" s="5" t="s">
        <v>15</v>
      </c>
      <c r="C13" s="6">
        <v>42707</v>
      </c>
      <c r="D13" s="5">
        <f t="shared" si="0"/>
        <v>12</v>
      </c>
      <c r="E13" s="5">
        <f t="shared" si="1"/>
        <v>49</v>
      </c>
      <c r="F13" s="61">
        <v>20.69</v>
      </c>
      <c r="G13" s="60">
        <v>58500</v>
      </c>
      <c r="H13" s="36">
        <f t="shared" si="2"/>
        <v>1210365</v>
      </c>
      <c r="I13" s="36">
        <v>0</v>
      </c>
      <c r="J13" s="60">
        <v>0</v>
      </c>
      <c r="K13" s="60">
        <v>0</v>
      </c>
      <c r="L13" s="60">
        <v>0</v>
      </c>
      <c r="M13" s="36">
        <f t="shared" si="3"/>
        <v>1210365</v>
      </c>
      <c r="N13" s="36">
        <v>0</v>
      </c>
      <c r="O13" s="60">
        <v>0</v>
      </c>
      <c r="P13" s="36">
        <f t="shared" si="4"/>
        <v>1210365</v>
      </c>
      <c r="Q13" s="61">
        <v>20.69</v>
      </c>
    </row>
    <row r="14" spans="1:17" x14ac:dyDescent="0.25">
      <c r="A14" s="5" t="s">
        <v>14</v>
      </c>
      <c r="B14" s="5" t="s">
        <v>15</v>
      </c>
      <c r="C14" s="6">
        <v>42707</v>
      </c>
      <c r="D14" s="5">
        <f t="shared" si="0"/>
        <v>12</v>
      </c>
      <c r="E14" s="5">
        <f t="shared" si="1"/>
        <v>49</v>
      </c>
      <c r="F14" s="61">
        <v>26.89</v>
      </c>
      <c r="G14" s="60">
        <v>56000</v>
      </c>
      <c r="H14" s="36">
        <f t="shared" si="2"/>
        <v>1505840</v>
      </c>
      <c r="I14" s="36">
        <v>0</v>
      </c>
      <c r="J14" s="60">
        <v>0</v>
      </c>
      <c r="K14" s="60">
        <v>0</v>
      </c>
      <c r="L14" s="60">
        <v>0</v>
      </c>
      <c r="M14" s="36">
        <f t="shared" si="3"/>
        <v>1505840</v>
      </c>
      <c r="N14" s="36">
        <v>0</v>
      </c>
      <c r="O14" s="60">
        <v>0</v>
      </c>
      <c r="P14" s="36">
        <f t="shared" si="4"/>
        <v>1505840</v>
      </c>
      <c r="Q14" s="61">
        <v>26.89</v>
      </c>
    </row>
    <row r="15" spans="1:17" x14ac:dyDescent="0.25">
      <c r="A15" s="5" t="s">
        <v>105</v>
      </c>
      <c r="B15" s="5" t="s">
        <v>18</v>
      </c>
      <c r="C15" s="6">
        <v>42707</v>
      </c>
      <c r="D15" s="5">
        <f t="shared" si="0"/>
        <v>12</v>
      </c>
      <c r="E15" s="5">
        <f t="shared" si="1"/>
        <v>49</v>
      </c>
      <c r="F15" s="61">
        <v>29.35</v>
      </c>
      <c r="G15" s="60">
        <v>57200</v>
      </c>
      <c r="H15" s="36">
        <f t="shared" si="2"/>
        <v>1678820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3"/>
        <v>1678820</v>
      </c>
      <c r="N15" s="36">
        <v>0</v>
      </c>
      <c r="O15" s="60">
        <v>0</v>
      </c>
      <c r="P15" s="36">
        <f t="shared" si="4"/>
        <v>1678820</v>
      </c>
      <c r="Q15" s="61">
        <v>29.35</v>
      </c>
    </row>
    <row r="16" spans="1:17" x14ac:dyDescent="0.25">
      <c r="A16" s="5" t="s">
        <v>12</v>
      </c>
      <c r="B16" s="5" t="s">
        <v>13</v>
      </c>
      <c r="C16" s="6">
        <v>42708</v>
      </c>
      <c r="D16" s="5">
        <f t="shared" si="0"/>
        <v>12</v>
      </c>
      <c r="E16" s="5">
        <f t="shared" si="1"/>
        <v>50</v>
      </c>
      <c r="F16" s="61">
        <v>28.04</v>
      </c>
      <c r="G16" s="60">
        <v>48039.199999999997</v>
      </c>
      <c r="H16" s="36">
        <f t="shared" si="2"/>
        <v>1347019.1679999998</v>
      </c>
      <c r="I16" s="36">
        <v>0</v>
      </c>
      <c r="J16" s="60">
        <v>0</v>
      </c>
      <c r="K16" s="60">
        <v>0</v>
      </c>
      <c r="L16" s="60">
        <v>0</v>
      </c>
      <c r="M16" s="36">
        <f t="shared" si="3"/>
        <v>1347019.1679999998</v>
      </c>
      <c r="N16" s="36">
        <f>M16*2%</f>
        <v>26940.383359999996</v>
      </c>
      <c r="O16" s="60">
        <v>0</v>
      </c>
      <c r="P16" s="36">
        <f t="shared" si="4"/>
        <v>1373959.5513599999</v>
      </c>
      <c r="Q16" s="61">
        <v>28.04</v>
      </c>
    </row>
    <row r="17" spans="1:17" x14ac:dyDescent="0.25">
      <c r="A17" s="5" t="s">
        <v>33</v>
      </c>
      <c r="B17" s="5" t="s">
        <v>18</v>
      </c>
      <c r="C17" s="6">
        <v>42709</v>
      </c>
      <c r="D17" s="5">
        <f t="shared" si="0"/>
        <v>12</v>
      </c>
      <c r="E17" s="5">
        <f t="shared" si="1"/>
        <v>50</v>
      </c>
      <c r="F17" s="61">
        <v>28.46</v>
      </c>
      <c r="G17" s="60">
        <v>56100</v>
      </c>
      <c r="H17" s="36">
        <f t="shared" si="2"/>
        <v>1596606</v>
      </c>
      <c r="I17" s="36">
        <v>0</v>
      </c>
      <c r="J17" s="60">
        <v>0</v>
      </c>
      <c r="K17" s="60">
        <v>0</v>
      </c>
      <c r="L17" s="60">
        <v>0</v>
      </c>
      <c r="M17" s="36">
        <f t="shared" si="3"/>
        <v>1596606</v>
      </c>
      <c r="N17" s="36">
        <v>0</v>
      </c>
      <c r="O17" s="60">
        <v>0</v>
      </c>
      <c r="P17" s="36">
        <f t="shared" si="4"/>
        <v>1596606</v>
      </c>
      <c r="Q17" s="61">
        <v>28.46</v>
      </c>
    </row>
    <row r="18" spans="1:17" x14ac:dyDescent="0.25">
      <c r="A18" s="5" t="s">
        <v>21</v>
      </c>
      <c r="B18" s="5" t="s">
        <v>15</v>
      </c>
      <c r="C18" s="6">
        <v>42709</v>
      </c>
      <c r="D18" s="5">
        <f t="shared" si="0"/>
        <v>12</v>
      </c>
      <c r="E18" s="5">
        <f t="shared" si="1"/>
        <v>50</v>
      </c>
      <c r="F18" s="61">
        <v>19.73</v>
      </c>
      <c r="G18" s="60">
        <v>55400</v>
      </c>
      <c r="H18" s="36">
        <f t="shared" si="2"/>
        <v>1093042</v>
      </c>
      <c r="I18" s="36">
        <v>0</v>
      </c>
      <c r="J18" s="60">
        <v>0</v>
      </c>
      <c r="K18" s="60">
        <v>0</v>
      </c>
      <c r="L18" s="60">
        <v>0</v>
      </c>
      <c r="M18" s="36">
        <f t="shared" si="3"/>
        <v>1093042</v>
      </c>
      <c r="N18" s="36">
        <v>0</v>
      </c>
      <c r="O18" s="60">
        <v>0</v>
      </c>
      <c r="P18" s="36">
        <f t="shared" si="4"/>
        <v>1093042</v>
      </c>
      <c r="Q18" s="61">
        <v>19.73</v>
      </c>
    </row>
    <row r="19" spans="1:17" x14ac:dyDescent="0.25">
      <c r="A19" s="5" t="s">
        <v>21</v>
      </c>
      <c r="B19" s="5" t="s">
        <v>15</v>
      </c>
      <c r="C19" s="6">
        <v>42709</v>
      </c>
      <c r="D19" s="5">
        <f t="shared" si="0"/>
        <v>12</v>
      </c>
      <c r="E19" s="5">
        <f t="shared" si="1"/>
        <v>50</v>
      </c>
      <c r="F19" s="61">
        <v>27.78</v>
      </c>
      <c r="G19" s="60">
        <v>55767.73</v>
      </c>
      <c r="H19" s="36">
        <f t="shared" si="2"/>
        <v>1549227.5394000001</v>
      </c>
      <c r="I19" s="36">
        <v>0</v>
      </c>
      <c r="J19" s="60">
        <v>0</v>
      </c>
      <c r="K19" s="60">
        <v>0</v>
      </c>
      <c r="L19" s="60">
        <v>0</v>
      </c>
      <c r="M19" s="36">
        <f t="shared" si="3"/>
        <v>1549227.5394000001</v>
      </c>
      <c r="N19" s="36">
        <v>0</v>
      </c>
      <c r="O19" s="60">
        <v>0</v>
      </c>
      <c r="P19" s="36">
        <f t="shared" si="4"/>
        <v>1549227.5394000001</v>
      </c>
      <c r="Q19" s="61">
        <v>27.78</v>
      </c>
    </row>
    <row r="20" spans="1:17" x14ac:dyDescent="0.25">
      <c r="A20" s="5" t="s">
        <v>109</v>
      </c>
      <c r="B20" s="5" t="s">
        <v>110</v>
      </c>
      <c r="C20" s="6">
        <v>42710</v>
      </c>
      <c r="D20" s="5">
        <f t="shared" si="0"/>
        <v>12</v>
      </c>
      <c r="E20" s="5">
        <f t="shared" si="1"/>
        <v>50</v>
      </c>
      <c r="F20" s="61">
        <v>19.98</v>
      </c>
      <c r="G20" s="60">
        <v>46444.36</v>
      </c>
      <c r="H20" s="36">
        <f t="shared" si="2"/>
        <v>927958.31280000007</v>
      </c>
      <c r="I20" s="36">
        <v>0</v>
      </c>
      <c r="J20" s="60">
        <f t="shared" ref="J20:J23" si="5">H20*12.5%</f>
        <v>115994.78910000001</v>
      </c>
      <c r="K20" s="60">
        <f t="shared" ref="K20:K23" si="6">J20*2%</f>
        <v>2319.8957820000001</v>
      </c>
      <c r="L20" s="60">
        <f t="shared" ref="L20:L23" si="7">J20*1%</f>
        <v>1159.947891</v>
      </c>
      <c r="M20" s="36">
        <f t="shared" si="3"/>
        <v>1047432.9455730001</v>
      </c>
      <c r="N20" s="36">
        <v>0</v>
      </c>
      <c r="O20" s="60">
        <f t="shared" ref="O20:O23" si="8">M20*4%+Q20*4400</f>
        <v>129853.31782292001</v>
      </c>
      <c r="P20" s="36">
        <f t="shared" si="4"/>
        <v>1177286.2633959202</v>
      </c>
      <c r="Q20" s="61">
        <v>19.989999999999998</v>
      </c>
    </row>
    <row r="21" spans="1:17" x14ac:dyDescent="0.25">
      <c r="A21" s="5" t="s">
        <v>109</v>
      </c>
      <c r="B21" s="5" t="s">
        <v>110</v>
      </c>
      <c r="C21" s="6">
        <v>42710</v>
      </c>
      <c r="D21" s="5">
        <f t="shared" si="0"/>
        <v>12</v>
      </c>
      <c r="E21" s="5">
        <f t="shared" si="1"/>
        <v>50</v>
      </c>
      <c r="F21" s="61">
        <v>20</v>
      </c>
      <c r="G21" s="60">
        <v>46444.36</v>
      </c>
      <c r="H21" s="36">
        <f t="shared" si="2"/>
        <v>928887.2</v>
      </c>
      <c r="I21" s="36">
        <v>0</v>
      </c>
      <c r="J21" s="60">
        <f t="shared" si="5"/>
        <v>116110.9</v>
      </c>
      <c r="K21" s="60">
        <f t="shared" si="6"/>
        <v>2322.2179999999998</v>
      </c>
      <c r="L21" s="60">
        <f t="shared" si="7"/>
        <v>1161.1089999999999</v>
      </c>
      <c r="M21" s="36">
        <f t="shared" si="3"/>
        <v>1048481.427</v>
      </c>
      <c r="N21" s="36">
        <v>0</v>
      </c>
      <c r="O21" s="60">
        <f t="shared" si="8"/>
        <v>130027.25708000001</v>
      </c>
      <c r="P21" s="36">
        <f t="shared" si="4"/>
        <v>1178508.68408</v>
      </c>
      <c r="Q21" s="61">
        <v>20.02</v>
      </c>
    </row>
    <row r="22" spans="1:17" x14ac:dyDescent="0.25">
      <c r="A22" s="5" t="s">
        <v>109</v>
      </c>
      <c r="B22" s="5" t="s">
        <v>110</v>
      </c>
      <c r="C22" s="6">
        <v>42710</v>
      </c>
      <c r="D22" s="5">
        <f t="shared" si="0"/>
        <v>12</v>
      </c>
      <c r="E22" s="5">
        <f t="shared" si="1"/>
        <v>50</v>
      </c>
      <c r="F22" s="61">
        <v>20</v>
      </c>
      <c r="G22" s="60">
        <v>46444.36</v>
      </c>
      <c r="H22" s="36">
        <f t="shared" si="2"/>
        <v>928887.2</v>
      </c>
      <c r="I22" s="36">
        <v>0</v>
      </c>
      <c r="J22" s="60">
        <f t="shared" si="5"/>
        <v>116110.9</v>
      </c>
      <c r="K22" s="60">
        <f t="shared" si="6"/>
        <v>2322.2179999999998</v>
      </c>
      <c r="L22" s="60">
        <f t="shared" si="7"/>
        <v>1161.1089999999999</v>
      </c>
      <c r="M22" s="36">
        <f t="shared" si="3"/>
        <v>1048481.427</v>
      </c>
      <c r="N22" s="36">
        <v>0</v>
      </c>
      <c r="O22" s="60">
        <f t="shared" si="8"/>
        <v>130115.25708000001</v>
      </c>
      <c r="P22" s="36">
        <f t="shared" si="4"/>
        <v>1178596.68408</v>
      </c>
      <c r="Q22" s="61">
        <v>20.04</v>
      </c>
    </row>
    <row r="23" spans="1:17" x14ac:dyDescent="0.25">
      <c r="A23" s="5" t="s">
        <v>109</v>
      </c>
      <c r="B23" s="5" t="s">
        <v>110</v>
      </c>
      <c r="C23" s="6">
        <v>42710</v>
      </c>
      <c r="D23" s="5">
        <f t="shared" si="0"/>
        <v>12</v>
      </c>
      <c r="E23" s="5">
        <f t="shared" si="1"/>
        <v>50</v>
      </c>
      <c r="F23" s="61">
        <v>20.02</v>
      </c>
      <c r="G23" s="60">
        <v>46444.36</v>
      </c>
      <c r="H23" s="36">
        <f t="shared" si="2"/>
        <v>929816.08719999995</v>
      </c>
      <c r="I23" s="36">
        <v>0</v>
      </c>
      <c r="J23" s="60">
        <f t="shared" si="5"/>
        <v>116227.01089999999</v>
      </c>
      <c r="K23" s="60">
        <f t="shared" si="6"/>
        <v>2324.5402180000001</v>
      </c>
      <c r="L23" s="60">
        <f t="shared" si="7"/>
        <v>1162.270109</v>
      </c>
      <c r="M23" s="36">
        <f t="shared" si="3"/>
        <v>1049529.9084269998</v>
      </c>
      <c r="N23" s="36">
        <v>0</v>
      </c>
      <c r="O23" s="60">
        <f t="shared" si="8"/>
        <v>130113.19633707999</v>
      </c>
      <c r="P23" s="36">
        <f t="shared" si="4"/>
        <v>1179643.1047640799</v>
      </c>
      <c r="Q23" s="61">
        <v>20.03</v>
      </c>
    </row>
    <row r="24" spans="1:17" x14ac:dyDescent="0.25">
      <c r="A24" s="5" t="s">
        <v>12</v>
      </c>
      <c r="B24" s="5" t="s">
        <v>13</v>
      </c>
      <c r="C24" s="6">
        <v>42710</v>
      </c>
      <c r="D24" s="5">
        <f t="shared" si="0"/>
        <v>12</v>
      </c>
      <c r="E24" s="5">
        <f t="shared" si="1"/>
        <v>50</v>
      </c>
      <c r="F24" s="61">
        <v>29.08</v>
      </c>
      <c r="G24" s="60">
        <v>48039.199999999997</v>
      </c>
      <c r="H24" s="36">
        <f t="shared" si="2"/>
        <v>1396979.9359999998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3"/>
        <v>1396979.9359999998</v>
      </c>
      <c r="N24" s="36">
        <f>M24*2%</f>
        <v>27939.598719999995</v>
      </c>
      <c r="O24" s="60">
        <v>0</v>
      </c>
      <c r="P24" s="36">
        <f t="shared" si="4"/>
        <v>1424919.5347199996</v>
      </c>
      <c r="Q24" s="61">
        <v>29.08</v>
      </c>
    </row>
    <row r="25" spans="1:17" x14ac:dyDescent="0.25">
      <c r="A25" s="5" t="s">
        <v>14</v>
      </c>
      <c r="B25" s="5" t="s">
        <v>15</v>
      </c>
      <c r="C25" s="6">
        <v>42710</v>
      </c>
      <c r="D25" s="5">
        <f t="shared" si="0"/>
        <v>12</v>
      </c>
      <c r="E25" s="5">
        <f t="shared" si="1"/>
        <v>50</v>
      </c>
      <c r="F25" s="61">
        <v>27.89</v>
      </c>
      <c r="G25" s="60">
        <v>56000</v>
      </c>
      <c r="H25" s="36">
        <f t="shared" si="2"/>
        <v>1561840</v>
      </c>
      <c r="I25" s="36">
        <v>0</v>
      </c>
      <c r="J25" s="60">
        <v>0</v>
      </c>
      <c r="K25" s="60">
        <v>0</v>
      </c>
      <c r="L25" s="60">
        <v>0</v>
      </c>
      <c r="M25" s="36">
        <f t="shared" si="3"/>
        <v>1561840</v>
      </c>
      <c r="N25" s="36">
        <v>0</v>
      </c>
      <c r="O25" s="60">
        <v>0</v>
      </c>
      <c r="P25" s="36">
        <f t="shared" si="4"/>
        <v>1561840</v>
      </c>
      <c r="Q25" s="61">
        <v>27.89</v>
      </c>
    </row>
    <row r="26" spans="1:17" x14ac:dyDescent="0.25">
      <c r="A26" s="5" t="s">
        <v>12</v>
      </c>
      <c r="B26" s="5" t="s">
        <v>13</v>
      </c>
      <c r="C26" s="6">
        <v>42710</v>
      </c>
      <c r="D26" s="5">
        <f t="shared" si="0"/>
        <v>12</v>
      </c>
      <c r="E26" s="5">
        <f t="shared" si="1"/>
        <v>50</v>
      </c>
      <c r="F26" s="61">
        <v>28.54</v>
      </c>
      <c r="G26" s="60">
        <v>48039.199999999997</v>
      </c>
      <c r="H26" s="36">
        <f t="shared" si="2"/>
        <v>1371038.7679999999</v>
      </c>
      <c r="I26" s="36">
        <v>0</v>
      </c>
      <c r="J26" s="60">
        <v>0</v>
      </c>
      <c r="K26" s="60">
        <v>0</v>
      </c>
      <c r="L26" s="60">
        <v>0</v>
      </c>
      <c r="M26" s="36">
        <f t="shared" si="3"/>
        <v>1371038.7679999999</v>
      </c>
      <c r="N26" s="36">
        <f>M26*2%</f>
        <v>27420.77536</v>
      </c>
      <c r="O26" s="60">
        <v>0</v>
      </c>
      <c r="P26" s="36">
        <f t="shared" si="4"/>
        <v>1398459.54336</v>
      </c>
      <c r="Q26" s="61">
        <v>28.54</v>
      </c>
    </row>
    <row r="27" spans="1:17" x14ac:dyDescent="0.25">
      <c r="A27" s="5" t="s">
        <v>109</v>
      </c>
      <c r="B27" s="5" t="s">
        <v>110</v>
      </c>
      <c r="C27" s="6">
        <v>42711</v>
      </c>
      <c r="D27" s="5">
        <f t="shared" si="0"/>
        <v>12</v>
      </c>
      <c r="E27" s="5">
        <f t="shared" si="1"/>
        <v>50</v>
      </c>
      <c r="F27" s="61">
        <v>20</v>
      </c>
      <c r="G27" s="60">
        <v>46444.36</v>
      </c>
      <c r="H27" s="36">
        <f t="shared" si="2"/>
        <v>928887.2</v>
      </c>
      <c r="I27" s="36">
        <v>0</v>
      </c>
      <c r="J27" s="60">
        <f t="shared" ref="J27:J28" si="9">H27*12.5%</f>
        <v>116110.9</v>
      </c>
      <c r="K27" s="60">
        <f t="shared" ref="K27:K28" si="10">J27*2%</f>
        <v>2322.2179999999998</v>
      </c>
      <c r="L27" s="60">
        <f t="shared" ref="L27:L28" si="11">J27*1%</f>
        <v>1161.1089999999999</v>
      </c>
      <c r="M27" s="36">
        <f t="shared" si="3"/>
        <v>1048481.427</v>
      </c>
      <c r="N27" s="36">
        <v>0</v>
      </c>
      <c r="O27" s="60">
        <f t="shared" ref="O27:O28" si="12">M27*4%+Q27*4400</f>
        <v>130115.25708000001</v>
      </c>
      <c r="P27" s="36">
        <f t="shared" si="4"/>
        <v>1178596.68408</v>
      </c>
      <c r="Q27" s="61">
        <v>20.04</v>
      </c>
    </row>
    <row r="28" spans="1:17" x14ac:dyDescent="0.25">
      <c r="A28" s="5" t="s">
        <v>109</v>
      </c>
      <c r="B28" s="5" t="s">
        <v>110</v>
      </c>
      <c r="C28" s="6">
        <v>42711</v>
      </c>
      <c r="D28" s="5">
        <f t="shared" si="0"/>
        <v>12</v>
      </c>
      <c r="E28" s="5">
        <f t="shared" si="1"/>
        <v>50</v>
      </c>
      <c r="F28" s="61">
        <v>20.02</v>
      </c>
      <c r="G28" s="60">
        <v>46444.36</v>
      </c>
      <c r="H28" s="36">
        <f t="shared" si="2"/>
        <v>929816.08719999995</v>
      </c>
      <c r="I28" s="36">
        <v>0</v>
      </c>
      <c r="J28" s="60">
        <f t="shared" si="9"/>
        <v>116227.01089999999</v>
      </c>
      <c r="K28" s="60">
        <f t="shared" si="10"/>
        <v>2324.5402180000001</v>
      </c>
      <c r="L28" s="60">
        <f t="shared" si="11"/>
        <v>1162.270109</v>
      </c>
      <c r="M28" s="36">
        <f t="shared" si="3"/>
        <v>1049529.9084269998</v>
      </c>
      <c r="N28" s="36">
        <v>0</v>
      </c>
      <c r="O28" s="60">
        <f t="shared" si="12"/>
        <v>130157.19633707999</v>
      </c>
      <c r="P28" s="36">
        <f t="shared" si="4"/>
        <v>1179687.1047640799</v>
      </c>
      <c r="Q28" s="61">
        <v>20.04</v>
      </c>
    </row>
    <row r="29" spans="1:17" x14ac:dyDescent="0.25">
      <c r="A29" s="5" t="s">
        <v>30</v>
      </c>
      <c r="B29" s="5" t="s">
        <v>15</v>
      </c>
      <c r="C29" s="6">
        <v>42728</v>
      </c>
      <c r="D29" s="5">
        <f t="shared" si="0"/>
        <v>12</v>
      </c>
      <c r="E29" s="5">
        <f t="shared" si="1"/>
        <v>52</v>
      </c>
      <c r="F29" s="61">
        <v>19.73</v>
      </c>
      <c r="G29" s="60">
        <v>56000</v>
      </c>
      <c r="H29" s="36">
        <f t="shared" si="2"/>
        <v>1104880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3"/>
        <v>1104880</v>
      </c>
      <c r="N29" s="36">
        <v>0</v>
      </c>
      <c r="O29" s="60">
        <v>0</v>
      </c>
      <c r="P29" s="36">
        <f t="shared" si="4"/>
        <v>1104880</v>
      </c>
      <c r="Q29" s="61">
        <v>19.73</v>
      </c>
    </row>
    <row r="30" spans="1:17" x14ac:dyDescent="0.25">
      <c r="A30" s="5" t="s">
        <v>21</v>
      </c>
      <c r="B30" s="5" t="s">
        <v>15</v>
      </c>
      <c r="C30" s="6">
        <v>42712</v>
      </c>
      <c r="D30" s="5">
        <f t="shared" si="0"/>
        <v>12</v>
      </c>
      <c r="E30" s="5">
        <f t="shared" si="1"/>
        <v>50</v>
      </c>
      <c r="F30" s="61">
        <v>27.75</v>
      </c>
      <c r="G30" s="60">
        <v>55496.41</v>
      </c>
      <c r="H30" s="36">
        <f t="shared" si="2"/>
        <v>1540025.3775000002</v>
      </c>
      <c r="I30" s="36">
        <v>0</v>
      </c>
      <c r="J30" s="60">
        <v>0</v>
      </c>
      <c r="K30" s="60">
        <v>0</v>
      </c>
      <c r="L30" s="60">
        <v>0</v>
      </c>
      <c r="M30" s="36">
        <f t="shared" si="3"/>
        <v>1540025.3775000002</v>
      </c>
      <c r="N30" s="36">
        <v>0</v>
      </c>
      <c r="O30" s="60">
        <v>0</v>
      </c>
      <c r="P30" s="36">
        <f t="shared" si="4"/>
        <v>1540025.3775000002</v>
      </c>
      <c r="Q30" s="61">
        <v>27.75</v>
      </c>
    </row>
    <row r="31" spans="1:17" x14ac:dyDescent="0.25">
      <c r="A31" s="5" t="s">
        <v>21</v>
      </c>
      <c r="B31" s="5" t="s">
        <v>15</v>
      </c>
      <c r="C31" s="6">
        <v>42712</v>
      </c>
      <c r="D31" s="5">
        <f t="shared" si="0"/>
        <v>12</v>
      </c>
      <c r="E31" s="5">
        <f t="shared" si="1"/>
        <v>50</v>
      </c>
      <c r="F31" s="61">
        <v>27.83</v>
      </c>
      <c r="G31" s="60">
        <v>55911.44</v>
      </c>
      <c r="H31" s="36">
        <f t="shared" si="2"/>
        <v>1556015.3751999999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3"/>
        <v>1556015.3751999999</v>
      </c>
      <c r="N31" s="36">
        <v>0</v>
      </c>
      <c r="O31" s="60">
        <v>0</v>
      </c>
      <c r="P31" s="36">
        <f t="shared" si="4"/>
        <v>1556015.3751999999</v>
      </c>
      <c r="Q31" s="61">
        <v>27.83</v>
      </c>
    </row>
    <row r="32" spans="1:17" x14ac:dyDescent="0.25">
      <c r="A32" s="5" t="s">
        <v>33</v>
      </c>
      <c r="B32" s="5" t="s">
        <v>15</v>
      </c>
      <c r="C32" s="6">
        <v>42712</v>
      </c>
      <c r="D32" s="5">
        <f t="shared" si="0"/>
        <v>12</v>
      </c>
      <c r="E32" s="5">
        <f t="shared" si="1"/>
        <v>50</v>
      </c>
      <c r="F32" s="61">
        <v>28.65</v>
      </c>
      <c r="G32" s="60">
        <v>57600</v>
      </c>
      <c r="H32" s="36">
        <f t="shared" si="2"/>
        <v>1650240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3"/>
        <v>1650240</v>
      </c>
      <c r="N32" s="36">
        <v>0</v>
      </c>
      <c r="O32" s="60">
        <v>0</v>
      </c>
      <c r="P32" s="36">
        <f t="shared" si="4"/>
        <v>1650240</v>
      </c>
      <c r="Q32" s="61">
        <v>28.65</v>
      </c>
    </row>
    <row r="33" spans="1:17" x14ac:dyDescent="0.25">
      <c r="A33" s="5" t="s">
        <v>16</v>
      </c>
      <c r="B33" s="5" t="s">
        <v>18</v>
      </c>
      <c r="C33" s="6">
        <v>42713</v>
      </c>
      <c r="D33" s="5">
        <f t="shared" si="0"/>
        <v>12</v>
      </c>
      <c r="E33" s="5">
        <f t="shared" si="1"/>
        <v>50</v>
      </c>
      <c r="F33" s="61">
        <v>29.04</v>
      </c>
      <c r="G33" s="60">
        <v>55800</v>
      </c>
      <c r="H33" s="36">
        <f t="shared" si="2"/>
        <v>1620432</v>
      </c>
      <c r="I33" s="36">
        <v>0</v>
      </c>
      <c r="J33" s="60">
        <v>0</v>
      </c>
      <c r="K33" s="60">
        <v>0</v>
      </c>
      <c r="L33" s="60">
        <v>0</v>
      </c>
      <c r="M33" s="36">
        <f t="shared" si="3"/>
        <v>1620432</v>
      </c>
      <c r="N33" s="36">
        <v>0</v>
      </c>
      <c r="O33" s="60">
        <v>0</v>
      </c>
      <c r="P33" s="36">
        <f t="shared" si="4"/>
        <v>1620432</v>
      </c>
      <c r="Q33" s="61">
        <v>29.04</v>
      </c>
    </row>
    <row r="34" spans="1:17" x14ac:dyDescent="0.25">
      <c r="A34" s="5" t="s">
        <v>12</v>
      </c>
      <c r="B34" s="5" t="s">
        <v>13</v>
      </c>
      <c r="C34" s="6">
        <v>42713</v>
      </c>
      <c r="D34" s="5">
        <f t="shared" si="0"/>
        <v>12</v>
      </c>
      <c r="E34" s="5">
        <f t="shared" si="1"/>
        <v>50</v>
      </c>
      <c r="F34" s="61">
        <v>28.23</v>
      </c>
      <c r="G34" s="60">
        <v>48039.199999999997</v>
      </c>
      <c r="H34" s="36">
        <f t="shared" si="2"/>
        <v>1356146.6159999999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3"/>
        <v>1356146.6159999999</v>
      </c>
      <c r="N34" s="36">
        <f>M34*2%</f>
        <v>27122.93232</v>
      </c>
      <c r="O34" s="60">
        <v>0</v>
      </c>
      <c r="P34" s="36">
        <f t="shared" si="4"/>
        <v>1383269.5483199998</v>
      </c>
      <c r="Q34" s="61">
        <v>28.23</v>
      </c>
    </row>
    <row r="35" spans="1:17" x14ac:dyDescent="0.25">
      <c r="A35" s="5" t="s">
        <v>105</v>
      </c>
      <c r="B35" s="5" t="s">
        <v>15</v>
      </c>
      <c r="C35" s="6">
        <v>42713</v>
      </c>
      <c r="D35" s="5">
        <f t="shared" si="0"/>
        <v>12</v>
      </c>
      <c r="E35" s="5">
        <f t="shared" si="1"/>
        <v>50</v>
      </c>
      <c r="F35" s="61">
        <v>19.96</v>
      </c>
      <c r="G35" s="60">
        <v>56000</v>
      </c>
      <c r="H35" s="36">
        <f t="shared" si="2"/>
        <v>1117760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3"/>
        <v>1117760</v>
      </c>
      <c r="N35" s="36">
        <v>0</v>
      </c>
      <c r="O35" s="60">
        <v>0</v>
      </c>
      <c r="P35" s="36">
        <f t="shared" si="4"/>
        <v>1117760</v>
      </c>
      <c r="Q35" s="61">
        <v>19.96</v>
      </c>
    </row>
    <row r="36" spans="1:17" x14ac:dyDescent="0.25">
      <c r="A36" s="5" t="s">
        <v>14</v>
      </c>
      <c r="B36" s="5" t="s">
        <v>15</v>
      </c>
      <c r="C36" s="6">
        <v>42713</v>
      </c>
      <c r="D36" s="5">
        <f t="shared" si="0"/>
        <v>12</v>
      </c>
      <c r="E36" s="5">
        <f t="shared" si="1"/>
        <v>50</v>
      </c>
      <c r="F36" s="61">
        <v>26.61</v>
      </c>
      <c r="G36" s="60">
        <v>56000</v>
      </c>
      <c r="H36" s="36">
        <f t="shared" si="2"/>
        <v>1490160</v>
      </c>
      <c r="I36" s="36">
        <v>0</v>
      </c>
      <c r="J36" s="60">
        <v>0</v>
      </c>
      <c r="K36" s="60">
        <v>0</v>
      </c>
      <c r="L36" s="60">
        <v>0</v>
      </c>
      <c r="M36" s="36">
        <f t="shared" si="3"/>
        <v>1490160</v>
      </c>
      <c r="N36" s="36">
        <v>0</v>
      </c>
      <c r="O36" s="60">
        <v>0</v>
      </c>
      <c r="P36" s="36">
        <f t="shared" si="4"/>
        <v>1490160</v>
      </c>
      <c r="Q36" s="61">
        <v>26.61</v>
      </c>
    </row>
    <row r="37" spans="1:17" x14ac:dyDescent="0.25">
      <c r="A37" s="5" t="s">
        <v>12</v>
      </c>
      <c r="B37" s="5" t="s">
        <v>13</v>
      </c>
      <c r="C37" s="6">
        <v>42714</v>
      </c>
      <c r="D37" s="5">
        <f t="shared" si="0"/>
        <v>12</v>
      </c>
      <c r="E37" s="5">
        <f t="shared" si="1"/>
        <v>50</v>
      </c>
      <c r="F37" s="61">
        <v>27.93</v>
      </c>
      <c r="G37" s="60">
        <v>48039.199999999997</v>
      </c>
      <c r="H37" s="36">
        <f t="shared" si="2"/>
        <v>1341734.8559999999</v>
      </c>
      <c r="I37" s="36">
        <v>0</v>
      </c>
      <c r="J37" s="60">
        <v>0</v>
      </c>
      <c r="K37" s="60">
        <v>0</v>
      </c>
      <c r="L37" s="60">
        <v>0</v>
      </c>
      <c r="M37" s="36">
        <f t="shared" si="3"/>
        <v>1341734.8559999999</v>
      </c>
      <c r="N37" s="36">
        <f t="shared" ref="N37:N38" si="13">M37*2%</f>
        <v>26834.697119999997</v>
      </c>
      <c r="O37" s="60">
        <v>0</v>
      </c>
      <c r="P37" s="36">
        <f t="shared" si="4"/>
        <v>1368569.5531199998</v>
      </c>
      <c r="Q37" s="61">
        <v>27.93</v>
      </c>
    </row>
    <row r="38" spans="1:17" x14ac:dyDescent="0.25">
      <c r="A38" s="5" t="s">
        <v>12</v>
      </c>
      <c r="B38" s="5" t="s">
        <v>13</v>
      </c>
      <c r="C38" s="6">
        <v>42715</v>
      </c>
      <c r="D38" s="5">
        <f t="shared" si="0"/>
        <v>12</v>
      </c>
      <c r="E38" s="5">
        <f t="shared" si="1"/>
        <v>51</v>
      </c>
      <c r="F38" s="61">
        <v>28.11</v>
      </c>
      <c r="G38" s="60">
        <v>48039.199999999997</v>
      </c>
      <c r="H38" s="36">
        <f t="shared" si="2"/>
        <v>1350381.9119999998</v>
      </c>
      <c r="I38" s="36">
        <v>0</v>
      </c>
      <c r="J38" s="60">
        <v>0</v>
      </c>
      <c r="K38" s="60">
        <v>0</v>
      </c>
      <c r="L38" s="60">
        <v>0</v>
      </c>
      <c r="M38" s="36">
        <f t="shared" si="3"/>
        <v>1350381.9119999998</v>
      </c>
      <c r="N38" s="36">
        <f t="shared" si="13"/>
        <v>27007.638239999997</v>
      </c>
      <c r="O38" s="60">
        <v>0</v>
      </c>
      <c r="P38" s="36">
        <f t="shared" si="4"/>
        <v>1377389.5502399998</v>
      </c>
      <c r="Q38" s="61">
        <v>28.11</v>
      </c>
    </row>
    <row r="39" spans="1:17" x14ac:dyDescent="0.25">
      <c r="A39" s="5" t="s">
        <v>21</v>
      </c>
      <c r="B39" s="5" t="s">
        <v>15</v>
      </c>
      <c r="C39" s="6">
        <v>42715</v>
      </c>
      <c r="D39" s="5">
        <f t="shared" si="0"/>
        <v>12</v>
      </c>
      <c r="E39" s="5">
        <f t="shared" si="1"/>
        <v>51</v>
      </c>
      <c r="F39" s="61">
        <v>19.43</v>
      </c>
      <c r="G39" s="60">
        <v>55500</v>
      </c>
      <c r="H39" s="36">
        <f t="shared" si="2"/>
        <v>1078365</v>
      </c>
      <c r="I39" s="36">
        <v>0</v>
      </c>
      <c r="J39" s="60">
        <v>0</v>
      </c>
      <c r="K39" s="60">
        <v>0</v>
      </c>
      <c r="L39" s="60">
        <v>0</v>
      </c>
      <c r="M39" s="36">
        <f t="shared" si="3"/>
        <v>1078365</v>
      </c>
      <c r="N39" s="36">
        <v>0</v>
      </c>
      <c r="O39" s="60">
        <v>0</v>
      </c>
      <c r="P39" s="36">
        <f t="shared" si="4"/>
        <v>1078365</v>
      </c>
      <c r="Q39" s="61">
        <v>19.43</v>
      </c>
    </row>
    <row r="40" spans="1:17" x14ac:dyDescent="0.25">
      <c r="A40" s="5" t="s">
        <v>21</v>
      </c>
      <c r="B40" s="5" t="s">
        <v>15</v>
      </c>
      <c r="C40" s="6">
        <v>42716</v>
      </c>
      <c r="D40" s="5">
        <f t="shared" si="0"/>
        <v>12</v>
      </c>
      <c r="E40" s="5">
        <f t="shared" si="1"/>
        <v>51</v>
      </c>
      <c r="F40" s="61">
        <v>29.4</v>
      </c>
      <c r="G40" s="60">
        <v>55240.74</v>
      </c>
      <c r="H40" s="36">
        <f t="shared" si="2"/>
        <v>1624077.7559999998</v>
      </c>
      <c r="I40" s="36">
        <v>0</v>
      </c>
      <c r="J40" s="60">
        <v>0</v>
      </c>
      <c r="K40" s="60">
        <v>0</v>
      </c>
      <c r="L40" s="60">
        <v>0</v>
      </c>
      <c r="M40" s="36">
        <f t="shared" si="3"/>
        <v>1624077.7559999998</v>
      </c>
      <c r="N40" s="36">
        <v>0</v>
      </c>
      <c r="O40" s="60">
        <v>0</v>
      </c>
      <c r="P40" s="36">
        <f t="shared" si="4"/>
        <v>1624077.7559999998</v>
      </c>
      <c r="Q40" s="61">
        <v>29.4</v>
      </c>
    </row>
    <row r="41" spans="1:17" x14ac:dyDescent="0.25">
      <c r="A41" s="5" t="s">
        <v>33</v>
      </c>
      <c r="B41" s="5" t="s">
        <v>15</v>
      </c>
      <c r="C41" s="6">
        <v>42717</v>
      </c>
      <c r="D41" s="5">
        <f t="shared" si="0"/>
        <v>12</v>
      </c>
      <c r="E41" s="5">
        <f t="shared" si="1"/>
        <v>51</v>
      </c>
      <c r="F41" s="61">
        <v>28.89</v>
      </c>
      <c r="G41" s="60">
        <v>57774.25</v>
      </c>
      <c r="H41" s="36">
        <f t="shared" si="2"/>
        <v>1669098.0825</v>
      </c>
      <c r="I41" s="36">
        <v>0</v>
      </c>
      <c r="J41" s="60">
        <v>0</v>
      </c>
      <c r="K41" s="60">
        <v>0</v>
      </c>
      <c r="L41" s="60">
        <v>0</v>
      </c>
      <c r="M41" s="36">
        <f t="shared" si="3"/>
        <v>1669098.0825</v>
      </c>
      <c r="N41" s="36">
        <v>0</v>
      </c>
      <c r="O41" s="60">
        <v>0</v>
      </c>
      <c r="P41" s="36">
        <f t="shared" si="4"/>
        <v>1669098.0825</v>
      </c>
      <c r="Q41" s="61">
        <v>28.89</v>
      </c>
    </row>
    <row r="42" spans="1:17" x14ac:dyDescent="0.25">
      <c r="A42" s="5" t="s">
        <v>33</v>
      </c>
      <c r="B42" s="5" t="s">
        <v>15</v>
      </c>
      <c r="C42" s="6">
        <v>42717</v>
      </c>
      <c r="D42" s="5">
        <f t="shared" si="0"/>
        <v>12</v>
      </c>
      <c r="E42" s="5">
        <f t="shared" si="1"/>
        <v>51</v>
      </c>
      <c r="F42" s="61">
        <v>29.51</v>
      </c>
      <c r="G42" s="60">
        <v>57600</v>
      </c>
      <c r="H42" s="36">
        <f t="shared" si="2"/>
        <v>1699776</v>
      </c>
      <c r="I42" s="36">
        <v>0</v>
      </c>
      <c r="J42" s="60">
        <v>0</v>
      </c>
      <c r="K42" s="60">
        <v>0</v>
      </c>
      <c r="L42" s="60">
        <v>0</v>
      </c>
      <c r="M42" s="36">
        <f t="shared" si="3"/>
        <v>1699776</v>
      </c>
      <c r="N42" s="36">
        <v>0</v>
      </c>
      <c r="O42" s="60">
        <v>0</v>
      </c>
      <c r="P42" s="36">
        <f t="shared" si="4"/>
        <v>1699776</v>
      </c>
      <c r="Q42" s="61">
        <v>29.51</v>
      </c>
    </row>
    <row r="43" spans="1:17" x14ac:dyDescent="0.25">
      <c r="A43" s="5" t="s">
        <v>21</v>
      </c>
      <c r="B43" s="5" t="s">
        <v>15</v>
      </c>
      <c r="C43" s="6">
        <v>42717</v>
      </c>
      <c r="D43" s="5">
        <f t="shared" si="0"/>
        <v>12</v>
      </c>
      <c r="E43" s="5">
        <f t="shared" si="1"/>
        <v>51</v>
      </c>
      <c r="F43" s="61">
        <v>28.86</v>
      </c>
      <c r="G43" s="60">
        <v>55200</v>
      </c>
      <c r="H43" s="36">
        <f t="shared" si="2"/>
        <v>1593072</v>
      </c>
      <c r="I43" s="36">
        <v>0</v>
      </c>
      <c r="J43" s="60">
        <v>0</v>
      </c>
      <c r="K43" s="60">
        <v>0</v>
      </c>
      <c r="L43" s="60">
        <v>0</v>
      </c>
      <c r="M43" s="36">
        <f t="shared" si="3"/>
        <v>1593072</v>
      </c>
      <c r="N43" s="36">
        <v>0</v>
      </c>
      <c r="O43" s="60">
        <v>0</v>
      </c>
      <c r="P43" s="36">
        <f t="shared" si="4"/>
        <v>1593072</v>
      </c>
      <c r="Q43" s="61">
        <v>28.86</v>
      </c>
    </row>
    <row r="44" spans="1:17" x14ac:dyDescent="0.25">
      <c r="A44" s="5" t="s">
        <v>12</v>
      </c>
      <c r="B44" s="5" t="s">
        <v>13</v>
      </c>
      <c r="C44" s="6">
        <v>42718</v>
      </c>
      <c r="D44" s="5">
        <f t="shared" si="0"/>
        <v>12</v>
      </c>
      <c r="E44" s="5">
        <f t="shared" si="1"/>
        <v>51</v>
      </c>
      <c r="F44" s="61">
        <v>28.5</v>
      </c>
      <c r="G44" s="60">
        <v>48039.199999999997</v>
      </c>
      <c r="H44" s="36">
        <f t="shared" si="2"/>
        <v>1369117.2</v>
      </c>
      <c r="I44" s="36">
        <v>0</v>
      </c>
      <c r="J44" s="60">
        <v>0</v>
      </c>
      <c r="K44" s="60">
        <v>0</v>
      </c>
      <c r="L44" s="60">
        <v>0</v>
      </c>
      <c r="M44" s="36">
        <f t="shared" si="3"/>
        <v>1369117.2</v>
      </c>
      <c r="N44" s="36">
        <f>M44*2%</f>
        <v>27382.344000000001</v>
      </c>
      <c r="O44" s="60">
        <v>0</v>
      </c>
      <c r="P44" s="36">
        <f t="shared" si="4"/>
        <v>1396499.544</v>
      </c>
      <c r="Q44" s="61">
        <v>28.5</v>
      </c>
    </row>
    <row r="45" spans="1:17" x14ac:dyDescent="0.25">
      <c r="A45" s="5" t="s">
        <v>31</v>
      </c>
      <c r="B45" s="5" t="s">
        <v>15</v>
      </c>
      <c r="C45" s="6">
        <v>42718</v>
      </c>
      <c r="D45" s="5">
        <f t="shared" si="0"/>
        <v>12</v>
      </c>
      <c r="E45" s="5">
        <f t="shared" si="1"/>
        <v>51</v>
      </c>
      <c r="F45" s="61">
        <v>27.83</v>
      </c>
      <c r="G45" s="60">
        <v>55803.14</v>
      </c>
      <c r="H45" s="36">
        <f t="shared" si="2"/>
        <v>1553001.3861999998</v>
      </c>
      <c r="I45" s="36">
        <v>0</v>
      </c>
      <c r="J45" s="60">
        <v>0</v>
      </c>
      <c r="K45" s="60">
        <v>0</v>
      </c>
      <c r="L45" s="60">
        <v>0</v>
      </c>
      <c r="M45" s="36">
        <f t="shared" si="3"/>
        <v>1553001.3861999998</v>
      </c>
      <c r="N45" s="36">
        <v>0</v>
      </c>
      <c r="O45" s="60">
        <v>0</v>
      </c>
      <c r="P45" s="36">
        <f t="shared" si="4"/>
        <v>1553001.3861999998</v>
      </c>
      <c r="Q45" s="61">
        <v>27.83</v>
      </c>
    </row>
    <row r="46" spans="1:17" x14ac:dyDescent="0.25">
      <c r="A46" s="5" t="s">
        <v>24</v>
      </c>
      <c r="B46" s="5" t="s">
        <v>15</v>
      </c>
      <c r="C46" s="6">
        <v>42718</v>
      </c>
      <c r="D46" s="5">
        <f t="shared" si="0"/>
        <v>12</v>
      </c>
      <c r="E46" s="5">
        <f t="shared" si="1"/>
        <v>51</v>
      </c>
      <c r="F46" s="61">
        <v>26.92</v>
      </c>
      <c r="G46" s="60">
        <v>55455.67</v>
      </c>
      <c r="H46" s="36">
        <f t="shared" si="2"/>
        <v>1492866.6364</v>
      </c>
      <c r="I46" s="36">
        <v>0</v>
      </c>
      <c r="J46" s="60">
        <v>0</v>
      </c>
      <c r="K46" s="60">
        <v>0</v>
      </c>
      <c r="L46" s="60">
        <v>0</v>
      </c>
      <c r="M46" s="36">
        <f t="shared" si="3"/>
        <v>1492866.6364</v>
      </c>
      <c r="N46" s="36">
        <v>0</v>
      </c>
      <c r="O46" s="60">
        <v>0</v>
      </c>
      <c r="P46" s="36">
        <f t="shared" si="4"/>
        <v>1492866.6364</v>
      </c>
      <c r="Q46" s="61">
        <v>26.92</v>
      </c>
    </row>
    <row r="47" spans="1:17" x14ac:dyDescent="0.25">
      <c r="A47" s="5" t="s">
        <v>12</v>
      </c>
      <c r="B47" s="5" t="s">
        <v>13</v>
      </c>
      <c r="C47" s="6">
        <v>42718</v>
      </c>
      <c r="D47" s="5">
        <f t="shared" si="0"/>
        <v>12</v>
      </c>
      <c r="E47" s="5">
        <f t="shared" si="1"/>
        <v>51</v>
      </c>
      <c r="F47" s="61">
        <v>28.28</v>
      </c>
      <c r="G47" s="60">
        <v>48039.199999999997</v>
      </c>
      <c r="H47" s="36">
        <f t="shared" si="2"/>
        <v>1358548.5759999999</v>
      </c>
      <c r="I47" s="36">
        <v>0</v>
      </c>
      <c r="J47" s="60">
        <v>0</v>
      </c>
      <c r="K47" s="60">
        <v>0</v>
      </c>
      <c r="L47" s="60">
        <v>0</v>
      </c>
      <c r="M47" s="36">
        <f t="shared" si="3"/>
        <v>1358548.5759999999</v>
      </c>
      <c r="N47" s="36">
        <f>M47*2%</f>
        <v>27170.971519999999</v>
      </c>
      <c r="O47" s="60">
        <v>0</v>
      </c>
      <c r="P47" s="36">
        <f t="shared" si="4"/>
        <v>1385719.5475199998</v>
      </c>
      <c r="Q47" s="61">
        <v>28.28</v>
      </c>
    </row>
    <row r="48" spans="1:17" x14ac:dyDescent="0.25">
      <c r="A48" s="5" t="s">
        <v>158</v>
      </c>
      <c r="B48" s="5" t="s">
        <v>20</v>
      </c>
      <c r="C48" s="6">
        <v>42718</v>
      </c>
      <c r="D48" s="5">
        <f t="shared" si="0"/>
        <v>12</v>
      </c>
      <c r="E48" s="5">
        <f t="shared" si="1"/>
        <v>51</v>
      </c>
      <c r="F48" s="61">
        <v>25.22</v>
      </c>
      <c r="G48" s="60">
        <v>104902</v>
      </c>
      <c r="H48" s="36">
        <f t="shared" si="2"/>
        <v>2645628.44</v>
      </c>
      <c r="I48" s="36">
        <v>0</v>
      </c>
      <c r="J48" s="60">
        <v>0</v>
      </c>
      <c r="K48" s="60">
        <v>0</v>
      </c>
      <c r="L48" s="60">
        <v>0</v>
      </c>
      <c r="M48" s="36">
        <f t="shared" si="3"/>
        <v>2645628.44</v>
      </c>
      <c r="N48" s="36">
        <f>M48*2%</f>
        <v>52912.568800000001</v>
      </c>
      <c r="O48" s="60">
        <v>0</v>
      </c>
      <c r="P48" s="36">
        <f t="shared" si="4"/>
        <v>2698541.0088</v>
      </c>
      <c r="Q48" s="61">
        <v>25.22</v>
      </c>
    </row>
    <row r="49" spans="1:17" x14ac:dyDescent="0.25">
      <c r="A49" s="5" t="s">
        <v>100</v>
      </c>
      <c r="B49" s="5" t="s">
        <v>23</v>
      </c>
      <c r="C49" s="6">
        <v>42719</v>
      </c>
      <c r="D49" s="5">
        <f t="shared" si="0"/>
        <v>12</v>
      </c>
      <c r="E49" s="5">
        <f t="shared" si="1"/>
        <v>51</v>
      </c>
      <c r="F49" s="61">
        <v>20.239999999999998</v>
      </c>
      <c r="G49" s="60">
        <v>92156.800000000003</v>
      </c>
      <c r="H49" s="36">
        <f t="shared" si="2"/>
        <v>1865253.632</v>
      </c>
      <c r="I49" s="36">
        <v>0</v>
      </c>
      <c r="J49" s="60">
        <v>0</v>
      </c>
      <c r="K49" s="60">
        <v>0</v>
      </c>
      <c r="L49" s="60">
        <v>0</v>
      </c>
      <c r="M49" s="36">
        <f t="shared" si="3"/>
        <v>1865253.632</v>
      </c>
      <c r="N49" s="36">
        <f>M49*2%</f>
        <v>37305.072639999999</v>
      </c>
      <c r="O49" s="60">
        <v>0</v>
      </c>
      <c r="P49" s="36">
        <f t="shared" si="4"/>
        <v>1902558.7046399999</v>
      </c>
      <c r="Q49" s="61">
        <v>20.239999999999998</v>
      </c>
    </row>
    <row r="50" spans="1:17" x14ac:dyDescent="0.25">
      <c r="A50" s="5" t="s">
        <v>100</v>
      </c>
      <c r="B50" s="5" t="s">
        <v>23</v>
      </c>
      <c r="C50" s="6">
        <v>42719</v>
      </c>
      <c r="D50" s="5">
        <f t="shared" si="0"/>
        <v>12</v>
      </c>
      <c r="E50" s="5">
        <f t="shared" si="1"/>
        <v>51</v>
      </c>
      <c r="F50" s="61">
        <v>20.329999999999998</v>
      </c>
      <c r="G50" s="60">
        <v>92156.800000000003</v>
      </c>
      <c r="H50" s="36">
        <f t="shared" si="2"/>
        <v>1873547.7439999999</v>
      </c>
      <c r="I50" s="36">
        <v>0</v>
      </c>
      <c r="J50" s="60">
        <v>0</v>
      </c>
      <c r="K50" s="60">
        <v>0</v>
      </c>
      <c r="L50" s="60">
        <v>0</v>
      </c>
      <c r="M50" s="36">
        <f t="shared" si="3"/>
        <v>1873547.7439999999</v>
      </c>
      <c r="N50" s="36">
        <f>M50*2%</f>
        <v>37470.954879999998</v>
      </c>
      <c r="O50" s="60">
        <v>0</v>
      </c>
      <c r="P50" s="36">
        <f t="shared" si="4"/>
        <v>1911018.69888</v>
      </c>
      <c r="Q50" s="61">
        <v>20.329999999999998</v>
      </c>
    </row>
    <row r="51" spans="1:17" x14ac:dyDescent="0.25">
      <c r="A51" s="5" t="s">
        <v>159</v>
      </c>
      <c r="B51" s="5" t="s">
        <v>20</v>
      </c>
      <c r="C51" s="6">
        <v>42719</v>
      </c>
      <c r="D51" s="5">
        <f t="shared" si="0"/>
        <v>12</v>
      </c>
      <c r="E51" s="5">
        <f t="shared" si="1"/>
        <v>51</v>
      </c>
      <c r="F51" s="61">
        <v>19.82</v>
      </c>
      <c r="G51" s="60">
        <v>103921</v>
      </c>
      <c r="H51" s="36">
        <f t="shared" si="2"/>
        <v>2059714.22</v>
      </c>
      <c r="I51" s="36">
        <v>0</v>
      </c>
      <c r="J51" s="60">
        <v>0</v>
      </c>
      <c r="K51" s="60">
        <v>0</v>
      </c>
      <c r="L51" s="60">
        <v>0</v>
      </c>
      <c r="M51" s="36">
        <f t="shared" si="3"/>
        <v>2059714.22</v>
      </c>
      <c r="N51" s="36">
        <f t="shared" ref="N51:N52" si="14">M51*2%</f>
        <v>41194.284399999997</v>
      </c>
      <c r="O51" s="60">
        <v>0</v>
      </c>
      <c r="P51" s="36">
        <f t="shared" si="4"/>
        <v>2100908.5044</v>
      </c>
      <c r="Q51" s="61">
        <v>19.82</v>
      </c>
    </row>
    <row r="52" spans="1:17" x14ac:dyDescent="0.25">
      <c r="A52" s="5" t="s">
        <v>158</v>
      </c>
      <c r="B52" s="5" t="s">
        <v>20</v>
      </c>
      <c r="C52" s="6">
        <v>42720</v>
      </c>
      <c r="D52" s="5">
        <f t="shared" si="0"/>
        <v>12</v>
      </c>
      <c r="E52" s="5">
        <f t="shared" si="1"/>
        <v>51</v>
      </c>
      <c r="F52" s="61">
        <v>25.04</v>
      </c>
      <c r="G52" s="60">
        <v>104902</v>
      </c>
      <c r="H52" s="36">
        <f t="shared" si="2"/>
        <v>2626746.08</v>
      </c>
      <c r="I52" s="36">
        <v>0</v>
      </c>
      <c r="J52" s="60">
        <v>0</v>
      </c>
      <c r="K52" s="60">
        <v>0</v>
      </c>
      <c r="L52" s="60">
        <v>0</v>
      </c>
      <c r="M52" s="36">
        <f t="shared" si="3"/>
        <v>2626746.08</v>
      </c>
      <c r="N52" s="36">
        <f t="shared" si="14"/>
        <v>52534.921600000001</v>
      </c>
      <c r="O52" s="60">
        <v>0</v>
      </c>
      <c r="P52" s="36">
        <f t="shared" si="4"/>
        <v>2679281.0016000001</v>
      </c>
      <c r="Q52" s="61">
        <v>25.04</v>
      </c>
    </row>
    <row r="53" spans="1:17" x14ac:dyDescent="0.25">
      <c r="A53" s="5" t="s">
        <v>27</v>
      </c>
      <c r="B53" s="5" t="s">
        <v>18</v>
      </c>
      <c r="C53" s="6">
        <v>42720</v>
      </c>
      <c r="D53" s="5">
        <f t="shared" si="0"/>
        <v>12</v>
      </c>
      <c r="E53" s="5">
        <f t="shared" si="1"/>
        <v>51</v>
      </c>
      <c r="F53" s="61">
        <v>19.68</v>
      </c>
      <c r="G53" s="60">
        <v>57200</v>
      </c>
      <c r="H53" s="36">
        <f t="shared" si="2"/>
        <v>1125696</v>
      </c>
      <c r="I53" s="36">
        <v>0</v>
      </c>
      <c r="J53" s="60">
        <v>0</v>
      </c>
      <c r="K53" s="60">
        <v>0</v>
      </c>
      <c r="L53" s="60">
        <v>0</v>
      </c>
      <c r="M53" s="36">
        <f t="shared" si="3"/>
        <v>1125696</v>
      </c>
      <c r="N53" s="36">
        <v>0</v>
      </c>
      <c r="O53" s="60">
        <v>0</v>
      </c>
      <c r="P53" s="36">
        <f t="shared" si="4"/>
        <v>1125696</v>
      </c>
      <c r="Q53" s="61">
        <v>19.68</v>
      </c>
    </row>
    <row r="54" spans="1:17" x14ac:dyDescent="0.25">
      <c r="A54" s="5" t="s">
        <v>30</v>
      </c>
      <c r="B54" s="5" t="s">
        <v>15</v>
      </c>
      <c r="C54" s="6">
        <v>42720</v>
      </c>
      <c r="D54" s="5">
        <f t="shared" si="0"/>
        <v>12</v>
      </c>
      <c r="E54" s="5">
        <f t="shared" si="1"/>
        <v>51</v>
      </c>
      <c r="F54" s="61">
        <v>23.54</v>
      </c>
      <c r="G54" s="60">
        <v>56000</v>
      </c>
      <c r="H54" s="36">
        <f t="shared" si="2"/>
        <v>1318240</v>
      </c>
      <c r="I54" s="36">
        <v>0</v>
      </c>
      <c r="J54" s="60">
        <v>0</v>
      </c>
      <c r="K54" s="60">
        <v>0</v>
      </c>
      <c r="L54" s="60">
        <v>0</v>
      </c>
      <c r="M54" s="36">
        <f t="shared" si="3"/>
        <v>1318240</v>
      </c>
      <c r="N54" s="36">
        <v>0</v>
      </c>
      <c r="O54" s="60">
        <v>0</v>
      </c>
      <c r="P54" s="36">
        <f t="shared" si="4"/>
        <v>1318240</v>
      </c>
      <c r="Q54" s="61">
        <v>23.54</v>
      </c>
    </row>
    <row r="55" spans="1:17" x14ac:dyDescent="0.25">
      <c r="A55" s="5" t="s">
        <v>24</v>
      </c>
      <c r="B55" s="5" t="s">
        <v>15</v>
      </c>
      <c r="C55" s="6">
        <v>42720</v>
      </c>
      <c r="D55" s="5">
        <f t="shared" si="0"/>
        <v>12</v>
      </c>
      <c r="E55" s="5">
        <f t="shared" si="1"/>
        <v>51</v>
      </c>
      <c r="F55" s="61">
        <v>27.33</v>
      </c>
      <c r="G55" s="60">
        <v>55500</v>
      </c>
      <c r="H55" s="36">
        <f t="shared" si="2"/>
        <v>1516815</v>
      </c>
      <c r="I55" s="36">
        <v>0</v>
      </c>
      <c r="J55" s="60">
        <v>0</v>
      </c>
      <c r="K55" s="60">
        <v>0</v>
      </c>
      <c r="L55" s="60">
        <v>0</v>
      </c>
      <c r="M55" s="36">
        <f t="shared" si="3"/>
        <v>1516815</v>
      </c>
      <c r="N55" s="36">
        <v>0</v>
      </c>
      <c r="O55" s="60">
        <v>0</v>
      </c>
      <c r="P55" s="36">
        <f t="shared" si="4"/>
        <v>1516815</v>
      </c>
      <c r="Q55" s="61">
        <v>27.33</v>
      </c>
    </row>
    <row r="56" spans="1:17" x14ac:dyDescent="0.25">
      <c r="A56" s="5" t="s">
        <v>30</v>
      </c>
      <c r="B56" s="5" t="s">
        <v>15</v>
      </c>
      <c r="C56" s="6">
        <v>42733</v>
      </c>
      <c r="D56" s="5">
        <f t="shared" si="0"/>
        <v>12</v>
      </c>
      <c r="E56" s="5">
        <f t="shared" si="1"/>
        <v>53</v>
      </c>
      <c r="F56" s="61">
        <v>17.04</v>
      </c>
      <c r="G56" s="60">
        <v>55414.71</v>
      </c>
      <c r="H56" s="36">
        <f t="shared" si="2"/>
        <v>944266.65839999996</v>
      </c>
      <c r="I56" s="36">
        <v>0</v>
      </c>
      <c r="J56" s="60">
        <v>0</v>
      </c>
      <c r="K56" s="60">
        <v>0</v>
      </c>
      <c r="L56" s="60">
        <v>0</v>
      </c>
      <c r="M56" s="36">
        <f t="shared" si="3"/>
        <v>944266.65839999996</v>
      </c>
      <c r="N56" s="36">
        <v>0</v>
      </c>
      <c r="O56" s="60">
        <v>0</v>
      </c>
      <c r="P56" s="36">
        <f t="shared" si="4"/>
        <v>944266.65839999996</v>
      </c>
      <c r="Q56" s="61">
        <v>17.04</v>
      </c>
    </row>
    <row r="57" spans="1:17" x14ac:dyDescent="0.25">
      <c r="A57" s="5" t="s">
        <v>93</v>
      </c>
      <c r="B57" s="5" t="s">
        <v>20</v>
      </c>
      <c r="C57" s="6">
        <v>42720</v>
      </c>
      <c r="D57" s="5">
        <f t="shared" si="0"/>
        <v>12</v>
      </c>
      <c r="E57" s="5">
        <f t="shared" si="1"/>
        <v>51</v>
      </c>
      <c r="F57" s="61">
        <v>24.65</v>
      </c>
      <c r="G57" s="60">
        <v>107843.1</v>
      </c>
      <c r="H57" s="36">
        <f t="shared" si="2"/>
        <v>2658332.415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3"/>
        <v>2658332.415</v>
      </c>
      <c r="N57" s="36">
        <f t="shared" ref="N57:N64" si="15">M57*2%</f>
        <v>53166.648300000001</v>
      </c>
      <c r="O57" s="60">
        <v>0</v>
      </c>
      <c r="P57" s="36">
        <f t="shared" si="4"/>
        <v>2711499.0633</v>
      </c>
      <c r="Q57" s="61">
        <v>24.65</v>
      </c>
    </row>
    <row r="58" spans="1:17" x14ac:dyDescent="0.25">
      <c r="A58" s="5" t="s">
        <v>158</v>
      </c>
      <c r="B58" s="5" t="s">
        <v>20</v>
      </c>
      <c r="C58" s="6">
        <v>42721</v>
      </c>
      <c r="D58" s="5">
        <f t="shared" si="0"/>
        <v>12</v>
      </c>
      <c r="E58" s="5">
        <f t="shared" si="1"/>
        <v>51</v>
      </c>
      <c r="F58" s="61">
        <v>24.88</v>
      </c>
      <c r="G58" s="60">
        <v>104902</v>
      </c>
      <c r="H58" s="36">
        <f t="shared" si="2"/>
        <v>2609961.7599999998</v>
      </c>
      <c r="I58" s="36">
        <v>0</v>
      </c>
      <c r="J58" s="60">
        <v>0</v>
      </c>
      <c r="K58" s="60">
        <v>0</v>
      </c>
      <c r="L58" s="60">
        <v>0</v>
      </c>
      <c r="M58" s="36">
        <f t="shared" si="3"/>
        <v>2609961.7599999998</v>
      </c>
      <c r="N58" s="36">
        <f t="shared" si="15"/>
        <v>52199.235199999996</v>
      </c>
      <c r="O58" s="60">
        <v>0</v>
      </c>
      <c r="P58" s="36">
        <f t="shared" si="4"/>
        <v>2662160.9951999998</v>
      </c>
      <c r="Q58" s="61">
        <v>24.88</v>
      </c>
    </row>
    <row r="59" spans="1:17" x14ac:dyDescent="0.25">
      <c r="A59" s="5" t="s">
        <v>158</v>
      </c>
      <c r="B59" s="5" t="s">
        <v>20</v>
      </c>
      <c r="C59" s="6">
        <v>42721</v>
      </c>
      <c r="D59" s="5">
        <f t="shared" si="0"/>
        <v>12</v>
      </c>
      <c r="E59" s="5">
        <f t="shared" si="1"/>
        <v>51</v>
      </c>
      <c r="F59" s="61">
        <v>24.82</v>
      </c>
      <c r="G59" s="60">
        <v>104902</v>
      </c>
      <c r="H59" s="36">
        <f t="shared" si="2"/>
        <v>2603667.64</v>
      </c>
      <c r="I59" s="36">
        <v>0</v>
      </c>
      <c r="J59" s="60">
        <v>0</v>
      </c>
      <c r="K59" s="60">
        <v>0</v>
      </c>
      <c r="L59" s="60">
        <v>0</v>
      </c>
      <c r="M59" s="36">
        <f t="shared" si="3"/>
        <v>2603667.64</v>
      </c>
      <c r="N59" s="36">
        <f t="shared" si="15"/>
        <v>52073.352800000001</v>
      </c>
      <c r="O59" s="60">
        <v>0</v>
      </c>
      <c r="P59" s="36">
        <f t="shared" si="4"/>
        <v>2655740.9928000001</v>
      </c>
      <c r="Q59" s="61">
        <v>24.82</v>
      </c>
    </row>
    <row r="60" spans="1:17" x14ac:dyDescent="0.25">
      <c r="A60" s="5" t="s">
        <v>93</v>
      </c>
      <c r="B60" s="5" t="s">
        <v>20</v>
      </c>
      <c r="C60" s="6">
        <v>42721</v>
      </c>
      <c r="D60" s="5">
        <f t="shared" si="0"/>
        <v>12</v>
      </c>
      <c r="E60" s="5">
        <f t="shared" si="1"/>
        <v>51</v>
      </c>
      <c r="F60" s="61">
        <v>24.82</v>
      </c>
      <c r="G60" s="60">
        <v>107843.1</v>
      </c>
      <c r="H60" s="36">
        <f t="shared" si="2"/>
        <v>2676665.7420000001</v>
      </c>
      <c r="I60" s="36">
        <v>0</v>
      </c>
      <c r="J60" s="60">
        <v>0</v>
      </c>
      <c r="K60" s="60">
        <v>0</v>
      </c>
      <c r="L60" s="60">
        <v>0</v>
      </c>
      <c r="M60" s="36">
        <f t="shared" si="3"/>
        <v>2676665.7420000001</v>
      </c>
      <c r="N60" s="36">
        <f t="shared" si="15"/>
        <v>53533.314840000006</v>
      </c>
      <c r="O60" s="60">
        <v>0</v>
      </c>
      <c r="P60" s="36">
        <f t="shared" si="4"/>
        <v>2730199.0568400002</v>
      </c>
      <c r="Q60" s="61">
        <v>24.82</v>
      </c>
    </row>
    <row r="61" spans="1:17" x14ac:dyDescent="0.25">
      <c r="A61" s="5" t="s">
        <v>12</v>
      </c>
      <c r="B61" s="5" t="s">
        <v>13</v>
      </c>
      <c r="C61" s="6">
        <v>42722</v>
      </c>
      <c r="D61" s="5">
        <f t="shared" si="0"/>
        <v>12</v>
      </c>
      <c r="E61" s="5">
        <f t="shared" si="1"/>
        <v>52</v>
      </c>
      <c r="F61" s="61">
        <v>28.5</v>
      </c>
      <c r="G61" s="60">
        <v>48039.199999999997</v>
      </c>
      <c r="H61" s="36">
        <f t="shared" si="2"/>
        <v>1369117.2</v>
      </c>
      <c r="I61" s="36">
        <v>0</v>
      </c>
      <c r="J61" s="60">
        <v>0</v>
      </c>
      <c r="K61" s="60">
        <v>0</v>
      </c>
      <c r="L61" s="60">
        <v>0</v>
      </c>
      <c r="M61" s="36">
        <f t="shared" si="3"/>
        <v>1369117.2</v>
      </c>
      <c r="N61" s="36">
        <f t="shared" si="15"/>
        <v>27382.344000000001</v>
      </c>
      <c r="O61" s="60">
        <v>0</v>
      </c>
      <c r="P61" s="36">
        <f t="shared" si="4"/>
        <v>1396499.544</v>
      </c>
      <c r="Q61" s="61">
        <v>28.5</v>
      </c>
    </row>
    <row r="62" spans="1:17" x14ac:dyDescent="0.25">
      <c r="A62" s="5" t="s">
        <v>12</v>
      </c>
      <c r="B62" s="5" t="s">
        <v>13</v>
      </c>
      <c r="C62" s="6">
        <v>42723</v>
      </c>
      <c r="D62" s="5">
        <f t="shared" si="0"/>
        <v>12</v>
      </c>
      <c r="E62" s="5">
        <f t="shared" si="1"/>
        <v>52</v>
      </c>
      <c r="F62" s="61">
        <v>28.57</v>
      </c>
      <c r="G62" s="60">
        <v>48039.199999999997</v>
      </c>
      <c r="H62" s="36">
        <f t="shared" si="2"/>
        <v>1372479.9439999999</v>
      </c>
      <c r="I62" s="36">
        <v>0</v>
      </c>
      <c r="J62" s="60">
        <v>0</v>
      </c>
      <c r="K62" s="60">
        <v>0</v>
      </c>
      <c r="L62" s="60">
        <v>0</v>
      </c>
      <c r="M62" s="36">
        <f t="shared" si="3"/>
        <v>1372479.9439999999</v>
      </c>
      <c r="N62" s="36">
        <f t="shared" si="15"/>
        <v>27449.598879999998</v>
      </c>
      <c r="O62" s="60">
        <v>0</v>
      </c>
      <c r="P62" s="36">
        <f t="shared" si="4"/>
        <v>1399929.5428799998</v>
      </c>
      <c r="Q62" s="61">
        <v>28.57</v>
      </c>
    </row>
    <row r="63" spans="1:17" x14ac:dyDescent="0.25">
      <c r="A63" s="5" t="s">
        <v>100</v>
      </c>
      <c r="B63" s="5" t="s">
        <v>23</v>
      </c>
      <c r="C63" s="6">
        <v>42723</v>
      </c>
      <c r="D63" s="5">
        <f t="shared" si="0"/>
        <v>12</v>
      </c>
      <c r="E63" s="5">
        <f t="shared" si="1"/>
        <v>52</v>
      </c>
      <c r="F63" s="61">
        <v>30.22</v>
      </c>
      <c r="G63" s="60">
        <v>92156.800000000003</v>
      </c>
      <c r="H63" s="36">
        <f t="shared" si="2"/>
        <v>2784978.4959999998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3"/>
        <v>2784978.4959999998</v>
      </c>
      <c r="N63" s="36">
        <f t="shared" si="15"/>
        <v>55699.569919999994</v>
      </c>
      <c r="O63" s="60">
        <v>0</v>
      </c>
      <c r="P63" s="36">
        <f t="shared" si="4"/>
        <v>2840678.06592</v>
      </c>
      <c r="Q63" s="61">
        <v>30.22</v>
      </c>
    </row>
    <row r="64" spans="1:17" x14ac:dyDescent="0.25">
      <c r="A64" s="5" t="s">
        <v>100</v>
      </c>
      <c r="B64" s="5" t="s">
        <v>23</v>
      </c>
      <c r="C64" s="6">
        <v>42723</v>
      </c>
      <c r="D64" s="5">
        <f t="shared" si="0"/>
        <v>12</v>
      </c>
      <c r="E64" s="5">
        <f t="shared" si="1"/>
        <v>52</v>
      </c>
      <c r="F64" s="61">
        <v>30.2</v>
      </c>
      <c r="G64" s="60">
        <v>92156.800000000003</v>
      </c>
      <c r="H64" s="36">
        <f t="shared" si="2"/>
        <v>2783135.36</v>
      </c>
      <c r="I64" s="36">
        <v>0</v>
      </c>
      <c r="J64" s="60">
        <v>0</v>
      </c>
      <c r="K64" s="60">
        <v>0</v>
      </c>
      <c r="L64" s="60">
        <v>0</v>
      </c>
      <c r="M64" s="36">
        <f t="shared" si="3"/>
        <v>2783135.36</v>
      </c>
      <c r="N64" s="36">
        <f t="shared" si="15"/>
        <v>55662.707199999997</v>
      </c>
      <c r="O64" s="60">
        <v>0</v>
      </c>
      <c r="P64" s="36">
        <f t="shared" si="4"/>
        <v>2838798.0671999999</v>
      </c>
      <c r="Q64" s="61">
        <v>30.2</v>
      </c>
    </row>
    <row r="65" spans="1:17" x14ac:dyDescent="0.25">
      <c r="A65" s="5" t="s">
        <v>160</v>
      </c>
      <c r="B65" s="5" t="s">
        <v>20</v>
      </c>
      <c r="C65" s="6">
        <v>42724</v>
      </c>
      <c r="D65" s="5">
        <f t="shared" si="0"/>
        <v>12</v>
      </c>
      <c r="E65" s="5">
        <f t="shared" si="1"/>
        <v>52</v>
      </c>
      <c r="F65" s="61">
        <v>19.579999999999998</v>
      </c>
      <c r="G65" s="60">
        <v>103930</v>
      </c>
      <c r="H65" s="36">
        <f t="shared" si="2"/>
        <v>2034949.4</v>
      </c>
      <c r="I65" s="36">
        <v>0</v>
      </c>
      <c r="J65" s="60">
        <v>0</v>
      </c>
      <c r="K65" s="60">
        <v>0</v>
      </c>
      <c r="L65" s="60">
        <v>0</v>
      </c>
      <c r="M65" s="36">
        <f t="shared" si="3"/>
        <v>2034949.4</v>
      </c>
      <c r="N65" s="36">
        <f>M65*2%</f>
        <v>40698.987999999998</v>
      </c>
      <c r="O65" s="60">
        <v>0</v>
      </c>
      <c r="P65" s="36">
        <f t="shared" si="4"/>
        <v>2075648.3879999998</v>
      </c>
      <c r="Q65" s="61">
        <v>19.61</v>
      </c>
    </row>
    <row r="66" spans="1:17" x14ac:dyDescent="0.25">
      <c r="A66" s="5" t="s">
        <v>31</v>
      </c>
      <c r="B66" s="5" t="s">
        <v>15</v>
      </c>
      <c r="C66" s="6">
        <v>42725</v>
      </c>
      <c r="D66" s="5">
        <f t="shared" si="0"/>
        <v>12</v>
      </c>
      <c r="E66" s="5">
        <f t="shared" si="1"/>
        <v>52</v>
      </c>
      <c r="F66" s="61">
        <v>27.86</v>
      </c>
      <c r="G66" s="60">
        <v>55457.81</v>
      </c>
      <c r="H66" s="36">
        <f t="shared" si="2"/>
        <v>1545054.5865999998</v>
      </c>
      <c r="I66" s="36">
        <v>0</v>
      </c>
      <c r="J66" s="60">
        <v>0</v>
      </c>
      <c r="K66" s="60">
        <v>0</v>
      </c>
      <c r="L66" s="60">
        <v>0</v>
      </c>
      <c r="M66" s="36">
        <f t="shared" si="3"/>
        <v>1545054.5865999998</v>
      </c>
      <c r="N66" s="36">
        <v>0</v>
      </c>
      <c r="O66" s="60">
        <v>0</v>
      </c>
      <c r="P66" s="36">
        <f t="shared" si="4"/>
        <v>1545054.5865999998</v>
      </c>
      <c r="Q66" s="61">
        <v>27.86</v>
      </c>
    </row>
    <row r="67" spans="1:17" x14ac:dyDescent="0.25">
      <c r="A67" s="5" t="s">
        <v>24</v>
      </c>
      <c r="B67" s="5" t="s">
        <v>15</v>
      </c>
      <c r="C67" s="6">
        <v>42725</v>
      </c>
      <c r="D67" s="5">
        <f t="shared" ref="D67:D90" si="16">MONTH(C67)</f>
        <v>12</v>
      </c>
      <c r="E67" s="5">
        <f t="shared" ref="E67:E90" si="17">WEEKNUM(C67)</f>
        <v>52</v>
      </c>
      <c r="F67" s="61">
        <v>31.92</v>
      </c>
      <c r="G67" s="60">
        <v>55200</v>
      </c>
      <c r="H67" s="36">
        <f t="shared" ref="H67:H90" si="18">F67*G67</f>
        <v>1761984</v>
      </c>
      <c r="I67" s="36">
        <v>0</v>
      </c>
      <c r="J67" s="60">
        <v>0</v>
      </c>
      <c r="K67" s="60">
        <v>0</v>
      </c>
      <c r="L67" s="60">
        <v>0</v>
      </c>
      <c r="M67" s="36">
        <f t="shared" ref="M67:M90" si="19">SUM(H67:L67)</f>
        <v>1761984</v>
      </c>
      <c r="N67" s="36">
        <v>0</v>
      </c>
      <c r="O67" s="60">
        <v>0</v>
      </c>
      <c r="P67" s="36">
        <f t="shared" ref="P67:P90" si="20">SUM(M67:O67)</f>
        <v>1761984</v>
      </c>
      <c r="Q67" s="61">
        <v>31.92</v>
      </c>
    </row>
    <row r="68" spans="1:17" x14ac:dyDescent="0.25">
      <c r="A68" s="5" t="s">
        <v>24</v>
      </c>
      <c r="B68" s="5" t="s">
        <v>15</v>
      </c>
      <c r="C68" s="6">
        <v>42725</v>
      </c>
      <c r="D68" s="5">
        <f t="shared" si="16"/>
        <v>12</v>
      </c>
      <c r="E68" s="5">
        <f t="shared" si="17"/>
        <v>52</v>
      </c>
      <c r="F68" s="61">
        <v>31.5</v>
      </c>
      <c r="G68" s="60">
        <v>56000</v>
      </c>
      <c r="H68" s="36">
        <f t="shared" si="18"/>
        <v>1764000</v>
      </c>
      <c r="I68" s="36">
        <v>0</v>
      </c>
      <c r="J68" s="60">
        <v>0</v>
      </c>
      <c r="K68" s="60">
        <v>0</v>
      </c>
      <c r="L68" s="60">
        <v>0</v>
      </c>
      <c r="M68" s="36">
        <f t="shared" si="19"/>
        <v>1764000</v>
      </c>
      <c r="N68" s="36">
        <v>0</v>
      </c>
      <c r="O68" s="60">
        <v>0</v>
      </c>
      <c r="P68" s="36">
        <f t="shared" si="20"/>
        <v>1764000</v>
      </c>
      <c r="Q68" s="61">
        <v>31.5</v>
      </c>
    </row>
    <row r="69" spans="1:17" x14ac:dyDescent="0.25">
      <c r="A69" s="5" t="s">
        <v>24</v>
      </c>
      <c r="B69" s="5" t="s">
        <v>15</v>
      </c>
      <c r="C69" s="6">
        <v>42725</v>
      </c>
      <c r="D69" s="5">
        <f t="shared" si="16"/>
        <v>12</v>
      </c>
      <c r="E69" s="5">
        <f t="shared" si="17"/>
        <v>52</v>
      </c>
      <c r="F69" s="61">
        <v>17.79</v>
      </c>
      <c r="G69" s="60">
        <v>55416.06</v>
      </c>
      <c r="H69" s="36">
        <f t="shared" si="18"/>
        <v>985851.70739999996</v>
      </c>
      <c r="I69" s="36">
        <v>0</v>
      </c>
      <c r="J69" s="60">
        <v>0</v>
      </c>
      <c r="K69" s="60">
        <v>0</v>
      </c>
      <c r="L69" s="60">
        <v>0</v>
      </c>
      <c r="M69" s="36">
        <f t="shared" si="19"/>
        <v>985851.70739999996</v>
      </c>
      <c r="N69" s="36">
        <v>0</v>
      </c>
      <c r="O69" s="60">
        <v>0</v>
      </c>
      <c r="P69" s="36">
        <f t="shared" si="20"/>
        <v>985851.70739999996</v>
      </c>
      <c r="Q69" s="61">
        <v>17.79</v>
      </c>
    </row>
    <row r="70" spans="1:17" x14ac:dyDescent="0.25">
      <c r="A70" s="5" t="s">
        <v>31</v>
      </c>
      <c r="B70" s="5" t="s">
        <v>15</v>
      </c>
      <c r="C70" s="6">
        <v>42726</v>
      </c>
      <c r="D70" s="5">
        <f t="shared" si="16"/>
        <v>12</v>
      </c>
      <c r="E70" s="5">
        <f t="shared" si="17"/>
        <v>52</v>
      </c>
      <c r="F70" s="61">
        <v>22.65</v>
      </c>
      <c r="G70" s="60">
        <v>55400</v>
      </c>
      <c r="H70" s="36">
        <f t="shared" si="18"/>
        <v>1254810</v>
      </c>
      <c r="I70" s="36">
        <v>0</v>
      </c>
      <c r="J70" s="60">
        <v>0</v>
      </c>
      <c r="K70" s="60">
        <v>0</v>
      </c>
      <c r="L70" s="60">
        <v>0</v>
      </c>
      <c r="M70" s="36">
        <f t="shared" si="19"/>
        <v>1254810</v>
      </c>
      <c r="N70" s="36">
        <v>0</v>
      </c>
      <c r="O70" s="60">
        <v>0</v>
      </c>
      <c r="P70" s="36">
        <f t="shared" si="20"/>
        <v>1254810</v>
      </c>
      <c r="Q70" s="61">
        <v>22.65</v>
      </c>
    </row>
    <row r="71" spans="1:17" x14ac:dyDescent="0.25">
      <c r="A71" s="5" t="s">
        <v>16</v>
      </c>
      <c r="B71" s="5" t="s">
        <v>15</v>
      </c>
      <c r="C71" s="6">
        <v>42726</v>
      </c>
      <c r="D71" s="5">
        <f t="shared" si="16"/>
        <v>12</v>
      </c>
      <c r="E71" s="5">
        <f t="shared" si="17"/>
        <v>52</v>
      </c>
      <c r="F71" s="61">
        <v>26.56</v>
      </c>
      <c r="G71" s="60">
        <v>56608.41</v>
      </c>
      <c r="H71" s="36">
        <f t="shared" si="18"/>
        <v>1503519.3696000001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9"/>
        <v>1503519.3696000001</v>
      </c>
      <c r="N71" s="36">
        <v>0</v>
      </c>
      <c r="O71" s="60">
        <v>0</v>
      </c>
      <c r="P71" s="36">
        <f t="shared" si="20"/>
        <v>1503519.3696000001</v>
      </c>
      <c r="Q71" s="61">
        <v>26.56</v>
      </c>
    </row>
    <row r="72" spans="1:17" x14ac:dyDescent="0.25">
      <c r="A72" s="5" t="s">
        <v>31</v>
      </c>
      <c r="B72" s="5" t="s">
        <v>15</v>
      </c>
      <c r="C72" s="6">
        <v>42726</v>
      </c>
      <c r="D72" s="5">
        <f t="shared" si="16"/>
        <v>12</v>
      </c>
      <c r="E72" s="5">
        <f t="shared" si="17"/>
        <v>52</v>
      </c>
      <c r="F72" s="61">
        <v>20.32</v>
      </c>
      <c r="G72" s="60">
        <v>55400</v>
      </c>
      <c r="H72" s="36">
        <f t="shared" si="18"/>
        <v>1125728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9"/>
        <v>1125728</v>
      </c>
      <c r="N72" s="36">
        <v>0</v>
      </c>
      <c r="O72" s="60">
        <v>0</v>
      </c>
      <c r="P72" s="36">
        <f t="shared" si="20"/>
        <v>1125728</v>
      </c>
      <c r="Q72" s="61">
        <v>20.32</v>
      </c>
    </row>
    <row r="73" spans="1:17" x14ac:dyDescent="0.25">
      <c r="A73" s="5" t="s">
        <v>33</v>
      </c>
      <c r="B73" s="5" t="s">
        <v>15</v>
      </c>
      <c r="C73" s="6">
        <v>42726</v>
      </c>
      <c r="D73" s="5">
        <f t="shared" si="16"/>
        <v>12</v>
      </c>
      <c r="E73" s="5">
        <f t="shared" si="17"/>
        <v>52</v>
      </c>
      <c r="F73" s="61">
        <v>27.9</v>
      </c>
      <c r="G73" s="60">
        <v>55500</v>
      </c>
      <c r="H73" s="36">
        <f t="shared" si="18"/>
        <v>1548450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9"/>
        <v>1548450</v>
      </c>
      <c r="N73" s="36">
        <v>0</v>
      </c>
      <c r="O73" s="60">
        <v>0</v>
      </c>
      <c r="P73" s="36">
        <f t="shared" si="20"/>
        <v>1548450</v>
      </c>
      <c r="Q73" s="61">
        <v>27.9</v>
      </c>
    </row>
    <row r="74" spans="1:17" x14ac:dyDescent="0.25">
      <c r="A74" s="5" t="s">
        <v>93</v>
      </c>
      <c r="B74" s="5" t="s">
        <v>20</v>
      </c>
      <c r="C74" s="6">
        <v>42727</v>
      </c>
      <c r="D74" s="5">
        <f t="shared" si="16"/>
        <v>12</v>
      </c>
      <c r="E74" s="5">
        <f t="shared" si="17"/>
        <v>52</v>
      </c>
      <c r="F74" s="61">
        <v>24.03</v>
      </c>
      <c r="G74" s="60">
        <v>107843.1</v>
      </c>
      <c r="H74" s="36">
        <f t="shared" si="18"/>
        <v>2591469.6930000004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9"/>
        <v>2591469.6930000004</v>
      </c>
      <c r="N74" s="36">
        <f>M74*2%</f>
        <v>51829.393860000011</v>
      </c>
      <c r="O74" s="60">
        <v>0</v>
      </c>
      <c r="P74" s="36">
        <f t="shared" si="20"/>
        <v>2643299.0868600006</v>
      </c>
      <c r="Q74" s="61">
        <v>24.03</v>
      </c>
    </row>
    <row r="75" spans="1:17" x14ac:dyDescent="0.25">
      <c r="A75" s="5" t="s">
        <v>31</v>
      </c>
      <c r="B75" s="5" t="s">
        <v>15</v>
      </c>
      <c r="C75" s="6">
        <v>42728</v>
      </c>
      <c r="D75" s="5">
        <f t="shared" si="16"/>
        <v>12</v>
      </c>
      <c r="E75" s="5">
        <f t="shared" si="17"/>
        <v>52</v>
      </c>
      <c r="F75" s="61">
        <v>20.32</v>
      </c>
      <c r="G75" s="60">
        <v>55203.63</v>
      </c>
      <c r="H75" s="36">
        <f t="shared" si="18"/>
        <v>1121737.7615999999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9"/>
        <v>1121737.7615999999</v>
      </c>
      <c r="N75" s="36">
        <v>0</v>
      </c>
      <c r="O75" s="60">
        <v>0</v>
      </c>
      <c r="P75" s="36">
        <f t="shared" si="20"/>
        <v>1121737.7615999999</v>
      </c>
      <c r="Q75" s="61">
        <v>20.32</v>
      </c>
    </row>
    <row r="76" spans="1:17" x14ac:dyDescent="0.25">
      <c r="A76" s="5" t="s">
        <v>30</v>
      </c>
      <c r="B76" s="5" t="s">
        <v>15</v>
      </c>
      <c r="C76" s="6">
        <v>42728</v>
      </c>
      <c r="D76" s="5">
        <f t="shared" si="16"/>
        <v>12</v>
      </c>
      <c r="E76" s="5">
        <f t="shared" si="17"/>
        <v>52</v>
      </c>
      <c r="F76" s="61">
        <v>30.54</v>
      </c>
      <c r="G76" s="60">
        <v>55500</v>
      </c>
      <c r="H76" s="36">
        <f t="shared" si="18"/>
        <v>1694970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9"/>
        <v>1694970</v>
      </c>
      <c r="N76" s="36">
        <v>0</v>
      </c>
      <c r="O76" s="60">
        <v>0</v>
      </c>
      <c r="P76" s="36">
        <f t="shared" si="20"/>
        <v>1694970</v>
      </c>
      <c r="Q76" s="61">
        <v>30.54</v>
      </c>
    </row>
    <row r="77" spans="1:17" x14ac:dyDescent="0.25">
      <c r="A77" s="5" t="s">
        <v>30</v>
      </c>
      <c r="B77" s="5" t="s">
        <v>15</v>
      </c>
      <c r="C77" s="6">
        <v>42730</v>
      </c>
      <c r="D77" s="5">
        <f t="shared" si="16"/>
        <v>12</v>
      </c>
      <c r="E77" s="5">
        <f t="shared" si="17"/>
        <v>53</v>
      </c>
      <c r="F77" s="61">
        <v>23.92</v>
      </c>
      <c r="G77" s="60">
        <v>55500</v>
      </c>
      <c r="H77" s="36">
        <f t="shared" si="18"/>
        <v>1327560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9"/>
        <v>1327560</v>
      </c>
      <c r="N77" s="36">
        <v>0</v>
      </c>
      <c r="O77" s="60">
        <v>0</v>
      </c>
      <c r="P77" s="36">
        <f t="shared" si="20"/>
        <v>1327560</v>
      </c>
      <c r="Q77" s="61">
        <v>23.92</v>
      </c>
    </row>
    <row r="78" spans="1:17" x14ac:dyDescent="0.25">
      <c r="A78" s="5" t="s">
        <v>93</v>
      </c>
      <c r="B78" s="5" t="s">
        <v>20</v>
      </c>
      <c r="C78" s="6">
        <v>42728</v>
      </c>
      <c r="D78" s="5">
        <f t="shared" si="16"/>
        <v>12</v>
      </c>
      <c r="E78" s="5">
        <f t="shared" si="17"/>
        <v>52</v>
      </c>
      <c r="F78" s="61">
        <v>24.71</v>
      </c>
      <c r="G78" s="60">
        <v>107843.1</v>
      </c>
      <c r="H78" s="36">
        <f t="shared" si="18"/>
        <v>2664803.0010000002</v>
      </c>
      <c r="I78" s="36">
        <v>0</v>
      </c>
      <c r="J78" s="60">
        <v>0</v>
      </c>
      <c r="K78" s="60">
        <v>0</v>
      </c>
      <c r="L78" s="60">
        <v>0</v>
      </c>
      <c r="M78" s="36">
        <f t="shared" si="19"/>
        <v>2664803.0010000002</v>
      </c>
      <c r="N78" s="36">
        <f t="shared" ref="N78:N79" si="21">M78*2%</f>
        <v>53296.060020000004</v>
      </c>
      <c r="O78" s="60">
        <v>0</v>
      </c>
      <c r="P78" s="36">
        <f t="shared" si="20"/>
        <v>2718099.0610200004</v>
      </c>
      <c r="Q78" s="61">
        <v>24.71</v>
      </c>
    </row>
    <row r="79" spans="1:17" x14ac:dyDescent="0.25">
      <c r="A79" s="5" t="s">
        <v>159</v>
      </c>
      <c r="B79" s="5" t="s">
        <v>20</v>
      </c>
      <c r="C79" s="6">
        <v>42729</v>
      </c>
      <c r="D79" s="5">
        <f t="shared" si="16"/>
        <v>12</v>
      </c>
      <c r="E79" s="5">
        <f t="shared" si="17"/>
        <v>53</v>
      </c>
      <c r="F79" s="61">
        <v>19.84</v>
      </c>
      <c r="G79" s="60">
        <v>107843</v>
      </c>
      <c r="H79" s="36">
        <f t="shared" si="18"/>
        <v>2139605.12</v>
      </c>
      <c r="I79" s="36">
        <v>0</v>
      </c>
      <c r="J79" s="60">
        <v>0</v>
      </c>
      <c r="K79" s="60">
        <v>0</v>
      </c>
      <c r="L79" s="60">
        <v>0</v>
      </c>
      <c r="M79" s="36">
        <f t="shared" si="19"/>
        <v>2139605.12</v>
      </c>
      <c r="N79" s="36">
        <f t="shared" si="21"/>
        <v>42792.102400000003</v>
      </c>
      <c r="O79" s="60">
        <v>0</v>
      </c>
      <c r="P79" s="36">
        <f t="shared" si="20"/>
        <v>2182397.2224000003</v>
      </c>
      <c r="Q79" s="61">
        <v>19.84</v>
      </c>
    </row>
    <row r="80" spans="1:17" x14ac:dyDescent="0.25">
      <c r="A80" s="5" t="s">
        <v>30</v>
      </c>
      <c r="B80" s="5" t="s">
        <v>15</v>
      </c>
      <c r="C80" s="6">
        <v>42730</v>
      </c>
      <c r="D80" s="5">
        <f t="shared" si="16"/>
        <v>12</v>
      </c>
      <c r="E80" s="5">
        <f t="shared" si="17"/>
        <v>53</v>
      </c>
      <c r="F80" s="61">
        <v>34.21</v>
      </c>
      <c r="G80" s="60">
        <v>55400</v>
      </c>
      <c r="H80" s="36">
        <f t="shared" si="18"/>
        <v>1895234</v>
      </c>
      <c r="I80" s="36">
        <v>0</v>
      </c>
      <c r="J80" s="60">
        <v>0</v>
      </c>
      <c r="K80" s="60">
        <v>0</v>
      </c>
      <c r="L80" s="60">
        <v>0</v>
      </c>
      <c r="M80" s="36">
        <f t="shared" si="19"/>
        <v>1895234</v>
      </c>
      <c r="N80" s="36">
        <v>0</v>
      </c>
      <c r="O80" s="60">
        <v>0</v>
      </c>
      <c r="P80" s="36">
        <f t="shared" si="20"/>
        <v>1895234</v>
      </c>
      <c r="Q80" s="61">
        <v>34.21</v>
      </c>
    </row>
    <row r="81" spans="1:17" x14ac:dyDescent="0.25">
      <c r="A81" s="5" t="s">
        <v>33</v>
      </c>
      <c r="B81" s="5" t="s">
        <v>15</v>
      </c>
      <c r="C81" s="6">
        <v>42733</v>
      </c>
      <c r="D81" s="5">
        <f t="shared" si="16"/>
        <v>12</v>
      </c>
      <c r="E81" s="5">
        <f t="shared" si="17"/>
        <v>53</v>
      </c>
      <c r="F81" s="61">
        <v>27.83</v>
      </c>
      <c r="G81" s="60">
        <v>55500</v>
      </c>
      <c r="H81" s="36">
        <f t="shared" si="18"/>
        <v>1544565</v>
      </c>
      <c r="I81" s="36">
        <v>0</v>
      </c>
      <c r="J81" s="60">
        <v>0</v>
      </c>
      <c r="K81" s="60">
        <v>0</v>
      </c>
      <c r="L81" s="60">
        <v>0</v>
      </c>
      <c r="M81" s="36">
        <f t="shared" si="19"/>
        <v>1544565</v>
      </c>
      <c r="N81" s="36">
        <v>0</v>
      </c>
      <c r="O81" s="60">
        <v>0</v>
      </c>
      <c r="P81" s="36">
        <f t="shared" si="20"/>
        <v>1544565</v>
      </c>
      <c r="Q81" s="61">
        <v>27.83</v>
      </c>
    </row>
    <row r="82" spans="1:17" x14ac:dyDescent="0.25">
      <c r="A82" s="5" t="s">
        <v>161</v>
      </c>
      <c r="B82" s="5" t="s">
        <v>20</v>
      </c>
      <c r="C82" s="6">
        <v>42733</v>
      </c>
      <c r="D82" s="5">
        <f t="shared" si="16"/>
        <v>12</v>
      </c>
      <c r="E82" s="5">
        <f t="shared" si="17"/>
        <v>53</v>
      </c>
      <c r="F82" s="61">
        <v>20.350000000000001</v>
      </c>
      <c r="G82" s="60">
        <v>103921.5</v>
      </c>
      <c r="H82" s="36">
        <f t="shared" si="18"/>
        <v>2114802.5250000004</v>
      </c>
      <c r="I82" s="36">
        <v>0</v>
      </c>
      <c r="J82" s="60">
        <v>0</v>
      </c>
      <c r="K82" s="60">
        <v>0</v>
      </c>
      <c r="L82" s="60">
        <v>0</v>
      </c>
      <c r="M82" s="36">
        <f t="shared" si="19"/>
        <v>2114802.5250000004</v>
      </c>
      <c r="N82" s="36">
        <f t="shared" ref="N82:N83" si="22">M82*2%</f>
        <v>42296.050500000005</v>
      </c>
      <c r="O82" s="60">
        <v>0</v>
      </c>
      <c r="P82" s="36">
        <f t="shared" si="20"/>
        <v>2157098.5755000003</v>
      </c>
      <c r="Q82" s="61">
        <v>20.350000000000001</v>
      </c>
    </row>
    <row r="83" spans="1:17" x14ac:dyDescent="0.25">
      <c r="A83" s="5" t="s">
        <v>161</v>
      </c>
      <c r="B83" s="5" t="s">
        <v>20</v>
      </c>
      <c r="C83" s="6">
        <v>42733</v>
      </c>
      <c r="D83" s="5">
        <f t="shared" si="16"/>
        <v>12</v>
      </c>
      <c r="E83" s="5">
        <f t="shared" si="17"/>
        <v>53</v>
      </c>
      <c r="F83" s="61">
        <v>23.01</v>
      </c>
      <c r="G83" s="60">
        <v>103921.55</v>
      </c>
      <c r="H83" s="36">
        <f t="shared" si="18"/>
        <v>2391234.8655000003</v>
      </c>
      <c r="I83" s="36">
        <v>0</v>
      </c>
      <c r="J83" s="60">
        <v>0</v>
      </c>
      <c r="K83" s="60">
        <v>0</v>
      </c>
      <c r="L83" s="60">
        <v>0</v>
      </c>
      <c r="M83" s="36">
        <f t="shared" si="19"/>
        <v>2391234.8655000003</v>
      </c>
      <c r="N83" s="36">
        <f t="shared" si="22"/>
        <v>47824.69731000001</v>
      </c>
      <c r="O83" s="60">
        <v>0</v>
      </c>
      <c r="P83" s="36">
        <f t="shared" si="20"/>
        <v>2439059.5628100005</v>
      </c>
      <c r="Q83" s="61">
        <v>23.01</v>
      </c>
    </row>
    <row r="84" spans="1:17" x14ac:dyDescent="0.25">
      <c r="A84" s="5" t="s">
        <v>30</v>
      </c>
      <c r="B84" s="5" t="s">
        <v>15</v>
      </c>
      <c r="C84" s="6">
        <v>42733</v>
      </c>
      <c r="D84" s="5">
        <f t="shared" si="16"/>
        <v>12</v>
      </c>
      <c r="E84" s="5">
        <f t="shared" si="17"/>
        <v>53</v>
      </c>
      <c r="F84" s="61">
        <v>29.2</v>
      </c>
      <c r="G84" s="60">
        <v>55414.71</v>
      </c>
      <c r="H84" s="36">
        <f t="shared" si="18"/>
        <v>1618109.5319999999</v>
      </c>
      <c r="I84" s="36">
        <v>0</v>
      </c>
      <c r="J84" s="60">
        <v>0</v>
      </c>
      <c r="K84" s="60">
        <v>0</v>
      </c>
      <c r="L84" s="60">
        <v>0</v>
      </c>
      <c r="M84" s="36">
        <f t="shared" si="19"/>
        <v>1618109.5319999999</v>
      </c>
      <c r="N84" s="36">
        <v>0</v>
      </c>
      <c r="O84" s="60">
        <v>0</v>
      </c>
      <c r="P84" s="36">
        <f t="shared" si="20"/>
        <v>1618109.5319999999</v>
      </c>
      <c r="Q84" s="61">
        <v>29.2</v>
      </c>
    </row>
    <row r="85" spans="1:17" x14ac:dyDescent="0.25">
      <c r="A85" s="5" t="s">
        <v>105</v>
      </c>
      <c r="B85" s="5" t="s">
        <v>18</v>
      </c>
      <c r="C85" s="6">
        <v>42711</v>
      </c>
      <c r="D85" s="5">
        <f t="shared" si="16"/>
        <v>12</v>
      </c>
      <c r="E85" s="5">
        <f t="shared" si="17"/>
        <v>50</v>
      </c>
      <c r="F85" s="61">
        <v>20.39</v>
      </c>
      <c r="G85" s="60">
        <v>57200</v>
      </c>
      <c r="H85" s="36">
        <f t="shared" si="18"/>
        <v>1166308</v>
      </c>
      <c r="I85" s="36">
        <v>0</v>
      </c>
      <c r="J85" s="60">
        <v>0</v>
      </c>
      <c r="K85" s="60">
        <v>0</v>
      </c>
      <c r="L85" s="60">
        <v>0</v>
      </c>
      <c r="M85" s="36">
        <f t="shared" si="19"/>
        <v>1166308</v>
      </c>
      <c r="N85" s="36">
        <v>0</v>
      </c>
      <c r="O85" s="60">
        <v>0</v>
      </c>
      <c r="P85" s="36">
        <f t="shared" si="20"/>
        <v>1166308</v>
      </c>
      <c r="Q85" s="61">
        <v>20.39</v>
      </c>
    </row>
    <row r="86" spans="1:17" x14ac:dyDescent="0.25">
      <c r="A86" s="5" t="s">
        <v>27</v>
      </c>
      <c r="B86" s="5" t="s">
        <v>18</v>
      </c>
      <c r="C86" s="6">
        <v>42720</v>
      </c>
      <c r="D86" s="5">
        <f t="shared" si="16"/>
        <v>12</v>
      </c>
      <c r="E86" s="5">
        <f t="shared" si="17"/>
        <v>51</v>
      </c>
      <c r="F86" s="61">
        <v>23.65</v>
      </c>
      <c r="G86" s="60">
        <v>55500</v>
      </c>
      <c r="H86" s="36">
        <f t="shared" si="18"/>
        <v>1312575</v>
      </c>
      <c r="I86" s="36">
        <v>0</v>
      </c>
      <c r="J86" s="60">
        <v>0</v>
      </c>
      <c r="K86" s="60">
        <v>0</v>
      </c>
      <c r="L86" s="60">
        <v>0</v>
      </c>
      <c r="M86" s="36">
        <f t="shared" si="19"/>
        <v>1312575</v>
      </c>
      <c r="N86" s="36">
        <v>0</v>
      </c>
      <c r="O86" s="60">
        <v>0</v>
      </c>
      <c r="P86" s="36">
        <f t="shared" si="20"/>
        <v>1312575</v>
      </c>
      <c r="Q86" s="61">
        <v>23.65</v>
      </c>
    </row>
    <row r="87" spans="1:17" x14ac:dyDescent="0.25">
      <c r="A87" s="5" t="s">
        <v>33</v>
      </c>
      <c r="B87" s="5" t="s">
        <v>15</v>
      </c>
      <c r="C87" s="6">
        <v>42730</v>
      </c>
      <c r="D87" s="5">
        <f t="shared" si="16"/>
        <v>12</v>
      </c>
      <c r="E87" s="5">
        <f t="shared" si="17"/>
        <v>53</v>
      </c>
      <c r="F87" s="61">
        <v>27.25</v>
      </c>
      <c r="G87" s="60">
        <v>55817.18</v>
      </c>
      <c r="H87" s="36">
        <f t="shared" si="18"/>
        <v>1521018.155</v>
      </c>
      <c r="I87" s="36">
        <v>0</v>
      </c>
      <c r="J87" s="60">
        <v>0</v>
      </c>
      <c r="K87" s="60">
        <v>0</v>
      </c>
      <c r="L87" s="60">
        <v>0</v>
      </c>
      <c r="M87" s="36">
        <f t="shared" si="19"/>
        <v>1521018.155</v>
      </c>
      <c r="N87" s="36">
        <v>0</v>
      </c>
      <c r="O87" s="60">
        <v>0</v>
      </c>
      <c r="P87" s="36">
        <f t="shared" si="20"/>
        <v>1521018.155</v>
      </c>
      <c r="Q87" s="61">
        <v>27.25</v>
      </c>
    </row>
    <row r="88" spans="1:17" x14ac:dyDescent="0.25">
      <c r="A88" s="5" t="s">
        <v>24</v>
      </c>
      <c r="B88" s="5" t="s">
        <v>15</v>
      </c>
      <c r="C88" s="6">
        <v>42733</v>
      </c>
      <c r="D88" s="5">
        <f t="shared" si="16"/>
        <v>12</v>
      </c>
      <c r="E88" s="5">
        <f t="shared" si="17"/>
        <v>53</v>
      </c>
      <c r="F88" s="61">
        <v>32</v>
      </c>
      <c r="G88" s="60">
        <v>58000</v>
      </c>
      <c r="H88" s="36">
        <f t="shared" si="18"/>
        <v>1856000</v>
      </c>
      <c r="I88" s="36">
        <v>0</v>
      </c>
      <c r="J88" s="60">
        <v>0</v>
      </c>
      <c r="K88" s="60">
        <v>0</v>
      </c>
      <c r="L88" s="60">
        <v>0</v>
      </c>
      <c r="M88" s="36">
        <f t="shared" si="19"/>
        <v>1856000</v>
      </c>
      <c r="N88" s="36">
        <v>0</v>
      </c>
      <c r="O88" s="60">
        <v>0</v>
      </c>
      <c r="P88" s="36">
        <f t="shared" si="20"/>
        <v>1856000</v>
      </c>
      <c r="Q88" s="61">
        <v>32</v>
      </c>
    </row>
    <row r="89" spans="1:17" x14ac:dyDescent="0.25">
      <c r="A89" s="5" t="s">
        <v>33</v>
      </c>
      <c r="B89" s="5" t="s">
        <v>15</v>
      </c>
      <c r="C89" s="6">
        <v>42733</v>
      </c>
      <c r="D89" s="5">
        <f t="shared" si="16"/>
        <v>12</v>
      </c>
      <c r="E89" s="5">
        <f t="shared" si="17"/>
        <v>53</v>
      </c>
      <c r="F89" s="61">
        <v>26.91</v>
      </c>
      <c r="G89" s="60">
        <v>55500</v>
      </c>
      <c r="H89" s="36">
        <f t="shared" si="18"/>
        <v>1493505</v>
      </c>
      <c r="I89" s="36">
        <v>0</v>
      </c>
      <c r="J89" s="60">
        <v>0</v>
      </c>
      <c r="K89" s="60">
        <v>0</v>
      </c>
      <c r="L89" s="60">
        <v>0</v>
      </c>
      <c r="M89" s="36">
        <f t="shared" si="19"/>
        <v>1493505</v>
      </c>
      <c r="N89" s="36">
        <v>0</v>
      </c>
      <c r="O89" s="60">
        <v>0</v>
      </c>
      <c r="P89" s="36">
        <f t="shared" si="20"/>
        <v>1493505</v>
      </c>
      <c r="Q89" s="61">
        <v>26.91</v>
      </c>
    </row>
    <row r="90" spans="1:17" x14ac:dyDescent="0.25">
      <c r="A90" s="5" t="s">
        <v>162</v>
      </c>
      <c r="B90" s="5" t="s">
        <v>15</v>
      </c>
      <c r="C90" s="6">
        <v>42733</v>
      </c>
      <c r="D90" s="5">
        <f t="shared" si="16"/>
        <v>12</v>
      </c>
      <c r="E90" s="5">
        <f t="shared" si="17"/>
        <v>53</v>
      </c>
      <c r="F90" s="61">
        <v>29.42</v>
      </c>
      <c r="G90" s="60">
        <v>55710.69</v>
      </c>
      <c r="H90" s="36">
        <f t="shared" si="18"/>
        <v>1639008.4998000001</v>
      </c>
      <c r="I90" s="36">
        <v>0</v>
      </c>
      <c r="J90" s="60">
        <v>0</v>
      </c>
      <c r="K90" s="60">
        <v>0</v>
      </c>
      <c r="L90" s="60">
        <v>0</v>
      </c>
      <c r="M90" s="36">
        <f t="shared" si="19"/>
        <v>1639008.4998000001</v>
      </c>
      <c r="N90" s="36">
        <v>0</v>
      </c>
      <c r="O90" s="60">
        <v>0</v>
      </c>
      <c r="P90" s="36">
        <f t="shared" si="20"/>
        <v>1639008.4998000001</v>
      </c>
      <c r="Q90" s="61">
        <v>29.42</v>
      </c>
    </row>
  </sheetData>
  <autoFilter ref="A1:Q90"/>
  <hyperlinks>
    <hyperlink ref="K1" r:id="rId1"/>
    <hyperlink ref="L1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B1" workbookViewId="0">
      <selection activeCell="D2" sqref="D2:E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159</v>
      </c>
      <c r="B2" s="5" t="s">
        <v>20</v>
      </c>
      <c r="C2" s="6">
        <v>42737</v>
      </c>
      <c r="D2" s="5">
        <f>MONTH(C2)</f>
        <v>1</v>
      </c>
      <c r="E2" s="5">
        <f>WEEKNUM(C2)</f>
        <v>1</v>
      </c>
      <c r="F2" s="61">
        <v>19.34</v>
      </c>
      <c r="G2" s="60">
        <v>103921.55</v>
      </c>
      <c r="H2" s="36">
        <f t="shared" ref="H2:H61" si="0">+F2*G2</f>
        <v>2009842.777</v>
      </c>
      <c r="I2" s="36">
        <v>0</v>
      </c>
      <c r="J2" s="60">
        <v>0</v>
      </c>
      <c r="K2" s="60">
        <v>0</v>
      </c>
      <c r="L2" s="60">
        <v>0</v>
      </c>
      <c r="M2" s="36">
        <f t="shared" ref="M2:M3" si="1">+H2+J2</f>
        <v>2009842.777</v>
      </c>
      <c r="N2" s="36">
        <f t="shared" ref="N2:N3" si="2">M2*2%</f>
        <v>40196.855540000004</v>
      </c>
      <c r="O2" s="60">
        <v>0</v>
      </c>
      <c r="P2" s="36">
        <f t="shared" ref="P2:P61" si="3">+M2+N2+O2</f>
        <v>2050039.6325399999</v>
      </c>
      <c r="Q2" s="61">
        <v>19.34</v>
      </c>
    </row>
    <row r="3" spans="1:17" x14ac:dyDescent="0.25">
      <c r="A3" s="5" t="s">
        <v>161</v>
      </c>
      <c r="B3" s="5" t="s">
        <v>20</v>
      </c>
      <c r="C3" s="6">
        <v>42737</v>
      </c>
      <c r="D3" s="5">
        <f t="shared" ref="D3:D61" si="4">MONTH(C3)</f>
        <v>1</v>
      </c>
      <c r="E3" s="5">
        <f t="shared" ref="E3:E61" si="5">WEEKNUM(C3)</f>
        <v>1</v>
      </c>
      <c r="F3" s="61">
        <v>19.89</v>
      </c>
      <c r="G3" s="60">
        <v>103921.55</v>
      </c>
      <c r="H3" s="36">
        <f t="shared" si="0"/>
        <v>2066999.6295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2066999.6295</v>
      </c>
      <c r="N3" s="36">
        <f t="shared" si="2"/>
        <v>41339.992590000002</v>
      </c>
      <c r="O3" s="60">
        <v>0</v>
      </c>
      <c r="P3" s="36">
        <f t="shared" si="3"/>
        <v>2108339.6220900002</v>
      </c>
      <c r="Q3" s="61">
        <v>19.89</v>
      </c>
    </row>
    <row r="4" spans="1:17" x14ac:dyDescent="0.25">
      <c r="A4" s="5" t="s">
        <v>65</v>
      </c>
      <c r="B4" s="5" t="s">
        <v>66</v>
      </c>
      <c r="C4" s="6">
        <v>42738</v>
      </c>
      <c r="D4" s="5">
        <f t="shared" si="4"/>
        <v>1</v>
      </c>
      <c r="E4" s="5">
        <f t="shared" si="5"/>
        <v>1</v>
      </c>
      <c r="F4" s="61">
        <v>21</v>
      </c>
      <c r="G4" s="60">
        <v>75230.100000000006</v>
      </c>
      <c r="H4" s="36">
        <f t="shared" si="0"/>
        <v>1579832.1</v>
      </c>
      <c r="I4" s="36">
        <v>0</v>
      </c>
      <c r="J4" s="60">
        <f t="shared" ref="J4:J6" si="6">H4*12.5%</f>
        <v>197479.01250000001</v>
      </c>
      <c r="K4" s="60">
        <f t="shared" ref="K4:K6" si="7">(I4+J4)*2%</f>
        <v>3949.5802500000004</v>
      </c>
      <c r="L4" s="60">
        <f t="shared" ref="L4:L6" si="8">(I4+J4)*1%</f>
        <v>1974.7901250000002</v>
      </c>
      <c r="M4" s="36">
        <f t="shared" ref="M4:M6" si="9">H4+I4+J4+K4+L4</f>
        <v>1783235.4828750002</v>
      </c>
      <c r="N4" s="36">
        <v>0</v>
      </c>
      <c r="O4" s="60">
        <f>(H4+J4+K4+L4)*4/100+4400*F4</f>
        <v>163729.41931500001</v>
      </c>
      <c r="P4" s="36">
        <f t="shared" si="3"/>
        <v>1946964.9021900003</v>
      </c>
      <c r="Q4" s="61">
        <v>21</v>
      </c>
    </row>
    <row r="5" spans="1:17" x14ac:dyDescent="0.25">
      <c r="A5" s="5" t="s">
        <v>65</v>
      </c>
      <c r="B5" s="5" t="s">
        <v>66</v>
      </c>
      <c r="C5" s="6">
        <v>42738</v>
      </c>
      <c r="D5" s="5">
        <f t="shared" si="4"/>
        <v>1</v>
      </c>
      <c r="E5" s="5">
        <f t="shared" si="5"/>
        <v>1</v>
      </c>
      <c r="F5" s="61">
        <v>21.02</v>
      </c>
      <c r="G5" s="60">
        <v>75230.100000000006</v>
      </c>
      <c r="H5" s="36">
        <f t="shared" si="0"/>
        <v>1581336.702</v>
      </c>
      <c r="I5" s="36">
        <v>0</v>
      </c>
      <c r="J5" s="60">
        <f t="shared" si="6"/>
        <v>197667.08775000001</v>
      </c>
      <c r="K5" s="60">
        <f t="shared" si="7"/>
        <v>3953.3417550000004</v>
      </c>
      <c r="L5" s="60">
        <f t="shared" si="8"/>
        <v>1976.6708775000002</v>
      </c>
      <c r="M5" s="36">
        <f t="shared" si="9"/>
        <v>1784933.8023824999</v>
      </c>
      <c r="N5" s="36">
        <v>0</v>
      </c>
      <c r="O5" s="60">
        <f t="shared" ref="O5:O6" si="10">(H5+J5+K5+L5)*4/100+4400*F5</f>
        <v>163885.35209529998</v>
      </c>
      <c r="P5" s="36">
        <f t="shared" si="3"/>
        <v>1948819.1544777998</v>
      </c>
      <c r="Q5" s="61">
        <v>21.02</v>
      </c>
    </row>
    <row r="6" spans="1:17" x14ac:dyDescent="0.25">
      <c r="A6" s="5" t="s">
        <v>65</v>
      </c>
      <c r="B6" s="5" t="s">
        <v>66</v>
      </c>
      <c r="C6" s="6">
        <v>42738</v>
      </c>
      <c r="D6" s="5">
        <f t="shared" si="4"/>
        <v>1</v>
      </c>
      <c r="E6" s="5">
        <f t="shared" si="5"/>
        <v>1</v>
      </c>
      <c r="F6" s="61">
        <v>21.25</v>
      </c>
      <c r="G6" s="60">
        <v>75230.100000000006</v>
      </c>
      <c r="H6" s="36">
        <f t="shared" si="0"/>
        <v>1598639.6250000002</v>
      </c>
      <c r="I6" s="36">
        <v>0</v>
      </c>
      <c r="J6" s="60">
        <f t="shared" si="6"/>
        <v>199829.95312500003</v>
      </c>
      <c r="K6" s="60">
        <f t="shared" si="7"/>
        <v>3996.5990625000009</v>
      </c>
      <c r="L6" s="60">
        <f t="shared" si="8"/>
        <v>1998.2995312500004</v>
      </c>
      <c r="M6" s="36">
        <f t="shared" si="9"/>
        <v>1804464.4767187503</v>
      </c>
      <c r="N6" s="36">
        <v>0</v>
      </c>
      <c r="O6" s="60">
        <f t="shared" si="10"/>
        <v>165678.57906875003</v>
      </c>
      <c r="P6" s="36">
        <f t="shared" si="3"/>
        <v>1970143.0557875005</v>
      </c>
      <c r="Q6" s="61">
        <v>21.25</v>
      </c>
    </row>
    <row r="7" spans="1:17" x14ac:dyDescent="0.25">
      <c r="A7" s="5" t="s">
        <v>161</v>
      </c>
      <c r="B7" s="5" t="s">
        <v>20</v>
      </c>
      <c r="C7" s="6">
        <v>42740</v>
      </c>
      <c r="D7" s="5">
        <f t="shared" si="4"/>
        <v>1</v>
      </c>
      <c r="E7" s="5">
        <f t="shared" si="5"/>
        <v>1</v>
      </c>
      <c r="F7" s="61">
        <v>19.91</v>
      </c>
      <c r="G7" s="60">
        <v>103921.55</v>
      </c>
      <c r="H7" s="36">
        <f t="shared" si="0"/>
        <v>2069078.0605000001</v>
      </c>
      <c r="I7" s="36">
        <v>0</v>
      </c>
      <c r="J7" s="60">
        <v>0</v>
      </c>
      <c r="K7" s="60">
        <v>0</v>
      </c>
      <c r="L7" s="60">
        <v>0</v>
      </c>
      <c r="M7" s="36">
        <f t="shared" ref="M7:M61" si="11">+H7+J7</f>
        <v>2069078.0605000001</v>
      </c>
      <c r="N7" s="36">
        <f t="shared" ref="N7:N61" si="12">M7*2%</f>
        <v>41381.561210000007</v>
      </c>
      <c r="O7" s="60">
        <v>0</v>
      </c>
      <c r="P7" s="36">
        <f t="shared" si="3"/>
        <v>2110459.6217100001</v>
      </c>
      <c r="Q7" s="61">
        <v>19.91</v>
      </c>
    </row>
    <row r="8" spans="1:17" x14ac:dyDescent="0.25">
      <c r="A8" s="5" t="s">
        <v>159</v>
      </c>
      <c r="B8" s="5" t="s">
        <v>20</v>
      </c>
      <c r="C8" s="6">
        <v>42740</v>
      </c>
      <c r="D8" s="5">
        <f t="shared" si="4"/>
        <v>1</v>
      </c>
      <c r="E8" s="5">
        <f t="shared" si="5"/>
        <v>1</v>
      </c>
      <c r="F8" s="61">
        <v>19.899999999999999</v>
      </c>
      <c r="G8" s="60">
        <v>107843</v>
      </c>
      <c r="H8" s="36">
        <f t="shared" si="0"/>
        <v>2146075.6999999997</v>
      </c>
      <c r="I8" s="36">
        <v>0</v>
      </c>
      <c r="J8" s="60">
        <v>0</v>
      </c>
      <c r="K8" s="60">
        <v>0</v>
      </c>
      <c r="L8" s="60">
        <v>0</v>
      </c>
      <c r="M8" s="36">
        <f t="shared" si="11"/>
        <v>2146075.6999999997</v>
      </c>
      <c r="N8" s="36">
        <f t="shared" si="12"/>
        <v>42921.513999999996</v>
      </c>
      <c r="O8" s="60">
        <v>0</v>
      </c>
      <c r="P8" s="36">
        <f t="shared" si="3"/>
        <v>2188997.2139999997</v>
      </c>
      <c r="Q8" s="61">
        <v>19.899999999999999</v>
      </c>
    </row>
    <row r="9" spans="1:17" x14ac:dyDescent="0.25">
      <c r="A9" s="5" t="s">
        <v>161</v>
      </c>
      <c r="B9" s="5" t="s">
        <v>20</v>
      </c>
      <c r="C9" s="6">
        <v>42740</v>
      </c>
      <c r="D9" s="5">
        <f t="shared" si="4"/>
        <v>1</v>
      </c>
      <c r="E9" s="5">
        <f t="shared" si="5"/>
        <v>1</v>
      </c>
      <c r="F9" s="61">
        <v>19.989999999999998</v>
      </c>
      <c r="G9" s="60">
        <v>103921.55</v>
      </c>
      <c r="H9" s="36">
        <f t="shared" si="0"/>
        <v>2077391.7844999998</v>
      </c>
      <c r="I9" s="36">
        <v>0</v>
      </c>
      <c r="J9" s="60">
        <v>0</v>
      </c>
      <c r="K9" s="60">
        <v>0</v>
      </c>
      <c r="L9" s="60">
        <v>0</v>
      </c>
      <c r="M9" s="36">
        <f t="shared" si="11"/>
        <v>2077391.7844999998</v>
      </c>
      <c r="N9" s="36">
        <f t="shared" si="12"/>
        <v>41547.83569</v>
      </c>
      <c r="O9" s="60">
        <v>0</v>
      </c>
      <c r="P9" s="36">
        <f t="shared" si="3"/>
        <v>2118939.6201899997</v>
      </c>
      <c r="Q9" s="61">
        <v>19.989999999999998</v>
      </c>
    </row>
    <row r="10" spans="1:17" x14ac:dyDescent="0.25">
      <c r="A10" s="5" t="s">
        <v>162</v>
      </c>
      <c r="B10" s="5" t="s">
        <v>15</v>
      </c>
      <c r="C10" s="6">
        <v>42740</v>
      </c>
      <c r="D10" s="5">
        <f t="shared" si="4"/>
        <v>1</v>
      </c>
      <c r="E10" s="5">
        <f t="shared" si="5"/>
        <v>1</v>
      </c>
      <c r="F10" s="61">
        <v>34.65</v>
      </c>
      <c r="G10" s="60">
        <v>55500</v>
      </c>
      <c r="H10" s="36">
        <f t="shared" si="0"/>
        <v>1923075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1"/>
        <v>1923075</v>
      </c>
      <c r="N10" s="36">
        <v>0</v>
      </c>
      <c r="O10" s="60">
        <v>0</v>
      </c>
      <c r="P10" s="36">
        <f t="shared" si="3"/>
        <v>1923075</v>
      </c>
      <c r="Q10" s="61">
        <v>34.65</v>
      </c>
    </row>
    <row r="11" spans="1:17" x14ac:dyDescent="0.25">
      <c r="A11" s="5" t="s">
        <v>162</v>
      </c>
      <c r="B11" s="5" t="s">
        <v>15</v>
      </c>
      <c r="C11" s="6">
        <v>42740</v>
      </c>
      <c r="D11" s="5">
        <f t="shared" si="4"/>
        <v>1</v>
      </c>
      <c r="E11" s="5">
        <f t="shared" si="5"/>
        <v>1</v>
      </c>
      <c r="F11" s="61">
        <v>25.32</v>
      </c>
      <c r="G11" s="60">
        <v>55692.15</v>
      </c>
      <c r="H11" s="36">
        <f t="shared" si="0"/>
        <v>1410125.2380000001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1"/>
        <v>1410125.2380000001</v>
      </c>
      <c r="N11" s="36">
        <v>0</v>
      </c>
      <c r="O11" s="60">
        <v>0</v>
      </c>
      <c r="P11" s="36">
        <f t="shared" si="3"/>
        <v>1410125.2380000001</v>
      </c>
      <c r="Q11" s="61">
        <v>25.32</v>
      </c>
    </row>
    <row r="12" spans="1:17" x14ac:dyDescent="0.25">
      <c r="A12" s="5" t="s">
        <v>162</v>
      </c>
      <c r="B12" s="5" t="s">
        <v>15</v>
      </c>
      <c r="C12" s="6">
        <v>42740</v>
      </c>
      <c r="D12" s="5">
        <f t="shared" si="4"/>
        <v>1</v>
      </c>
      <c r="E12" s="5">
        <f t="shared" si="5"/>
        <v>1</v>
      </c>
      <c r="F12" s="61">
        <v>22.67</v>
      </c>
      <c r="G12" s="60">
        <v>55327.23</v>
      </c>
      <c r="H12" s="36">
        <f t="shared" si="0"/>
        <v>1254268.3041000001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1"/>
        <v>1254268.3041000001</v>
      </c>
      <c r="N12" s="36">
        <v>0</v>
      </c>
      <c r="O12" s="60">
        <v>0</v>
      </c>
      <c r="P12" s="36">
        <f t="shared" si="3"/>
        <v>1254268.3041000001</v>
      </c>
      <c r="Q12" s="61">
        <v>22.67</v>
      </c>
    </row>
    <row r="13" spans="1:17" x14ac:dyDescent="0.25">
      <c r="A13" s="5" t="s">
        <v>162</v>
      </c>
      <c r="B13" s="5" t="s">
        <v>15</v>
      </c>
      <c r="C13" s="6">
        <v>42740</v>
      </c>
      <c r="D13" s="5">
        <f t="shared" si="4"/>
        <v>1</v>
      </c>
      <c r="E13" s="5">
        <f t="shared" si="5"/>
        <v>1</v>
      </c>
      <c r="F13" s="61">
        <v>22.86</v>
      </c>
      <c r="G13" s="60">
        <v>55200</v>
      </c>
      <c r="H13" s="36">
        <f t="shared" si="0"/>
        <v>1261872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1"/>
        <v>1261872</v>
      </c>
      <c r="N13" s="36">
        <v>0</v>
      </c>
      <c r="O13" s="60">
        <v>0</v>
      </c>
      <c r="P13" s="36">
        <f t="shared" si="3"/>
        <v>1261872</v>
      </c>
      <c r="Q13" s="61">
        <v>22.86</v>
      </c>
    </row>
    <row r="14" spans="1:17" x14ac:dyDescent="0.25">
      <c r="A14" s="5" t="s">
        <v>162</v>
      </c>
      <c r="B14" s="5" t="s">
        <v>15</v>
      </c>
      <c r="C14" s="6">
        <v>42740</v>
      </c>
      <c r="D14" s="5">
        <f t="shared" si="4"/>
        <v>1</v>
      </c>
      <c r="E14" s="5">
        <f t="shared" si="5"/>
        <v>1</v>
      </c>
      <c r="F14" s="61">
        <v>26.96</v>
      </c>
      <c r="G14" s="60">
        <v>55334.46</v>
      </c>
      <c r="H14" s="36">
        <f t="shared" si="0"/>
        <v>1491817.0416000001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1"/>
        <v>1491817.0416000001</v>
      </c>
      <c r="N14" s="36">
        <v>0</v>
      </c>
      <c r="O14" s="60">
        <v>0</v>
      </c>
      <c r="P14" s="36">
        <f t="shared" si="3"/>
        <v>1491817.0416000001</v>
      </c>
      <c r="Q14" s="61">
        <v>26.96</v>
      </c>
    </row>
    <row r="15" spans="1:17" x14ac:dyDescent="0.25">
      <c r="A15" s="5" t="s">
        <v>162</v>
      </c>
      <c r="B15" s="5" t="s">
        <v>15</v>
      </c>
      <c r="C15" s="6">
        <v>42740</v>
      </c>
      <c r="D15" s="5">
        <f t="shared" si="4"/>
        <v>1</v>
      </c>
      <c r="E15" s="5">
        <f t="shared" si="5"/>
        <v>1</v>
      </c>
      <c r="F15" s="61">
        <v>27.57</v>
      </c>
      <c r="G15" s="60">
        <v>56000</v>
      </c>
      <c r="H15" s="36">
        <f t="shared" si="0"/>
        <v>1543920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1"/>
        <v>1543920</v>
      </c>
      <c r="N15" s="36">
        <v>0</v>
      </c>
      <c r="O15" s="60">
        <v>0</v>
      </c>
      <c r="P15" s="36">
        <f t="shared" si="3"/>
        <v>1543920</v>
      </c>
      <c r="Q15" s="61">
        <v>27.57</v>
      </c>
    </row>
    <row r="16" spans="1:17" x14ac:dyDescent="0.25">
      <c r="A16" s="5" t="s">
        <v>162</v>
      </c>
      <c r="B16" s="5" t="s">
        <v>15</v>
      </c>
      <c r="C16" s="6">
        <v>42740</v>
      </c>
      <c r="D16" s="5">
        <f t="shared" si="4"/>
        <v>1</v>
      </c>
      <c r="E16" s="5">
        <f t="shared" si="5"/>
        <v>1</v>
      </c>
      <c r="F16" s="61">
        <v>28.6</v>
      </c>
      <c r="G16" s="60">
        <v>56000</v>
      </c>
      <c r="H16" s="36">
        <f t="shared" si="0"/>
        <v>1601600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1"/>
        <v>1601600</v>
      </c>
      <c r="N16" s="36">
        <v>0</v>
      </c>
      <c r="O16" s="60">
        <v>0</v>
      </c>
      <c r="P16" s="36">
        <f t="shared" si="3"/>
        <v>1601600</v>
      </c>
      <c r="Q16" s="61">
        <v>28.6</v>
      </c>
    </row>
    <row r="17" spans="1:17" x14ac:dyDescent="0.25">
      <c r="A17" s="5" t="s">
        <v>33</v>
      </c>
      <c r="B17" s="5" t="s">
        <v>15</v>
      </c>
      <c r="C17" s="6">
        <v>42740</v>
      </c>
      <c r="D17" s="5">
        <f t="shared" si="4"/>
        <v>1</v>
      </c>
      <c r="E17" s="5">
        <f t="shared" si="5"/>
        <v>1</v>
      </c>
      <c r="F17" s="61">
        <v>29.76</v>
      </c>
      <c r="G17" s="60">
        <v>55200</v>
      </c>
      <c r="H17" s="36">
        <f t="shared" si="0"/>
        <v>1642752</v>
      </c>
      <c r="I17" s="36">
        <v>0</v>
      </c>
      <c r="J17" s="60">
        <v>0</v>
      </c>
      <c r="K17" s="60">
        <v>0</v>
      </c>
      <c r="L17" s="60">
        <v>0</v>
      </c>
      <c r="M17" s="36">
        <f t="shared" si="11"/>
        <v>1642752</v>
      </c>
      <c r="N17" s="36">
        <v>0</v>
      </c>
      <c r="O17" s="60">
        <v>0</v>
      </c>
      <c r="P17" s="36">
        <f t="shared" si="3"/>
        <v>1642752</v>
      </c>
      <c r="Q17" s="61">
        <v>29.76</v>
      </c>
    </row>
    <row r="18" spans="1:17" x14ac:dyDescent="0.25">
      <c r="A18" s="5" t="s">
        <v>31</v>
      </c>
      <c r="B18" s="5" t="s">
        <v>15</v>
      </c>
      <c r="C18" s="6">
        <v>42740</v>
      </c>
      <c r="D18" s="5">
        <f t="shared" si="4"/>
        <v>1</v>
      </c>
      <c r="E18" s="5">
        <f t="shared" si="5"/>
        <v>1</v>
      </c>
      <c r="F18" s="61">
        <v>30.95</v>
      </c>
      <c r="G18" s="60">
        <v>55558.97</v>
      </c>
      <c r="H18" s="36">
        <f t="shared" si="0"/>
        <v>1719550.1214999999</v>
      </c>
      <c r="I18" s="36">
        <v>0</v>
      </c>
      <c r="J18" s="60">
        <v>0</v>
      </c>
      <c r="K18" s="60">
        <v>0</v>
      </c>
      <c r="L18" s="60">
        <v>0</v>
      </c>
      <c r="M18" s="36">
        <f t="shared" si="11"/>
        <v>1719550.1214999999</v>
      </c>
      <c r="N18" s="36">
        <v>0</v>
      </c>
      <c r="O18" s="60">
        <v>0</v>
      </c>
      <c r="P18" s="36">
        <f t="shared" si="3"/>
        <v>1719550.1214999999</v>
      </c>
      <c r="Q18" s="61">
        <v>30.95</v>
      </c>
    </row>
    <row r="19" spans="1:17" x14ac:dyDescent="0.25">
      <c r="A19" s="5" t="s">
        <v>24</v>
      </c>
      <c r="B19" s="5" t="s">
        <v>15</v>
      </c>
      <c r="C19" s="6">
        <v>42743</v>
      </c>
      <c r="D19" s="5">
        <f t="shared" si="4"/>
        <v>1</v>
      </c>
      <c r="E19" s="5">
        <f t="shared" si="5"/>
        <v>2</v>
      </c>
      <c r="F19" s="61">
        <v>19.899999999999999</v>
      </c>
      <c r="G19" s="60">
        <v>59000</v>
      </c>
      <c r="H19" s="36">
        <f t="shared" si="0"/>
        <v>1174100</v>
      </c>
      <c r="I19" s="36">
        <v>0</v>
      </c>
      <c r="J19" s="60">
        <v>0</v>
      </c>
      <c r="K19" s="60">
        <v>0</v>
      </c>
      <c r="L19" s="60">
        <v>0</v>
      </c>
      <c r="M19" s="36">
        <f t="shared" si="11"/>
        <v>1174100</v>
      </c>
      <c r="N19" s="36">
        <v>0</v>
      </c>
      <c r="O19" s="60">
        <v>0</v>
      </c>
      <c r="P19" s="36">
        <f t="shared" si="3"/>
        <v>1174100</v>
      </c>
      <c r="Q19" s="61">
        <v>19.899999999999999</v>
      </c>
    </row>
    <row r="20" spans="1:17" x14ac:dyDescent="0.25">
      <c r="A20" s="5" t="s">
        <v>24</v>
      </c>
      <c r="B20" s="5" t="s">
        <v>15</v>
      </c>
      <c r="C20" s="6">
        <v>42743</v>
      </c>
      <c r="D20" s="5">
        <f t="shared" si="4"/>
        <v>1</v>
      </c>
      <c r="E20" s="5">
        <f t="shared" si="5"/>
        <v>2</v>
      </c>
      <c r="F20" s="61">
        <v>19.399999999999999</v>
      </c>
      <c r="G20" s="60">
        <v>59000</v>
      </c>
      <c r="H20" s="36">
        <f t="shared" si="0"/>
        <v>1144600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1"/>
        <v>1144600</v>
      </c>
      <c r="N20" s="36">
        <v>0</v>
      </c>
      <c r="O20" s="60">
        <v>0</v>
      </c>
      <c r="P20" s="36">
        <f t="shared" si="3"/>
        <v>1144600</v>
      </c>
      <c r="Q20" s="61">
        <v>19.399999999999999</v>
      </c>
    </row>
    <row r="21" spans="1:17" x14ac:dyDescent="0.25">
      <c r="A21" s="5" t="s">
        <v>162</v>
      </c>
      <c r="B21" s="5" t="s">
        <v>15</v>
      </c>
      <c r="C21" s="6">
        <v>42743</v>
      </c>
      <c r="D21" s="5">
        <f t="shared" si="4"/>
        <v>1</v>
      </c>
      <c r="E21" s="5">
        <f t="shared" si="5"/>
        <v>2</v>
      </c>
      <c r="F21" s="61">
        <v>35.700000000000003</v>
      </c>
      <c r="G21" s="60">
        <v>57419.05</v>
      </c>
      <c r="H21" s="36">
        <f t="shared" si="0"/>
        <v>2049860.0850000002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1"/>
        <v>2049860.0850000002</v>
      </c>
      <c r="N21" s="36">
        <v>0</v>
      </c>
      <c r="O21" s="60">
        <v>0</v>
      </c>
      <c r="P21" s="36">
        <f t="shared" si="3"/>
        <v>2049860.0850000002</v>
      </c>
      <c r="Q21" s="61">
        <v>35.700000000000003</v>
      </c>
    </row>
    <row r="22" spans="1:17" x14ac:dyDescent="0.25">
      <c r="A22" s="5" t="s">
        <v>27</v>
      </c>
      <c r="B22" s="5" t="s">
        <v>18</v>
      </c>
      <c r="C22" s="6">
        <v>42745</v>
      </c>
      <c r="D22" s="5">
        <f t="shared" si="4"/>
        <v>1</v>
      </c>
      <c r="E22" s="5">
        <f t="shared" si="5"/>
        <v>2</v>
      </c>
      <c r="F22" s="61">
        <v>19.72</v>
      </c>
      <c r="G22" s="60">
        <v>55500</v>
      </c>
      <c r="H22" s="36">
        <f t="shared" si="0"/>
        <v>1094460</v>
      </c>
      <c r="I22" s="36">
        <v>0</v>
      </c>
      <c r="J22" s="60">
        <v>0</v>
      </c>
      <c r="K22" s="60">
        <v>0</v>
      </c>
      <c r="L22" s="60">
        <v>0</v>
      </c>
      <c r="M22" s="36">
        <f t="shared" si="11"/>
        <v>1094460</v>
      </c>
      <c r="N22" s="36">
        <v>0</v>
      </c>
      <c r="O22" s="60">
        <v>0</v>
      </c>
      <c r="P22" s="36">
        <f t="shared" si="3"/>
        <v>1094460</v>
      </c>
      <c r="Q22" s="61">
        <v>19.72</v>
      </c>
    </row>
    <row r="23" spans="1:17" x14ac:dyDescent="0.25">
      <c r="A23" s="5" t="s">
        <v>14</v>
      </c>
      <c r="B23" s="5" t="s">
        <v>18</v>
      </c>
      <c r="C23" s="6">
        <v>42745</v>
      </c>
      <c r="D23" s="5">
        <f t="shared" si="4"/>
        <v>1</v>
      </c>
      <c r="E23" s="5">
        <f t="shared" si="5"/>
        <v>2</v>
      </c>
      <c r="F23" s="61">
        <v>24.56</v>
      </c>
      <c r="G23" s="60">
        <v>56000</v>
      </c>
      <c r="H23" s="36">
        <f t="shared" si="0"/>
        <v>1375360</v>
      </c>
      <c r="I23" s="36">
        <v>0</v>
      </c>
      <c r="J23" s="60">
        <v>0</v>
      </c>
      <c r="K23" s="60">
        <v>0</v>
      </c>
      <c r="L23" s="60">
        <v>0</v>
      </c>
      <c r="M23" s="36">
        <f t="shared" si="11"/>
        <v>1375360</v>
      </c>
      <c r="N23" s="36">
        <v>0</v>
      </c>
      <c r="O23" s="60">
        <v>0</v>
      </c>
      <c r="P23" s="36">
        <f t="shared" si="3"/>
        <v>1375360</v>
      </c>
      <c r="Q23" s="61">
        <v>24.56</v>
      </c>
    </row>
    <row r="24" spans="1:17" x14ac:dyDescent="0.25">
      <c r="A24" s="5" t="s">
        <v>14</v>
      </c>
      <c r="B24" s="5" t="s">
        <v>18</v>
      </c>
      <c r="C24" s="6">
        <v>42745</v>
      </c>
      <c r="D24" s="5">
        <f t="shared" si="4"/>
        <v>1</v>
      </c>
      <c r="E24" s="5">
        <f t="shared" si="5"/>
        <v>2</v>
      </c>
      <c r="F24" s="61">
        <v>24.45</v>
      </c>
      <c r="G24" s="60">
        <v>56000</v>
      </c>
      <c r="H24" s="36">
        <f t="shared" si="0"/>
        <v>1369200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1"/>
        <v>1369200</v>
      </c>
      <c r="N24" s="36">
        <v>0</v>
      </c>
      <c r="O24" s="60">
        <v>0</v>
      </c>
      <c r="P24" s="36">
        <f t="shared" si="3"/>
        <v>1369200</v>
      </c>
      <c r="Q24" s="61">
        <v>24.45</v>
      </c>
    </row>
    <row r="25" spans="1:17" x14ac:dyDescent="0.25">
      <c r="A25" s="5" t="s">
        <v>65</v>
      </c>
      <c r="B25" s="5" t="s">
        <v>66</v>
      </c>
      <c r="C25" s="6">
        <v>42746</v>
      </c>
      <c r="D25" s="5">
        <f t="shared" si="4"/>
        <v>1</v>
      </c>
      <c r="E25" s="5">
        <f t="shared" si="5"/>
        <v>2</v>
      </c>
      <c r="F25" s="61">
        <v>20.12</v>
      </c>
      <c r="G25" s="60">
        <v>75230.100000000006</v>
      </c>
      <c r="H25" s="36">
        <f t="shared" si="0"/>
        <v>1513629.6120000002</v>
      </c>
      <c r="I25" s="36">
        <v>0</v>
      </c>
      <c r="J25" s="60">
        <f t="shared" ref="J25:J48" si="13">H25*12.5%</f>
        <v>189203.70150000002</v>
      </c>
      <c r="K25" s="60">
        <f t="shared" ref="K25:K27" si="14">(I25+J25)*2%</f>
        <v>3784.0740300000007</v>
      </c>
      <c r="L25" s="60">
        <f t="shared" ref="L25:L27" si="15">(I25+J25)*1%</f>
        <v>1892.0370150000003</v>
      </c>
      <c r="M25" s="36">
        <f t="shared" ref="M25:M27" si="16">H25+I25+J25+K25+L25</f>
        <v>1708509.4245450001</v>
      </c>
      <c r="N25" s="36">
        <v>0</v>
      </c>
      <c r="O25" s="60">
        <f t="shared" ref="O25:O27" si="17">(H25+J25+K25+L25)*4/100+4400*F25</f>
        <v>156868.37698180001</v>
      </c>
      <c r="P25" s="36">
        <f t="shared" si="3"/>
        <v>1865377.8015268</v>
      </c>
      <c r="Q25" s="61">
        <v>20.12</v>
      </c>
    </row>
    <row r="26" spans="1:17" x14ac:dyDescent="0.25">
      <c r="A26" s="5" t="s">
        <v>65</v>
      </c>
      <c r="B26" s="5" t="s">
        <v>66</v>
      </c>
      <c r="C26" s="6">
        <v>42746</v>
      </c>
      <c r="D26" s="5">
        <f t="shared" si="4"/>
        <v>1</v>
      </c>
      <c r="E26" s="5">
        <f t="shared" si="5"/>
        <v>2</v>
      </c>
      <c r="F26" s="61">
        <v>20.079999999999998</v>
      </c>
      <c r="G26" s="60">
        <v>75230.100000000006</v>
      </c>
      <c r="H26" s="36">
        <f t="shared" si="0"/>
        <v>1510620.4080000001</v>
      </c>
      <c r="I26" s="36">
        <v>0</v>
      </c>
      <c r="J26" s="60">
        <f t="shared" si="13"/>
        <v>188827.55100000001</v>
      </c>
      <c r="K26" s="60">
        <f t="shared" si="14"/>
        <v>3776.5510200000003</v>
      </c>
      <c r="L26" s="60">
        <f t="shared" si="15"/>
        <v>1888.2755100000002</v>
      </c>
      <c r="M26" s="36">
        <f t="shared" si="16"/>
        <v>1705112.78553</v>
      </c>
      <c r="N26" s="36">
        <v>0</v>
      </c>
      <c r="O26" s="60">
        <f t="shared" si="17"/>
        <v>156556.5114212</v>
      </c>
      <c r="P26" s="36">
        <f t="shared" si="3"/>
        <v>1861669.2969511999</v>
      </c>
      <c r="Q26" s="61">
        <v>20.079999999999998</v>
      </c>
    </row>
    <row r="27" spans="1:17" x14ac:dyDescent="0.25">
      <c r="A27" s="5" t="s">
        <v>65</v>
      </c>
      <c r="B27" s="5" t="s">
        <v>66</v>
      </c>
      <c r="C27" s="6">
        <v>42746</v>
      </c>
      <c r="D27" s="5">
        <f t="shared" si="4"/>
        <v>1</v>
      </c>
      <c r="E27" s="5">
        <f t="shared" si="5"/>
        <v>2</v>
      </c>
      <c r="F27" s="61">
        <v>19.95</v>
      </c>
      <c r="G27" s="60">
        <v>75230.100000000006</v>
      </c>
      <c r="H27" s="36">
        <f t="shared" si="0"/>
        <v>1500840.4950000001</v>
      </c>
      <c r="I27" s="36">
        <v>0</v>
      </c>
      <c r="J27" s="60">
        <f t="shared" si="13"/>
        <v>187605.06187500001</v>
      </c>
      <c r="K27" s="60">
        <f t="shared" si="14"/>
        <v>3752.1012375000005</v>
      </c>
      <c r="L27" s="60">
        <f t="shared" si="15"/>
        <v>1876.0506187500002</v>
      </c>
      <c r="M27" s="36">
        <f t="shared" si="16"/>
        <v>1694073.7087312504</v>
      </c>
      <c r="N27" s="36">
        <v>0</v>
      </c>
      <c r="O27" s="60">
        <f t="shared" si="17"/>
        <v>155542.94834925001</v>
      </c>
      <c r="P27" s="36">
        <f t="shared" si="3"/>
        <v>1849616.6570805004</v>
      </c>
      <c r="Q27" s="61">
        <v>19.95</v>
      </c>
    </row>
    <row r="28" spans="1:17" x14ac:dyDescent="0.25">
      <c r="A28" s="5" t="s">
        <v>107</v>
      </c>
      <c r="B28" s="5" t="s">
        <v>110</v>
      </c>
      <c r="C28" s="6">
        <v>42746</v>
      </c>
      <c r="D28" s="5">
        <f t="shared" si="4"/>
        <v>1</v>
      </c>
      <c r="E28" s="5">
        <f t="shared" si="5"/>
        <v>2</v>
      </c>
      <c r="F28" s="61">
        <v>33.28</v>
      </c>
      <c r="G28" s="60">
        <v>62000</v>
      </c>
      <c r="H28" s="36">
        <f t="shared" si="0"/>
        <v>2063360</v>
      </c>
      <c r="I28" s="36">
        <v>0</v>
      </c>
      <c r="J28" s="60">
        <f t="shared" si="13"/>
        <v>257920</v>
      </c>
      <c r="K28" s="60">
        <v>0</v>
      </c>
      <c r="L28" s="60">
        <v>0</v>
      </c>
      <c r="M28" s="36">
        <f t="shared" ref="M28:M30" si="18">+H28+J28</f>
        <v>2321280</v>
      </c>
      <c r="N28" s="36">
        <f t="shared" ref="N28:N30" si="19">M28*2%</f>
        <v>46425.599999999999</v>
      </c>
      <c r="O28" s="60">
        <f>3200*F28</f>
        <v>106496</v>
      </c>
      <c r="P28" s="36">
        <f t="shared" si="3"/>
        <v>2474201.6</v>
      </c>
      <c r="Q28" s="61">
        <v>33.28</v>
      </c>
    </row>
    <row r="29" spans="1:17" x14ac:dyDescent="0.25">
      <c r="A29" s="5" t="s">
        <v>107</v>
      </c>
      <c r="B29" s="5" t="s">
        <v>110</v>
      </c>
      <c r="C29" s="6">
        <v>42746</v>
      </c>
      <c r="D29" s="5">
        <f t="shared" si="4"/>
        <v>1</v>
      </c>
      <c r="E29" s="5">
        <f t="shared" si="5"/>
        <v>2</v>
      </c>
      <c r="F29" s="61">
        <v>32.130000000000003</v>
      </c>
      <c r="G29" s="60">
        <v>62000</v>
      </c>
      <c r="H29" s="36">
        <f t="shared" si="0"/>
        <v>1992060.0000000002</v>
      </c>
      <c r="I29" s="36">
        <v>0</v>
      </c>
      <c r="J29" s="60">
        <f t="shared" si="13"/>
        <v>249007.50000000003</v>
      </c>
      <c r="K29" s="60">
        <v>0</v>
      </c>
      <c r="L29" s="60">
        <v>0</v>
      </c>
      <c r="M29" s="36">
        <f t="shared" si="18"/>
        <v>2241067.5000000005</v>
      </c>
      <c r="N29" s="36">
        <f t="shared" si="19"/>
        <v>44821.350000000013</v>
      </c>
      <c r="O29" s="60">
        <f>3200*F29</f>
        <v>102816.00000000001</v>
      </c>
      <c r="P29" s="36">
        <f t="shared" si="3"/>
        <v>2388704.8500000006</v>
      </c>
      <c r="Q29" s="61">
        <v>32.130000000000003</v>
      </c>
    </row>
    <row r="30" spans="1:17" x14ac:dyDescent="0.25">
      <c r="A30" s="5" t="s">
        <v>12</v>
      </c>
      <c r="B30" s="5" t="s">
        <v>13</v>
      </c>
      <c r="C30" s="6">
        <v>42746</v>
      </c>
      <c r="D30" s="5">
        <f t="shared" si="4"/>
        <v>1</v>
      </c>
      <c r="E30" s="5">
        <f t="shared" si="5"/>
        <v>2</v>
      </c>
      <c r="F30" s="61">
        <v>29.38</v>
      </c>
      <c r="G30" s="60">
        <v>50980.4</v>
      </c>
      <c r="H30" s="36">
        <f t="shared" si="0"/>
        <v>1497804.152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8"/>
        <v>1497804.152</v>
      </c>
      <c r="N30" s="36">
        <f t="shared" si="19"/>
        <v>29956.083040000001</v>
      </c>
      <c r="O30" s="60">
        <v>0</v>
      </c>
      <c r="P30" s="36">
        <f t="shared" si="3"/>
        <v>1527760.2350399999</v>
      </c>
      <c r="Q30" s="61">
        <v>29.38</v>
      </c>
    </row>
    <row r="31" spans="1:17" x14ac:dyDescent="0.25">
      <c r="A31" s="5" t="s">
        <v>105</v>
      </c>
      <c r="B31" s="5" t="s">
        <v>18</v>
      </c>
      <c r="C31" s="6">
        <v>42746</v>
      </c>
      <c r="D31" s="5">
        <f t="shared" si="4"/>
        <v>1</v>
      </c>
      <c r="E31" s="5">
        <f t="shared" si="5"/>
        <v>2</v>
      </c>
      <c r="F31" s="61">
        <v>26.27</v>
      </c>
      <c r="G31" s="60">
        <v>55872.47</v>
      </c>
      <c r="H31" s="36">
        <f t="shared" si="0"/>
        <v>1467769.7868999999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1"/>
        <v>1467769.7868999999</v>
      </c>
      <c r="N31" s="36">
        <v>0</v>
      </c>
      <c r="O31" s="60">
        <v>0</v>
      </c>
      <c r="P31" s="36">
        <f t="shared" si="3"/>
        <v>1467769.7868999999</v>
      </c>
      <c r="Q31" s="61">
        <v>26.27</v>
      </c>
    </row>
    <row r="32" spans="1:17" x14ac:dyDescent="0.25">
      <c r="A32" s="5" t="s">
        <v>24</v>
      </c>
      <c r="B32" s="5" t="s">
        <v>15</v>
      </c>
      <c r="C32" s="6">
        <v>42747</v>
      </c>
      <c r="D32" s="5">
        <f t="shared" si="4"/>
        <v>1</v>
      </c>
      <c r="E32" s="5">
        <f t="shared" si="5"/>
        <v>2</v>
      </c>
      <c r="F32" s="61">
        <v>21.77</v>
      </c>
      <c r="G32" s="60">
        <v>59000</v>
      </c>
      <c r="H32" s="36">
        <f t="shared" si="0"/>
        <v>1284430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1"/>
        <v>1284430</v>
      </c>
      <c r="N32" s="36">
        <v>0</v>
      </c>
      <c r="O32" s="60">
        <v>0</v>
      </c>
      <c r="P32" s="36">
        <f t="shared" si="3"/>
        <v>1284430</v>
      </c>
      <c r="Q32" s="61">
        <v>21.77</v>
      </c>
    </row>
    <row r="33" spans="1:17" x14ac:dyDescent="0.25">
      <c r="A33" s="5" t="s">
        <v>32</v>
      </c>
      <c r="B33" s="5" t="s">
        <v>15</v>
      </c>
      <c r="C33" s="6">
        <v>42749</v>
      </c>
      <c r="D33" s="5">
        <f t="shared" si="4"/>
        <v>1</v>
      </c>
      <c r="E33" s="5">
        <f t="shared" si="5"/>
        <v>2</v>
      </c>
      <c r="F33" s="61">
        <v>28.87</v>
      </c>
      <c r="G33" s="60">
        <v>56000</v>
      </c>
      <c r="H33" s="36">
        <f t="shared" si="0"/>
        <v>1616720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1"/>
        <v>1616720</v>
      </c>
      <c r="N33" s="36">
        <v>0</v>
      </c>
      <c r="O33" s="60">
        <v>0</v>
      </c>
      <c r="P33" s="36">
        <f t="shared" si="3"/>
        <v>1616720</v>
      </c>
      <c r="Q33" s="61">
        <v>28.87</v>
      </c>
    </row>
    <row r="34" spans="1:17" x14ac:dyDescent="0.25">
      <c r="A34" s="5" t="s">
        <v>12</v>
      </c>
      <c r="B34" s="5" t="s">
        <v>13</v>
      </c>
      <c r="C34" s="6">
        <v>42749</v>
      </c>
      <c r="D34" s="5">
        <f t="shared" si="4"/>
        <v>1</v>
      </c>
      <c r="E34" s="5">
        <f t="shared" si="5"/>
        <v>2</v>
      </c>
      <c r="F34" s="61">
        <v>29.13</v>
      </c>
      <c r="G34" s="60">
        <v>50980.4</v>
      </c>
      <c r="H34" s="36">
        <f t="shared" si="0"/>
        <v>1485059.0519999999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1"/>
        <v>1485059.0519999999</v>
      </c>
      <c r="N34" s="36">
        <f t="shared" si="12"/>
        <v>29701.181039999999</v>
      </c>
      <c r="O34" s="60">
        <v>0</v>
      </c>
      <c r="P34" s="36">
        <f t="shared" si="3"/>
        <v>1514760.2330399998</v>
      </c>
      <c r="Q34" s="61">
        <v>29.13</v>
      </c>
    </row>
    <row r="35" spans="1:17" x14ac:dyDescent="0.25">
      <c r="A35" s="5" t="s">
        <v>107</v>
      </c>
      <c r="B35" s="5" t="s">
        <v>110</v>
      </c>
      <c r="C35" s="6">
        <v>42751</v>
      </c>
      <c r="D35" s="5">
        <f t="shared" si="4"/>
        <v>1</v>
      </c>
      <c r="E35" s="5">
        <f t="shared" si="5"/>
        <v>3</v>
      </c>
      <c r="F35" s="61">
        <v>32.799999999999997</v>
      </c>
      <c r="G35" s="60">
        <v>62000</v>
      </c>
      <c r="H35" s="36">
        <f t="shared" si="0"/>
        <v>2033599.9999999998</v>
      </c>
      <c r="I35" s="36">
        <v>0</v>
      </c>
      <c r="J35" s="60">
        <f t="shared" ref="J35:J37" si="20">H35*12.5%</f>
        <v>254199.99999999997</v>
      </c>
      <c r="K35" s="60">
        <v>0</v>
      </c>
      <c r="L35" s="60">
        <v>0</v>
      </c>
      <c r="M35" s="36">
        <f t="shared" si="11"/>
        <v>2287799.9999999995</v>
      </c>
      <c r="N35" s="36">
        <f t="shared" si="12"/>
        <v>45755.999999999993</v>
      </c>
      <c r="O35" s="60">
        <f>3200*F35</f>
        <v>104959.99999999999</v>
      </c>
      <c r="P35" s="36">
        <f t="shared" si="3"/>
        <v>2438515.9999999995</v>
      </c>
      <c r="Q35" s="61">
        <v>32.799999999999997</v>
      </c>
    </row>
    <row r="36" spans="1:17" x14ac:dyDescent="0.25">
      <c r="A36" s="5" t="s">
        <v>107</v>
      </c>
      <c r="B36" s="5" t="s">
        <v>110</v>
      </c>
      <c r="C36" s="6">
        <v>42751</v>
      </c>
      <c r="D36" s="5">
        <f t="shared" si="4"/>
        <v>1</v>
      </c>
      <c r="E36" s="5">
        <f t="shared" si="5"/>
        <v>3</v>
      </c>
      <c r="F36" s="61">
        <v>26.33</v>
      </c>
      <c r="G36" s="60">
        <v>62000</v>
      </c>
      <c r="H36" s="36">
        <f t="shared" si="0"/>
        <v>1632460</v>
      </c>
      <c r="I36" s="36">
        <v>0</v>
      </c>
      <c r="J36" s="60">
        <f t="shared" si="20"/>
        <v>204057.5</v>
      </c>
      <c r="K36" s="60">
        <v>0</v>
      </c>
      <c r="L36" s="60">
        <v>0</v>
      </c>
      <c r="M36" s="36">
        <f t="shared" si="11"/>
        <v>1836517.5</v>
      </c>
      <c r="N36" s="36">
        <f t="shared" si="12"/>
        <v>36730.35</v>
      </c>
      <c r="O36" s="60">
        <f>3200*F36</f>
        <v>84256</v>
      </c>
      <c r="P36" s="36">
        <f t="shared" si="3"/>
        <v>1957503.85</v>
      </c>
      <c r="Q36" s="61">
        <v>26.33</v>
      </c>
    </row>
    <row r="37" spans="1:17" x14ac:dyDescent="0.25">
      <c r="A37" s="5" t="s">
        <v>107</v>
      </c>
      <c r="B37" s="5" t="s">
        <v>110</v>
      </c>
      <c r="C37" s="6">
        <v>42751</v>
      </c>
      <c r="D37" s="5">
        <f t="shared" si="4"/>
        <v>1</v>
      </c>
      <c r="E37" s="5">
        <f t="shared" si="5"/>
        <v>3</v>
      </c>
      <c r="F37" s="61">
        <v>26.95</v>
      </c>
      <c r="G37" s="60">
        <v>62000</v>
      </c>
      <c r="H37" s="36">
        <f t="shared" si="0"/>
        <v>1670900</v>
      </c>
      <c r="I37" s="36">
        <v>0</v>
      </c>
      <c r="J37" s="60">
        <f t="shared" si="20"/>
        <v>208862.5</v>
      </c>
      <c r="K37" s="60">
        <v>0</v>
      </c>
      <c r="L37" s="60">
        <v>0</v>
      </c>
      <c r="M37" s="36">
        <f t="shared" si="11"/>
        <v>1879762.5</v>
      </c>
      <c r="N37" s="36">
        <f t="shared" si="12"/>
        <v>37595.25</v>
      </c>
      <c r="O37" s="60">
        <f>3200*F37</f>
        <v>86240</v>
      </c>
      <c r="P37" s="36">
        <f t="shared" si="3"/>
        <v>2003597.75</v>
      </c>
      <c r="Q37" s="61">
        <v>26.95</v>
      </c>
    </row>
    <row r="38" spans="1:17" x14ac:dyDescent="0.25">
      <c r="A38" s="5" t="s">
        <v>12</v>
      </c>
      <c r="B38" s="5" t="s">
        <v>13</v>
      </c>
      <c r="C38" s="6">
        <v>42765</v>
      </c>
      <c r="D38" s="5">
        <f t="shared" si="4"/>
        <v>1</v>
      </c>
      <c r="E38" s="5">
        <f t="shared" si="5"/>
        <v>5</v>
      </c>
      <c r="F38" s="61">
        <v>27.96</v>
      </c>
      <c r="G38" s="60">
        <v>50980.4</v>
      </c>
      <c r="H38" s="36">
        <f t="shared" si="0"/>
        <v>1425411.9840000002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1"/>
        <v>1425411.9840000002</v>
      </c>
      <c r="N38" s="36">
        <f t="shared" si="12"/>
        <v>28508.239680000002</v>
      </c>
      <c r="O38" s="60">
        <v>0</v>
      </c>
      <c r="P38" s="36">
        <f t="shared" si="3"/>
        <v>1453920.2236800003</v>
      </c>
      <c r="Q38" s="61">
        <v>27.96</v>
      </c>
    </row>
    <row r="39" spans="1:17" x14ac:dyDescent="0.25">
      <c r="A39" s="5" t="s">
        <v>167</v>
      </c>
      <c r="B39" s="5" t="s">
        <v>20</v>
      </c>
      <c r="C39" s="6">
        <v>42751</v>
      </c>
      <c r="D39" s="5">
        <f t="shared" si="4"/>
        <v>1</v>
      </c>
      <c r="E39" s="5">
        <f t="shared" si="5"/>
        <v>3</v>
      </c>
      <c r="F39" s="61">
        <v>19.579999999999998</v>
      </c>
      <c r="G39" s="60">
        <v>109310</v>
      </c>
      <c r="H39" s="36">
        <f t="shared" si="0"/>
        <v>2140289.7999999998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1"/>
        <v>2140289.7999999998</v>
      </c>
      <c r="N39" s="36">
        <f t="shared" si="12"/>
        <v>42805.795999999995</v>
      </c>
      <c r="O39" s="60">
        <v>0</v>
      </c>
      <c r="P39" s="36">
        <f t="shared" si="3"/>
        <v>2183095.5959999999</v>
      </c>
      <c r="Q39" s="61">
        <v>19.579999999999998</v>
      </c>
    </row>
    <row r="40" spans="1:17" x14ac:dyDescent="0.25">
      <c r="A40" s="5" t="s">
        <v>21</v>
      </c>
      <c r="B40" s="5" t="s">
        <v>15</v>
      </c>
      <c r="C40" s="6">
        <v>42752</v>
      </c>
      <c r="D40" s="5">
        <f t="shared" si="4"/>
        <v>1</v>
      </c>
      <c r="E40" s="5">
        <f t="shared" si="5"/>
        <v>3</v>
      </c>
      <c r="F40" s="61">
        <v>30.05</v>
      </c>
      <c r="G40" s="60">
        <v>59000</v>
      </c>
      <c r="H40" s="36">
        <f t="shared" si="0"/>
        <v>1772950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1"/>
        <v>1772950</v>
      </c>
      <c r="N40" s="36">
        <v>0</v>
      </c>
      <c r="O40" s="60">
        <v>0</v>
      </c>
      <c r="P40" s="36">
        <f t="shared" si="3"/>
        <v>1772950</v>
      </c>
      <c r="Q40" s="61">
        <v>30.05</v>
      </c>
    </row>
    <row r="41" spans="1:17" x14ac:dyDescent="0.25">
      <c r="A41" s="5" t="s">
        <v>21</v>
      </c>
      <c r="B41" s="5" t="s">
        <v>15</v>
      </c>
      <c r="C41" s="6">
        <v>42752</v>
      </c>
      <c r="D41" s="5">
        <f t="shared" si="4"/>
        <v>1</v>
      </c>
      <c r="E41" s="5">
        <f t="shared" si="5"/>
        <v>3</v>
      </c>
      <c r="F41" s="61">
        <v>29.55</v>
      </c>
      <c r="G41" s="60">
        <v>59000</v>
      </c>
      <c r="H41" s="36">
        <f t="shared" si="0"/>
        <v>1743450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1"/>
        <v>1743450</v>
      </c>
      <c r="N41" s="36">
        <v>0</v>
      </c>
      <c r="O41" s="60">
        <v>0</v>
      </c>
      <c r="P41" s="36">
        <f t="shared" si="3"/>
        <v>1743450</v>
      </c>
      <c r="Q41" s="61">
        <v>29.55</v>
      </c>
    </row>
    <row r="42" spans="1:17" x14ac:dyDescent="0.25">
      <c r="A42" s="5" t="s">
        <v>24</v>
      </c>
      <c r="B42" s="5" t="s">
        <v>15</v>
      </c>
      <c r="C42" s="6">
        <v>42752</v>
      </c>
      <c r="D42" s="5">
        <f t="shared" si="4"/>
        <v>1</v>
      </c>
      <c r="E42" s="5">
        <f t="shared" si="5"/>
        <v>3</v>
      </c>
      <c r="F42" s="61">
        <v>25.89</v>
      </c>
      <c r="G42" s="60">
        <v>59000</v>
      </c>
      <c r="H42" s="36">
        <f t="shared" si="0"/>
        <v>1527510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1"/>
        <v>1527510</v>
      </c>
      <c r="N42" s="36">
        <v>0</v>
      </c>
      <c r="O42" s="60">
        <v>0</v>
      </c>
      <c r="P42" s="36">
        <f t="shared" si="3"/>
        <v>1527510</v>
      </c>
      <c r="Q42" s="61">
        <v>25.89</v>
      </c>
    </row>
    <row r="43" spans="1:17" x14ac:dyDescent="0.25">
      <c r="A43" s="5" t="s">
        <v>16</v>
      </c>
      <c r="B43" s="5" t="s">
        <v>15</v>
      </c>
      <c r="C43" s="6">
        <v>42752</v>
      </c>
      <c r="D43" s="5">
        <f t="shared" si="4"/>
        <v>1</v>
      </c>
      <c r="E43" s="5">
        <f t="shared" si="5"/>
        <v>3</v>
      </c>
      <c r="F43" s="61">
        <v>28.66</v>
      </c>
      <c r="G43" s="60">
        <v>56300</v>
      </c>
      <c r="H43" s="36">
        <f t="shared" si="0"/>
        <v>1613558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1"/>
        <v>1613558</v>
      </c>
      <c r="N43" s="36">
        <v>0</v>
      </c>
      <c r="O43" s="60">
        <v>0</v>
      </c>
      <c r="P43" s="36">
        <f t="shared" si="3"/>
        <v>1613558</v>
      </c>
      <c r="Q43" s="61">
        <v>28.66</v>
      </c>
    </row>
    <row r="44" spans="1:17" x14ac:dyDescent="0.25">
      <c r="A44" s="5" t="s">
        <v>65</v>
      </c>
      <c r="B44" s="5" t="s">
        <v>66</v>
      </c>
      <c r="C44" s="6">
        <v>42753</v>
      </c>
      <c r="D44" s="5">
        <f t="shared" si="4"/>
        <v>1</v>
      </c>
      <c r="E44" s="5">
        <f t="shared" si="5"/>
        <v>3</v>
      </c>
      <c r="F44" s="61">
        <v>21.05</v>
      </c>
      <c r="G44" s="60">
        <v>75394.48</v>
      </c>
      <c r="H44" s="36">
        <f t="shared" si="0"/>
        <v>1587053.804</v>
      </c>
      <c r="I44" s="36">
        <v>0</v>
      </c>
      <c r="J44" s="60">
        <f t="shared" ref="J44:J45" si="21">H44*12.5%</f>
        <v>198381.7255</v>
      </c>
      <c r="K44" s="60">
        <f t="shared" ref="K44:K45" si="22">(I44+J44)*2%</f>
        <v>3967.6345100000003</v>
      </c>
      <c r="L44" s="60">
        <f t="shared" ref="L44:L45" si="23">(I44+J44)*1%</f>
        <v>1983.8172550000002</v>
      </c>
      <c r="M44" s="36">
        <f t="shared" ref="M44:M45" si="24">H44+I44+J44+K44+L44</f>
        <v>1791386.9812649998</v>
      </c>
      <c r="N44" s="36">
        <v>0</v>
      </c>
      <c r="O44" s="60">
        <f t="shared" ref="O44:O45" si="25">(H44+J44+K44+L44)*4/100+4400*F44</f>
        <v>164275.47925059998</v>
      </c>
      <c r="P44" s="36">
        <f t="shared" si="3"/>
        <v>1955662.4605155997</v>
      </c>
      <c r="Q44" s="61">
        <v>21.05</v>
      </c>
    </row>
    <row r="45" spans="1:17" x14ac:dyDescent="0.25">
      <c r="A45" s="5" t="s">
        <v>65</v>
      </c>
      <c r="B45" s="5" t="s">
        <v>66</v>
      </c>
      <c r="C45" s="6">
        <v>42753</v>
      </c>
      <c r="D45" s="5">
        <f t="shared" si="4"/>
        <v>1</v>
      </c>
      <c r="E45" s="5">
        <f t="shared" si="5"/>
        <v>3</v>
      </c>
      <c r="F45" s="61">
        <v>21.02</v>
      </c>
      <c r="G45" s="60">
        <v>75394.48</v>
      </c>
      <c r="H45" s="36">
        <f t="shared" si="0"/>
        <v>1584791.9696</v>
      </c>
      <c r="I45" s="36">
        <v>0</v>
      </c>
      <c r="J45" s="60">
        <f t="shared" si="21"/>
        <v>198098.99619999999</v>
      </c>
      <c r="K45" s="60">
        <f t="shared" si="22"/>
        <v>3961.9799239999998</v>
      </c>
      <c r="L45" s="60">
        <f t="shared" si="23"/>
        <v>1980.9899619999999</v>
      </c>
      <c r="M45" s="36">
        <f t="shared" si="24"/>
        <v>1788833.9356859999</v>
      </c>
      <c r="N45" s="36">
        <v>0</v>
      </c>
      <c r="O45" s="60">
        <f t="shared" si="25"/>
        <v>164041.35742744</v>
      </c>
      <c r="P45" s="36">
        <f t="shared" si="3"/>
        <v>1952875.2931134398</v>
      </c>
      <c r="Q45" s="61">
        <v>21.02</v>
      </c>
    </row>
    <row r="46" spans="1:17" x14ac:dyDescent="0.25">
      <c r="A46" s="5" t="s">
        <v>168</v>
      </c>
      <c r="B46" s="5" t="s">
        <v>23</v>
      </c>
      <c r="C46" s="6">
        <v>42753</v>
      </c>
      <c r="D46" s="5">
        <f t="shared" si="4"/>
        <v>1</v>
      </c>
      <c r="E46" s="5">
        <f t="shared" si="5"/>
        <v>3</v>
      </c>
      <c r="F46" s="61">
        <v>20.03</v>
      </c>
      <c r="G46" s="60">
        <v>108823.53</v>
      </c>
      <c r="H46" s="36">
        <f t="shared" si="0"/>
        <v>2179735.3059</v>
      </c>
      <c r="I46" s="36">
        <v>0</v>
      </c>
      <c r="J46" s="60">
        <v>0</v>
      </c>
      <c r="K46" s="60">
        <v>0</v>
      </c>
      <c r="L46" s="60">
        <v>0</v>
      </c>
      <c r="M46" s="36">
        <f t="shared" ref="M46" si="26">+H46+J46</f>
        <v>2179735.3059</v>
      </c>
      <c r="N46" s="36">
        <f t="shared" ref="N46" si="27">M46*2%</f>
        <v>43594.706118000002</v>
      </c>
      <c r="O46" s="60">
        <v>0</v>
      </c>
      <c r="P46" s="36">
        <f t="shared" si="3"/>
        <v>2223330.0120180002</v>
      </c>
      <c r="Q46" s="61">
        <v>20.03</v>
      </c>
    </row>
    <row r="47" spans="1:17" x14ac:dyDescent="0.25">
      <c r="A47" s="5" t="s">
        <v>31</v>
      </c>
      <c r="B47" s="5" t="s">
        <v>15</v>
      </c>
      <c r="C47" s="6">
        <v>42753</v>
      </c>
      <c r="D47" s="5">
        <f t="shared" si="4"/>
        <v>1</v>
      </c>
      <c r="E47" s="5">
        <f t="shared" si="5"/>
        <v>3</v>
      </c>
      <c r="F47" s="61">
        <v>25.64</v>
      </c>
      <c r="G47" s="60">
        <v>56000</v>
      </c>
      <c r="H47" s="36">
        <f t="shared" si="0"/>
        <v>1435840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1"/>
        <v>1435840</v>
      </c>
      <c r="N47" s="36">
        <v>0</v>
      </c>
      <c r="O47" s="60">
        <v>0</v>
      </c>
      <c r="P47" s="36">
        <f t="shared" si="3"/>
        <v>1435840</v>
      </c>
      <c r="Q47" s="61">
        <v>25.64</v>
      </c>
    </row>
    <row r="48" spans="1:17" x14ac:dyDescent="0.25">
      <c r="A48" s="5" t="s">
        <v>65</v>
      </c>
      <c r="B48" s="5" t="s">
        <v>66</v>
      </c>
      <c r="C48" s="6">
        <v>42754</v>
      </c>
      <c r="D48" s="5">
        <f t="shared" si="4"/>
        <v>1</v>
      </c>
      <c r="E48" s="5">
        <f t="shared" si="5"/>
        <v>3</v>
      </c>
      <c r="F48" s="61">
        <v>20.96</v>
      </c>
      <c r="G48" s="60">
        <v>75394.48</v>
      </c>
      <c r="H48" s="36">
        <f t="shared" si="0"/>
        <v>1580268.3008000001</v>
      </c>
      <c r="I48" s="36">
        <v>0</v>
      </c>
      <c r="J48" s="60">
        <f t="shared" si="13"/>
        <v>197533.53760000001</v>
      </c>
      <c r="K48" s="60">
        <f t="shared" ref="K48" si="28">(I48+J48)*2%</f>
        <v>3950.6707520000004</v>
      </c>
      <c r="L48" s="60">
        <f t="shared" ref="L48" si="29">(I48+J48)*1%</f>
        <v>1975.3353760000002</v>
      </c>
      <c r="M48" s="36">
        <f t="shared" ref="M48" si="30">H48+I48+J48+K48+L48</f>
        <v>1783727.8445280001</v>
      </c>
      <c r="N48" s="36">
        <v>0</v>
      </c>
      <c r="O48" s="60">
        <f>(H48+J48+K48+L48)*4/100+4400*F48</f>
        <v>163573.11378111999</v>
      </c>
      <c r="P48" s="36">
        <f t="shared" si="3"/>
        <v>1947300.95830912</v>
      </c>
      <c r="Q48" s="61">
        <v>20.96</v>
      </c>
    </row>
    <row r="49" spans="1:17" x14ac:dyDescent="0.25">
      <c r="A49" s="5" t="s">
        <v>16</v>
      </c>
      <c r="B49" s="5" t="s">
        <v>15</v>
      </c>
      <c r="C49" s="6">
        <v>42754</v>
      </c>
      <c r="D49" s="5">
        <f t="shared" si="4"/>
        <v>1</v>
      </c>
      <c r="E49" s="5">
        <f t="shared" si="5"/>
        <v>3</v>
      </c>
      <c r="F49" s="61">
        <v>27.27</v>
      </c>
      <c r="G49" s="60">
        <v>55885.599999999999</v>
      </c>
      <c r="H49" s="36">
        <f t="shared" si="0"/>
        <v>1524000.3119999999</v>
      </c>
      <c r="I49" s="36">
        <v>0</v>
      </c>
      <c r="J49" s="60">
        <v>0</v>
      </c>
      <c r="K49" s="60">
        <v>0</v>
      </c>
      <c r="L49" s="60">
        <v>0</v>
      </c>
      <c r="M49" s="36">
        <f t="shared" si="11"/>
        <v>1524000.3119999999</v>
      </c>
      <c r="N49" s="36">
        <v>0</v>
      </c>
      <c r="O49" s="60">
        <v>0</v>
      </c>
      <c r="P49" s="36">
        <f t="shared" si="3"/>
        <v>1524000.3119999999</v>
      </c>
      <c r="Q49" s="61">
        <v>27.27</v>
      </c>
    </row>
    <row r="50" spans="1:17" x14ac:dyDescent="0.25">
      <c r="A50" s="5" t="s">
        <v>65</v>
      </c>
      <c r="B50" s="5" t="s">
        <v>66</v>
      </c>
      <c r="C50" s="6">
        <v>42755</v>
      </c>
      <c r="D50" s="5">
        <f t="shared" si="4"/>
        <v>1</v>
      </c>
      <c r="E50" s="5">
        <f t="shared" si="5"/>
        <v>3</v>
      </c>
      <c r="F50" s="61">
        <v>21.01</v>
      </c>
      <c r="G50" s="60">
        <v>75394.48</v>
      </c>
      <c r="H50" s="36">
        <f t="shared" si="0"/>
        <v>1584038.0248</v>
      </c>
      <c r="I50" s="36">
        <v>0</v>
      </c>
      <c r="J50" s="60">
        <f t="shared" ref="J50" si="31">H50*12.5%</f>
        <v>198004.7531</v>
      </c>
      <c r="K50" s="60">
        <f t="shared" ref="K50" si="32">(I50+J50)*2%</f>
        <v>3960.0950620000003</v>
      </c>
      <c r="L50" s="60">
        <f t="shared" ref="L50" si="33">(I50+J50)*1%</f>
        <v>1980.0475310000002</v>
      </c>
      <c r="M50" s="36">
        <f t="shared" ref="M50" si="34">H50+I50+J50+K50+L50</f>
        <v>1787982.9204930002</v>
      </c>
      <c r="N50" s="36">
        <v>0</v>
      </c>
      <c r="O50" s="60">
        <f>(H50+J50+K50+L50)*4/100+4400*F50</f>
        <v>163963.31681972003</v>
      </c>
      <c r="P50" s="36">
        <f t="shared" si="3"/>
        <v>1951946.2373127202</v>
      </c>
      <c r="Q50" s="61">
        <v>21.01</v>
      </c>
    </row>
    <row r="51" spans="1:17" x14ac:dyDescent="0.25">
      <c r="A51" s="5" t="s">
        <v>12</v>
      </c>
      <c r="B51" s="5" t="s">
        <v>13</v>
      </c>
      <c r="C51" s="6">
        <v>42757</v>
      </c>
      <c r="D51" s="5">
        <f t="shared" si="4"/>
        <v>1</v>
      </c>
      <c r="E51" s="5">
        <f t="shared" si="5"/>
        <v>4</v>
      </c>
      <c r="F51" s="61">
        <v>28.37</v>
      </c>
      <c r="G51" s="60">
        <v>50980.4</v>
      </c>
      <c r="H51" s="36">
        <f t="shared" si="0"/>
        <v>1446313.9480000001</v>
      </c>
      <c r="I51" s="36">
        <v>0</v>
      </c>
      <c r="J51" s="60">
        <v>0</v>
      </c>
      <c r="K51" s="60">
        <v>0</v>
      </c>
      <c r="L51" s="60">
        <v>0</v>
      </c>
      <c r="M51" s="36">
        <f t="shared" ref="M51" si="35">+H51+J51</f>
        <v>1446313.9480000001</v>
      </c>
      <c r="N51" s="36">
        <f t="shared" ref="N51" si="36">M51*2%</f>
        <v>28926.278960000003</v>
      </c>
      <c r="O51" s="60">
        <v>0</v>
      </c>
      <c r="P51" s="36">
        <f t="shared" si="3"/>
        <v>1475240.2269600001</v>
      </c>
      <c r="Q51" s="61">
        <v>28.37</v>
      </c>
    </row>
    <row r="52" spans="1:17" x14ac:dyDescent="0.25">
      <c r="A52" s="5" t="s">
        <v>33</v>
      </c>
      <c r="B52" s="5" t="s">
        <v>18</v>
      </c>
      <c r="C52" s="6">
        <v>42759</v>
      </c>
      <c r="D52" s="5">
        <f t="shared" si="4"/>
        <v>1</v>
      </c>
      <c r="E52" s="5">
        <f t="shared" si="5"/>
        <v>4</v>
      </c>
      <c r="F52" s="61">
        <v>27.8</v>
      </c>
      <c r="G52" s="60">
        <v>56526.06</v>
      </c>
      <c r="H52" s="36">
        <f t="shared" si="0"/>
        <v>1571424.4679999999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1"/>
        <v>1571424.4679999999</v>
      </c>
      <c r="N52" s="36">
        <v>0</v>
      </c>
      <c r="O52" s="60">
        <v>0</v>
      </c>
      <c r="P52" s="36">
        <f t="shared" si="3"/>
        <v>1571424.4679999999</v>
      </c>
      <c r="Q52" s="61">
        <v>27.8</v>
      </c>
    </row>
    <row r="53" spans="1:17" x14ac:dyDescent="0.25">
      <c r="A53" s="5" t="s">
        <v>12</v>
      </c>
      <c r="B53" s="5" t="s">
        <v>13</v>
      </c>
      <c r="C53" s="6">
        <v>42759</v>
      </c>
      <c r="D53" s="5">
        <f t="shared" si="4"/>
        <v>1</v>
      </c>
      <c r="E53" s="5">
        <f t="shared" si="5"/>
        <v>4</v>
      </c>
      <c r="F53" s="61">
        <v>30.05</v>
      </c>
      <c r="G53" s="60">
        <v>50980.4</v>
      </c>
      <c r="H53" s="36">
        <f t="shared" si="0"/>
        <v>1531961.02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1"/>
        <v>1531961.02</v>
      </c>
      <c r="N53" s="36">
        <f t="shared" si="12"/>
        <v>30639.220400000002</v>
      </c>
      <c r="O53" s="60">
        <v>0</v>
      </c>
      <c r="P53" s="36">
        <f t="shared" si="3"/>
        <v>1562600.2404</v>
      </c>
      <c r="Q53" s="61">
        <v>30.05</v>
      </c>
    </row>
    <row r="54" spans="1:17" x14ac:dyDescent="0.25">
      <c r="A54" s="5" t="s">
        <v>24</v>
      </c>
      <c r="B54" s="5" t="s">
        <v>15</v>
      </c>
      <c r="C54" s="6">
        <v>42760</v>
      </c>
      <c r="D54" s="5">
        <f t="shared" si="4"/>
        <v>1</v>
      </c>
      <c r="E54" s="5">
        <f t="shared" si="5"/>
        <v>4</v>
      </c>
      <c r="F54" s="61">
        <v>30.43</v>
      </c>
      <c r="G54" s="60">
        <v>58475.1</v>
      </c>
      <c r="H54" s="36">
        <f t="shared" si="0"/>
        <v>1779397.2929999998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1"/>
        <v>1779397.2929999998</v>
      </c>
      <c r="N54" s="36">
        <v>0</v>
      </c>
      <c r="O54" s="60">
        <v>0</v>
      </c>
      <c r="P54" s="36">
        <f t="shared" si="3"/>
        <v>1779397.2929999998</v>
      </c>
      <c r="Q54" s="61">
        <v>30.43</v>
      </c>
    </row>
    <row r="55" spans="1:17" x14ac:dyDescent="0.25">
      <c r="A55" s="5" t="s">
        <v>162</v>
      </c>
      <c r="B55" s="5" t="s">
        <v>18</v>
      </c>
      <c r="C55" s="6">
        <v>42762</v>
      </c>
      <c r="D55" s="5">
        <f t="shared" si="4"/>
        <v>1</v>
      </c>
      <c r="E55" s="5">
        <f t="shared" si="5"/>
        <v>4</v>
      </c>
      <c r="F55" s="61">
        <v>24.9</v>
      </c>
      <c r="G55" s="60">
        <v>56350</v>
      </c>
      <c r="H55" s="36">
        <f t="shared" si="0"/>
        <v>1403115</v>
      </c>
      <c r="I55" s="36">
        <v>0</v>
      </c>
      <c r="J55" s="60">
        <v>0</v>
      </c>
      <c r="K55" s="60">
        <v>0</v>
      </c>
      <c r="L55" s="60">
        <v>0</v>
      </c>
      <c r="M55" s="36">
        <f t="shared" si="11"/>
        <v>1403115</v>
      </c>
      <c r="N55" s="36">
        <v>0</v>
      </c>
      <c r="O55" s="60">
        <v>0</v>
      </c>
      <c r="P55" s="36">
        <f t="shared" si="3"/>
        <v>1403115</v>
      </c>
      <c r="Q55" s="61">
        <v>24.9</v>
      </c>
    </row>
    <row r="56" spans="1:17" x14ac:dyDescent="0.25">
      <c r="A56" s="5" t="s">
        <v>33</v>
      </c>
      <c r="B56" s="5" t="s">
        <v>15</v>
      </c>
      <c r="C56" s="6">
        <v>42763</v>
      </c>
      <c r="D56" s="5">
        <f t="shared" si="4"/>
        <v>1</v>
      </c>
      <c r="E56" s="5">
        <f t="shared" si="5"/>
        <v>4</v>
      </c>
      <c r="F56" s="61">
        <v>19.88</v>
      </c>
      <c r="G56" s="60">
        <v>55500</v>
      </c>
      <c r="H56" s="36">
        <f t="shared" si="0"/>
        <v>1103340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1"/>
        <v>1103340</v>
      </c>
      <c r="N56" s="36">
        <v>0</v>
      </c>
      <c r="O56" s="60">
        <v>0</v>
      </c>
      <c r="P56" s="36">
        <f t="shared" si="3"/>
        <v>1103340</v>
      </c>
      <c r="Q56" s="61">
        <v>19.88</v>
      </c>
    </row>
    <row r="57" spans="1:17" x14ac:dyDescent="0.25">
      <c r="A57" s="5" t="s">
        <v>168</v>
      </c>
      <c r="B57" s="5" t="s">
        <v>23</v>
      </c>
      <c r="C57" s="6">
        <v>42751</v>
      </c>
      <c r="D57" s="5">
        <f t="shared" si="4"/>
        <v>1</v>
      </c>
      <c r="E57" s="5">
        <f t="shared" si="5"/>
        <v>3</v>
      </c>
      <c r="F57" s="61">
        <v>19.920000000000002</v>
      </c>
      <c r="G57" s="60">
        <v>108823.53</v>
      </c>
      <c r="H57" s="36">
        <f t="shared" si="0"/>
        <v>2167764.7176000001</v>
      </c>
      <c r="I57" s="36">
        <v>0</v>
      </c>
      <c r="J57" s="60">
        <v>0</v>
      </c>
      <c r="K57" s="60">
        <v>0</v>
      </c>
      <c r="L57" s="60">
        <v>0</v>
      </c>
      <c r="M57" s="36">
        <f t="shared" si="11"/>
        <v>2167764.7176000001</v>
      </c>
      <c r="N57" s="36">
        <f t="shared" ref="N57" si="37">M57*2%</f>
        <v>43355.294352000004</v>
      </c>
      <c r="O57" s="60">
        <v>0</v>
      </c>
      <c r="P57" s="36">
        <f t="shared" si="3"/>
        <v>2211120.0119520002</v>
      </c>
      <c r="Q57" s="61">
        <v>19.920000000000002</v>
      </c>
    </row>
    <row r="58" spans="1:17" x14ac:dyDescent="0.25">
      <c r="A58" s="5" t="s">
        <v>100</v>
      </c>
      <c r="B58" s="5" t="s">
        <v>23</v>
      </c>
      <c r="C58" s="6">
        <v>42760</v>
      </c>
      <c r="D58" s="5">
        <f t="shared" si="4"/>
        <v>1</v>
      </c>
      <c r="E58" s="5">
        <f t="shared" si="5"/>
        <v>4</v>
      </c>
      <c r="F58" s="61">
        <v>24.71</v>
      </c>
      <c r="G58" s="60">
        <v>110784.3</v>
      </c>
      <c r="H58" s="36">
        <f t="shared" si="0"/>
        <v>2737480.0530000003</v>
      </c>
      <c r="I58" s="36">
        <v>0</v>
      </c>
      <c r="J58" s="60">
        <v>0</v>
      </c>
      <c r="K58" s="60">
        <v>0</v>
      </c>
      <c r="L58" s="60">
        <v>0</v>
      </c>
      <c r="M58" s="36">
        <f t="shared" si="11"/>
        <v>2737480.0530000003</v>
      </c>
      <c r="N58" s="36">
        <f t="shared" si="12"/>
        <v>54749.601060000008</v>
      </c>
      <c r="O58" s="60">
        <v>0</v>
      </c>
      <c r="P58" s="36">
        <f t="shared" si="3"/>
        <v>2792229.6540600001</v>
      </c>
      <c r="Q58" s="61">
        <v>24.71</v>
      </c>
    </row>
    <row r="59" spans="1:17" x14ac:dyDescent="0.25">
      <c r="A59" s="5" t="s">
        <v>100</v>
      </c>
      <c r="B59" s="5" t="s">
        <v>23</v>
      </c>
      <c r="C59" s="6">
        <v>42760</v>
      </c>
      <c r="D59" s="5">
        <f t="shared" si="4"/>
        <v>1</v>
      </c>
      <c r="E59" s="5">
        <f t="shared" si="5"/>
        <v>4</v>
      </c>
      <c r="F59" s="61">
        <v>25.13</v>
      </c>
      <c r="G59" s="60">
        <v>110784.3</v>
      </c>
      <c r="H59" s="36">
        <f t="shared" si="0"/>
        <v>2784009.4589999998</v>
      </c>
      <c r="I59" s="36">
        <v>0</v>
      </c>
      <c r="J59" s="60">
        <v>0</v>
      </c>
      <c r="K59" s="60">
        <v>0</v>
      </c>
      <c r="L59" s="60">
        <v>0</v>
      </c>
      <c r="M59" s="36">
        <f t="shared" si="11"/>
        <v>2784009.4589999998</v>
      </c>
      <c r="N59" s="36">
        <f t="shared" si="12"/>
        <v>55680.189179999994</v>
      </c>
      <c r="O59" s="60">
        <v>0</v>
      </c>
      <c r="P59" s="36">
        <f t="shared" si="3"/>
        <v>2839689.64818</v>
      </c>
      <c r="Q59" s="61">
        <v>25.13</v>
      </c>
    </row>
    <row r="60" spans="1:17" x14ac:dyDescent="0.25">
      <c r="A60" s="5" t="s">
        <v>100</v>
      </c>
      <c r="B60" s="5" t="s">
        <v>23</v>
      </c>
      <c r="C60" s="6">
        <v>42763</v>
      </c>
      <c r="D60" s="5">
        <f t="shared" si="4"/>
        <v>1</v>
      </c>
      <c r="E60" s="5">
        <f t="shared" si="5"/>
        <v>4</v>
      </c>
      <c r="F60" s="61">
        <v>24.85</v>
      </c>
      <c r="G60" s="60">
        <v>110784.3</v>
      </c>
      <c r="H60" s="36">
        <f t="shared" si="0"/>
        <v>2752989.8550000004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1"/>
        <v>2752989.8550000004</v>
      </c>
      <c r="N60" s="36">
        <f t="shared" si="12"/>
        <v>55059.797100000011</v>
      </c>
      <c r="O60" s="60">
        <v>0</v>
      </c>
      <c r="P60" s="36">
        <f t="shared" si="3"/>
        <v>2808049.6521000005</v>
      </c>
      <c r="Q60" s="61">
        <v>24.85</v>
      </c>
    </row>
    <row r="61" spans="1:17" x14ac:dyDescent="0.25">
      <c r="A61" s="5" t="s">
        <v>100</v>
      </c>
      <c r="B61" s="5" t="s">
        <v>23</v>
      </c>
      <c r="C61" s="6">
        <v>42764</v>
      </c>
      <c r="D61" s="5">
        <f t="shared" si="4"/>
        <v>1</v>
      </c>
      <c r="E61" s="5">
        <f t="shared" si="5"/>
        <v>5</v>
      </c>
      <c r="F61" s="61">
        <v>24.03</v>
      </c>
      <c r="G61" s="60">
        <v>110784.3</v>
      </c>
      <c r="H61" s="36">
        <f t="shared" si="0"/>
        <v>2662146.7290000003</v>
      </c>
      <c r="I61" s="36">
        <v>0</v>
      </c>
      <c r="J61" s="60">
        <v>0</v>
      </c>
      <c r="K61" s="60">
        <v>0</v>
      </c>
      <c r="L61" s="60">
        <v>0</v>
      </c>
      <c r="M61" s="36">
        <f t="shared" si="11"/>
        <v>2662146.7290000003</v>
      </c>
      <c r="N61" s="36">
        <f t="shared" si="12"/>
        <v>53242.934580000008</v>
      </c>
      <c r="O61" s="60">
        <v>0</v>
      </c>
      <c r="P61" s="36">
        <f t="shared" si="3"/>
        <v>2715389.6635800004</v>
      </c>
      <c r="Q61" s="61">
        <v>24.03</v>
      </c>
    </row>
  </sheetData>
  <autoFilter ref="A1:Q61"/>
  <hyperlinks>
    <hyperlink ref="K1" r:id="rId1"/>
    <hyperlink ref="L1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C2" sqref="A2:XFD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162</v>
      </c>
      <c r="B2" s="5" t="s">
        <v>18</v>
      </c>
      <c r="C2" s="6">
        <v>42768</v>
      </c>
      <c r="D2" s="5">
        <f>MONTH(C2)</f>
        <v>2</v>
      </c>
      <c r="E2" s="5">
        <f>WEEKNUM(C2)</f>
        <v>5</v>
      </c>
      <c r="F2" s="61">
        <v>19.72</v>
      </c>
      <c r="G2" s="60">
        <v>56350</v>
      </c>
      <c r="H2" s="36">
        <f t="shared" ref="H2:H65" si="0">+F2*G2</f>
        <v>1111222</v>
      </c>
      <c r="I2" s="36">
        <v>0</v>
      </c>
      <c r="J2" s="60">
        <v>0</v>
      </c>
      <c r="K2" s="60">
        <v>0</v>
      </c>
      <c r="L2" s="60">
        <v>0</v>
      </c>
      <c r="M2" s="36">
        <f t="shared" ref="M2:M65" si="1">+H2+J2</f>
        <v>1111222</v>
      </c>
      <c r="N2" s="36">
        <v>0</v>
      </c>
      <c r="O2" s="60">
        <v>0</v>
      </c>
      <c r="P2" s="36">
        <f t="shared" ref="P2:P65" si="2">+M2+N2+O2</f>
        <v>1111222</v>
      </c>
      <c r="Q2" s="61">
        <v>19.72</v>
      </c>
    </row>
    <row r="3" spans="1:17" x14ac:dyDescent="0.25">
      <c r="A3" s="5" t="s">
        <v>32</v>
      </c>
      <c r="B3" s="5" t="s">
        <v>18</v>
      </c>
      <c r="C3" s="6">
        <v>42770</v>
      </c>
      <c r="D3" s="5">
        <f t="shared" ref="D3:D65" si="3">MONTH(C3)</f>
        <v>2</v>
      </c>
      <c r="E3" s="5">
        <f t="shared" ref="E3:E65" si="4">WEEKNUM(C3)</f>
        <v>5</v>
      </c>
      <c r="F3" s="61">
        <v>20.04</v>
      </c>
      <c r="G3" s="60">
        <v>56350</v>
      </c>
      <c r="H3" s="36">
        <f t="shared" si="0"/>
        <v>1129254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1129254</v>
      </c>
      <c r="N3" s="36">
        <v>0</v>
      </c>
      <c r="O3" s="60">
        <v>0</v>
      </c>
      <c r="P3" s="36">
        <f t="shared" si="2"/>
        <v>1129254</v>
      </c>
      <c r="Q3" s="61">
        <v>20.04</v>
      </c>
    </row>
    <row r="4" spans="1:17" x14ac:dyDescent="0.25">
      <c r="A4" s="5" t="s">
        <v>32</v>
      </c>
      <c r="B4" s="5" t="s">
        <v>18</v>
      </c>
      <c r="C4" s="6">
        <v>42770</v>
      </c>
      <c r="D4" s="5">
        <f t="shared" si="3"/>
        <v>2</v>
      </c>
      <c r="E4" s="5">
        <f t="shared" si="4"/>
        <v>5</v>
      </c>
      <c r="F4" s="61">
        <v>19.84</v>
      </c>
      <c r="G4" s="60">
        <v>53807.3</v>
      </c>
      <c r="H4" s="36">
        <f t="shared" si="0"/>
        <v>1067536.8319999999</v>
      </c>
      <c r="I4" s="36">
        <v>0</v>
      </c>
      <c r="J4" s="60">
        <v>0</v>
      </c>
      <c r="K4" s="60">
        <v>0</v>
      </c>
      <c r="L4" s="60">
        <v>0</v>
      </c>
      <c r="M4" s="36">
        <f t="shared" si="1"/>
        <v>1067536.8319999999</v>
      </c>
      <c r="N4" s="36">
        <v>0</v>
      </c>
      <c r="O4" s="60">
        <v>0</v>
      </c>
      <c r="P4" s="36">
        <f t="shared" si="2"/>
        <v>1067536.8319999999</v>
      </c>
      <c r="Q4" s="61">
        <v>19.84</v>
      </c>
    </row>
    <row r="5" spans="1:17" x14ac:dyDescent="0.25">
      <c r="A5" s="5" t="s">
        <v>12</v>
      </c>
      <c r="B5" s="5" t="s">
        <v>13</v>
      </c>
      <c r="C5" s="6">
        <v>42770</v>
      </c>
      <c r="D5" s="5">
        <f t="shared" si="3"/>
        <v>2</v>
      </c>
      <c r="E5" s="5">
        <f t="shared" si="4"/>
        <v>5</v>
      </c>
      <c r="F5" s="61">
        <v>27.72</v>
      </c>
      <c r="G5" s="60">
        <v>50490.2</v>
      </c>
      <c r="H5" s="36">
        <f t="shared" si="0"/>
        <v>1399588.3439999998</v>
      </c>
      <c r="I5" s="36">
        <v>0</v>
      </c>
      <c r="J5" s="60">
        <v>0</v>
      </c>
      <c r="K5" s="60">
        <v>0</v>
      </c>
      <c r="L5" s="60">
        <v>0</v>
      </c>
      <c r="M5" s="36">
        <f t="shared" si="1"/>
        <v>1399588.3439999998</v>
      </c>
      <c r="N5" s="36">
        <f t="shared" ref="N5:N32" si="5">M5*2%</f>
        <v>27991.766879999996</v>
      </c>
      <c r="O5" s="60">
        <v>0</v>
      </c>
      <c r="P5" s="36">
        <f t="shared" si="2"/>
        <v>1427580.1108799998</v>
      </c>
      <c r="Q5" s="61">
        <v>27.72</v>
      </c>
    </row>
    <row r="6" spans="1:17" x14ac:dyDescent="0.25">
      <c r="A6" s="5" t="s">
        <v>33</v>
      </c>
      <c r="B6" s="5" t="s">
        <v>15</v>
      </c>
      <c r="C6" s="6">
        <v>42771</v>
      </c>
      <c r="D6" s="5">
        <f t="shared" si="3"/>
        <v>2</v>
      </c>
      <c r="E6" s="5">
        <f t="shared" si="4"/>
        <v>6</v>
      </c>
      <c r="F6" s="61">
        <v>27.83</v>
      </c>
      <c r="G6" s="60">
        <v>56000</v>
      </c>
      <c r="H6" s="36">
        <f t="shared" si="0"/>
        <v>1558480</v>
      </c>
      <c r="I6" s="36">
        <v>0</v>
      </c>
      <c r="J6" s="60">
        <v>0</v>
      </c>
      <c r="K6" s="60">
        <v>0</v>
      </c>
      <c r="L6" s="60">
        <v>0</v>
      </c>
      <c r="M6" s="36">
        <f t="shared" si="1"/>
        <v>1558480</v>
      </c>
      <c r="N6" s="36">
        <v>0</v>
      </c>
      <c r="O6" s="60">
        <v>0</v>
      </c>
      <c r="P6" s="36">
        <f t="shared" si="2"/>
        <v>1558480</v>
      </c>
      <c r="Q6" s="61">
        <v>27.83</v>
      </c>
    </row>
    <row r="7" spans="1:17" x14ac:dyDescent="0.25">
      <c r="A7" s="5" t="s">
        <v>33</v>
      </c>
      <c r="B7" s="5" t="s">
        <v>15</v>
      </c>
      <c r="C7" s="6">
        <v>42771</v>
      </c>
      <c r="D7" s="5">
        <f t="shared" si="3"/>
        <v>2</v>
      </c>
      <c r="E7" s="5">
        <f t="shared" si="4"/>
        <v>6</v>
      </c>
      <c r="F7" s="61">
        <v>27.95</v>
      </c>
      <c r="G7" s="60">
        <v>55210.7</v>
      </c>
      <c r="H7" s="36">
        <f t="shared" si="0"/>
        <v>1543139.0649999999</v>
      </c>
      <c r="I7" s="36">
        <v>0</v>
      </c>
      <c r="J7" s="60">
        <v>0</v>
      </c>
      <c r="K7" s="60">
        <v>0</v>
      </c>
      <c r="L7" s="60">
        <v>0</v>
      </c>
      <c r="M7" s="36">
        <f t="shared" si="1"/>
        <v>1543139.0649999999</v>
      </c>
      <c r="N7" s="36">
        <v>0</v>
      </c>
      <c r="O7" s="60">
        <v>0</v>
      </c>
      <c r="P7" s="36">
        <f t="shared" si="2"/>
        <v>1543139.0649999999</v>
      </c>
      <c r="Q7" s="61">
        <v>27.95</v>
      </c>
    </row>
    <row r="8" spans="1:17" x14ac:dyDescent="0.25">
      <c r="A8" s="5" t="s">
        <v>21</v>
      </c>
      <c r="B8" s="5" t="s">
        <v>18</v>
      </c>
      <c r="C8" s="6">
        <v>42771</v>
      </c>
      <c r="D8" s="5">
        <f t="shared" si="3"/>
        <v>2</v>
      </c>
      <c r="E8" s="5">
        <f t="shared" si="4"/>
        <v>6</v>
      </c>
      <c r="F8" s="61">
        <v>28.14</v>
      </c>
      <c r="G8" s="60">
        <v>56350</v>
      </c>
      <c r="H8" s="36">
        <f t="shared" si="0"/>
        <v>1585689</v>
      </c>
      <c r="I8" s="36">
        <v>0</v>
      </c>
      <c r="J8" s="60">
        <v>0</v>
      </c>
      <c r="K8" s="60">
        <v>0</v>
      </c>
      <c r="L8" s="60">
        <v>0</v>
      </c>
      <c r="M8" s="36">
        <f t="shared" si="1"/>
        <v>1585689</v>
      </c>
      <c r="N8" s="36">
        <v>0</v>
      </c>
      <c r="O8" s="60">
        <v>0</v>
      </c>
      <c r="P8" s="36">
        <f t="shared" si="2"/>
        <v>1585689</v>
      </c>
      <c r="Q8" s="61">
        <v>28.14</v>
      </c>
    </row>
    <row r="9" spans="1:17" x14ac:dyDescent="0.25">
      <c r="A9" s="5" t="s">
        <v>12</v>
      </c>
      <c r="B9" s="5" t="s">
        <v>13</v>
      </c>
      <c r="C9" s="6">
        <v>42771</v>
      </c>
      <c r="D9" s="5">
        <f t="shared" si="3"/>
        <v>2</v>
      </c>
      <c r="E9" s="5">
        <f t="shared" si="4"/>
        <v>6</v>
      </c>
      <c r="F9" s="61">
        <v>26.65</v>
      </c>
      <c r="G9" s="60">
        <v>50490.2</v>
      </c>
      <c r="H9" s="36">
        <f t="shared" si="0"/>
        <v>1345563.8299999998</v>
      </c>
      <c r="I9" s="36">
        <v>0</v>
      </c>
      <c r="J9" s="60">
        <v>0</v>
      </c>
      <c r="K9" s="60">
        <v>0</v>
      </c>
      <c r="L9" s="60">
        <v>0</v>
      </c>
      <c r="M9" s="36">
        <f t="shared" si="1"/>
        <v>1345563.8299999998</v>
      </c>
      <c r="N9" s="36">
        <f t="shared" ref="N9" si="6">M9*2%</f>
        <v>26911.276599999997</v>
      </c>
      <c r="O9" s="60">
        <v>0</v>
      </c>
      <c r="P9" s="36">
        <f t="shared" si="2"/>
        <v>1372475.1065999998</v>
      </c>
      <c r="Q9" s="61">
        <v>26.65</v>
      </c>
    </row>
    <row r="10" spans="1:17" x14ac:dyDescent="0.25">
      <c r="A10" s="5" t="s">
        <v>21</v>
      </c>
      <c r="B10" s="5" t="s">
        <v>15</v>
      </c>
      <c r="C10" s="6">
        <v>42772</v>
      </c>
      <c r="D10" s="5">
        <f t="shared" si="3"/>
        <v>2</v>
      </c>
      <c r="E10" s="5">
        <f t="shared" si="4"/>
        <v>6</v>
      </c>
      <c r="F10" s="61">
        <v>29.83</v>
      </c>
      <c r="G10" s="60">
        <v>57500</v>
      </c>
      <c r="H10" s="36">
        <f t="shared" si="0"/>
        <v>1715225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"/>
        <v>1715225</v>
      </c>
      <c r="N10" s="36">
        <v>0</v>
      </c>
      <c r="O10" s="60">
        <v>0</v>
      </c>
      <c r="P10" s="36">
        <f t="shared" si="2"/>
        <v>1715225</v>
      </c>
      <c r="Q10" s="61">
        <v>29.83</v>
      </c>
    </row>
    <row r="11" spans="1:17" x14ac:dyDescent="0.25">
      <c r="A11" s="5" t="s">
        <v>12</v>
      </c>
      <c r="B11" s="5" t="s">
        <v>13</v>
      </c>
      <c r="C11" s="6">
        <v>42773</v>
      </c>
      <c r="D11" s="5">
        <f t="shared" si="3"/>
        <v>2</v>
      </c>
      <c r="E11" s="5">
        <f t="shared" si="4"/>
        <v>6</v>
      </c>
      <c r="F11" s="61">
        <v>29.18</v>
      </c>
      <c r="G11" s="60">
        <v>50490.2</v>
      </c>
      <c r="H11" s="36">
        <f t="shared" si="0"/>
        <v>1473304.0359999998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"/>
        <v>1473304.0359999998</v>
      </c>
      <c r="N11" s="36">
        <f t="shared" si="5"/>
        <v>29466.080719999998</v>
      </c>
      <c r="O11" s="60">
        <v>0</v>
      </c>
      <c r="P11" s="36">
        <f t="shared" si="2"/>
        <v>1502770.1167199998</v>
      </c>
      <c r="Q11" s="61">
        <v>29.18</v>
      </c>
    </row>
    <row r="12" spans="1:17" x14ac:dyDescent="0.25">
      <c r="A12" s="5" t="s">
        <v>12</v>
      </c>
      <c r="B12" s="5" t="s">
        <v>13</v>
      </c>
      <c r="C12" s="6">
        <v>42774</v>
      </c>
      <c r="D12" s="5">
        <f t="shared" si="3"/>
        <v>2</v>
      </c>
      <c r="E12" s="5">
        <f t="shared" si="4"/>
        <v>6</v>
      </c>
      <c r="F12" s="61">
        <v>30.37</v>
      </c>
      <c r="G12" s="60">
        <v>50490.2</v>
      </c>
      <c r="H12" s="36">
        <f t="shared" si="0"/>
        <v>1533387.3740000001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"/>
        <v>1533387.3740000001</v>
      </c>
      <c r="N12" s="36">
        <f t="shared" si="5"/>
        <v>30667.747480000002</v>
      </c>
      <c r="O12" s="60">
        <v>0</v>
      </c>
      <c r="P12" s="36">
        <f t="shared" si="2"/>
        <v>1564055.12148</v>
      </c>
      <c r="Q12" s="61">
        <v>30.37</v>
      </c>
    </row>
    <row r="13" spans="1:17" x14ac:dyDescent="0.25">
      <c r="A13" s="5" t="s">
        <v>12</v>
      </c>
      <c r="B13" s="5" t="s">
        <v>13</v>
      </c>
      <c r="C13" s="6">
        <v>42774</v>
      </c>
      <c r="D13" s="5">
        <f t="shared" si="3"/>
        <v>2</v>
      </c>
      <c r="E13" s="5">
        <f t="shared" si="4"/>
        <v>6</v>
      </c>
      <c r="F13" s="61">
        <v>30.02</v>
      </c>
      <c r="G13" s="60">
        <v>50490.2</v>
      </c>
      <c r="H13" s="36">
        <f t="shared" si="0"/>
        <v>1515715.804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"/>
        <v>1515715.804</v>
      </c>
      <c r="N13" s="36">
        <f t="shared" si="5"/>
        <v>30314.316080000001</v>
      </c>
      <c r="O13" s="60">
        <v>0</v>
      </c>
      <c r="P13" s="36">
        <f t="shared" si="2"/>
        <v>1546030.12008</v>
      </c>
      <c r="Q13" s="61">
        <v>30.02</v>
      </c>
    </row>
    <row r="14" spans="1:17" x14ac:dyDescent="0.25">
      <c r="A14" s="5" t="s">
        <v>21</v>
      </c>
      <c r="B14" s="5" t="s">
        <v>15</v>
      </c>
      <c r="C14" s="6">
        <v>42774</v>
      </c>
      <c r="D14" s="5">
        <f t="shared" si="3"/>
        <v>2</v>
      </c>
      <c r="E14" s="5">
        <f t="shared" si="4"/>
        <v>6</v>
      </c>
      <c r="F14" s="61">
        <v>29.05</v>
      </c>
      <c r="G14" s="60">
        <v>58873.15</v>
      </c>
      <c r="H14" s="36">
        <f t="shared" si="0"/>
        <v>1710265.0075000001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"/>
        <v>1710265.0075000001</v>
      </c>
      <c r="N14" s="36">
        <v>0</v>
      </c>
      <c r="O14" s="60">
        <v>0</v>
      </c>
      <c r="P14" s="36">
        <f t="shared" si="2"/>
        <v>1710265.0075000001</v>
      </c>
      <c r="Q14" s="61">
        <v>29.05</v>
      </c>
    </row>
    <row r="15" spans="1:17" x14ac:dyDescent="0.25">
      <c r="A15" s="5" t="s">
        <v>21</v>
      </c>
      <c r="B15" s="5" t="s">
        <v>15</v>
      </c>
      <c r="C15" s="6">
        <v>42774</v>
      </c>
      <c r="D15" s="5">
        <f t="shared" si="3"/>
        <v>2</v>
      </c>
      <c r="E15" s="5">
        <f t="shared" si="4"/>
        <v>6</v>
      </c>
      <c r="F15" s="61">
        <v>19.8</v>
      </c>
      <c r="G15" s="60">
        <v>59500</v>
      </c>
      <c r="H15" s="36">
        <f t="shared" si="0"/>
        <v>1178100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"/>
        <v>1178100</v>
      </c>
      <c r="N15" s="36">
        <v>0</v>
      </c>
      <c r="O15" s="60">
        <v>0</v>
      </c>
      <c r="P15" s="36">
        <f t="shared" si="2"/>
        <v>1178100</v>
      </c>
      <c r="Q15" s="61">
        <v>19.8</v>
      </c>
    </row>
    <row r="16" spans="1:17" x14ac:dyDescent="0.25">
      <c r="A16" s="5" t="s">
        <v>21</v>
      </c>
      <c r="B16" s="5" t="s">
        <v>15</v>
      </c>
      <c r="C16" s="6">
        <v>42774</v>
      </c>
      <c r="D16" s="5">
        <f t="shared" si="3"/>
        <v>2</v>
      </c>
      <c r="E16" s="5">
        <f t="shared" si="4"/>
        <v>6</v>
      </c>
      <c r="F16" s="61">
        <v>19.95</v>
      </c>
      <c r="G16" s="60">
        <v>59500</v>
      </c>
      <c r="H16" s="36">
        <f t="shared" si="0"/>
        <v>1187025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"/>
        <v>1187025</v>
      </c>
      <c r="N16" s="36">
        <v>0</v>
      </c>
      <c r="O16" s="60">
        <v>0</v>
      </c>
      <c r="P16" s="36">
        <f t="shared" si="2"/>
        <v>1187025</v>
      </c>
      <c r="Q16" s="61">
        <v>19.95</v>
      </c>
    </row>
    <row r="17" spans="1:17" x14ac:dyDescent="0.25">
      <c r="A17" s="5" t="s">
        <v>24</v>
      </c>
      <c r="B17" s="5" t="s">
        <v>15</v>
      </c>
      <c r="C17" s="6">
        <v>42775</v>
      </c>
      <c r="D17" s="5">
        <f t="shared" si="3"/>
        <v>2</v>
      </c>
      <c r="E17" s="5">
        <f t="shared" si="4"/>
        <v>6</v>
      </c>
      <c r="F17" s="61">
        <v>27.06</v>
      </c>
      <c r="G17" s="60">
        <v>59500</v>
      </c>
      <c r="H17" s="36">
        <f t="shared" si="0"/>
        <v>1610070</v>
      </c>
      <c r="I17" s="36">
        <v>0</v>
      </c>
      <c r="J17" s="60">
        <v>0</v>
      </c>
      <c r="K17" s="60">
        <v>0</v>
      </c>
      <c r="L17" s="60">
        <v>0</v>
      </c>
      <c r="M17" s="36">
        <f t="shared" si="1"/>
        <v>1610070</v>
      </c>
      <c r="N17" s="36">
        <v>0</v>
      </c>
      <c r="O17" s="60">
        <v>0</v>
      </c>
      <c r="P17" s="36">
        <f t="shared" si="2"/>
        <v>1610070</v>
      </c>
      <c r="Q17" s="61">
        <v>27.06</v>
      </c>
    </row>
    <row r="18" spans="1:17" x14ac:dyDescent="0.25">
      <c r="A18" s="5" t="s">
        <v>162</v>
      </c>
      <c r="B18" s="5" t="s">
        <v>15</v>
      </c>
      <c r="C18" s="6">
        <v>42776</v>
      </c>
      <c r="D18" s="5">
        <f t="shared" si="3"/>
        <v>2</v>
      </c>
      <c r="E18" s="5">
        <f t="shared" si="4"/>
        <v>6</v>
      </c>
      <c r="F18" s="61">
        <v>27.24</v>
      </c>
      <c r="G18" s="60">
        <v>59000</v>
      </c>
      <c r="H18" s="36">
        <f t="shared" si="0"/>
        <v>1607160</v>
      </c>
      <c r="I18" s="36">
        <v>0</v>
      </c>
      <c r="J18" s="60">
        <v>0</v>
      </c>
      <c r="K18" s="60">
        <v>0</v>
      </c>
      <c r="L18" s="60">
        <v>0</v>
      </c>
      <c r="M18" s="36">
        <f t="shared" si="1"/>
        <v>1607160</v>
      </c>
      <c r="N18" s="36">
        <v>0</v>
      </c>
      <c r="O18" s="60">
        <v>0</v>
      </c>
      <c r="P18" s="36">
        <f t="shared" si="2"/>
        <v>1607160</v>
      </c>
      <c r="Q18" s="61">
        <v>27.24</v>
      </c>
    </row>
    <row r="19" spans="1:17" x14ac:dyDescent="0.25">
      <c r="A19" s="5" t="s">
        <v>12</v>
      </c>
      <c r="B19" s="5" t="s">
        <v>13</v>
      </c>
      <c r="C19" s="6">
        <v>42776</v>
      </c>
      <c r="D19" s="5">
        <f t="shared" si="3"/>
        <v>2</v>
      </c>
      <c r="E19" s="5">
        <f t="shared" si="4"/>
        <v>6</v>
      </c>
      <c r="F19" s="61">
        <v>28.73</v>
      </c>
      <c r="G19" s="60">
        <v>50490.2</v>
      </c>
      <c r="H19" s="36">
        <f t="shared" si="0"/>
        <v>1450583.446</v>
      </c>
      <c r="I19" s="36">
        <v>0</v>
      </c>
      <c r="J19" s="60">
        <v>0</v>
      </c>
      <c r="K19" s="60">
        <v>0</v>
      </c>
      <c r="L19" s="60">
        <v>0</v>
      </c>
      <c r="M19" s="36">
        <f t="shared" si="1"/>
        <v>1450583.446</v>
      </c>
      <c r="N19" s="36">
        <f t="shared" si="5"/>
        <v>29011.66892</v>
      </c>
      <c r="O19" s="60">
        <v>0</v>
      </c>
      <c r="P19" s="36">
        <f t="shared" si="2"/>
        <v>1479595.1149200001</v>
      </c>
      <c r="Q19" s="61">
        <v>28.73</v>
      </c>
    </row>
    <row r="20" spans="1:17" x14ac:dyDescent="0.25">
      <c r="A20" s="5" t="s">
        <v>12</v>
      </c>
      <c r="B20" s="5" t="s">
        <v>13</v>
      </c>
      <c r="C20" s="6">
        <v>42777</v>
      </c>
      <c r="D20" s="5">
        <f t="shared" si="3"/>
        <v>2</v>
      </c>
      <c r="E20" s="5">
        <f t="shared" si="4"/>
        <v>6</v>
      </c>
      <c r="F20" s="61">
        <v>28.29</v>
      </c>
      <c r="G20" s="60">
        <v>50490.2</v>
      </c>
      <c r="H20" s="36">
        <f t="shared" si="0"/>
        <v>1428367.7579999999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"/>
        <v>1428367.7579999999</v>
      </c>
      <c r="N20" s="36">
        <f t="shared" si="5"/>
        <v>28567.355159999999</v>
      </c>
      <c r="O20" s="60">
        <v>0</v>
      </c>
      <c r="P20" s="36">
        <f t="shared" si="2"/>
        <v>1456935.1131599999</v>
      </c>
      <c r="Q20" s="61">
        <v>28.29</v>
      </c>
    </row>
    <row r="21" spans="1:17" x14ac:dyDescent="0.25">
      <c r="A21" s="5" t="s">
        <v>32</v>
      </c>
      <c r="B21" s="5" t="s">
        <v>18</v>
      </c>
      <c r="C21" s="6">
        <v>42777</v>
      </c>
      <c r="D21" s="5">
        <f t="shared" si="3"/>
        <v>2</v>
      </c>
      <c r="E21" s="5">
        <f t="shared" si="4"/>
        <v>6</v>
      </c>
      <c r="F21" s="61">
        <v>19.739999999999998</v>
      </c>
      <c r="G21" s="60">
        <v>56350</v>
      </c>
      <c r="H21" s="36">
        <f t="shared" si="0"/>
        <v>1112349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"/>
        <v>1112349</v>
      </c>
      <c r="N21" s="36">
        <v>0</v>
      </c>
      <c r="O21" s="60">
        <v>0</v>
      </c>
      <c r="P21" s="36">
        <f t="shared" si="2"/>
        <v>1112349</v>
      </c>
      <c r="Q21" s="61">
        <v>19.739999999999998</v>
      </c>
    </row>
    <row r="22" spans="1:17" x14ac:dyDescent="0.25">
      <c r="A22" s="5" t="s">
        <v>24</v>
      </c>
      <c r="B22" s="5" t="s">
        <v>15</v>
      </c>
      <c r="C22" s="6">
        <v>42777</v>
      </c>
      <c r="D22" s="5">
        <f t="shared" si="3"/>
        <v>2</v>
      </c>
      <c r="E22" s="5">
        <f t="shared" si="4"/>
        <v>6</v>
      </c>
      <c r="F22" s="61">
        <v>19.100000000000001</v>
      </c>
      <c r="G22" s="60">
        <v>59379.89</v>
      </c>
      <c r="H22" s="36">
        <f t="shared" si="0"/>
        <v>1134155.899</v>
      </c>
      <c r="I22" s="36">
        <v>0</v>
      </c>
      <c r="J22" s="60">
        <v>0</v>
      </c>
      <c r="K22" s="60">
        <v>0</v>
      </c>
      <c r="L22" s="60">
        <v>0</v>
      </c>
      <c r="M22" s="36">
        <f t="shared" si="1"/>
        <v>1134155.899</v>
      </c>
      <c r="N22" s="36">
        <v>0</v>
      </c>
      <c r="O22" s="60">
        <v>0</v>
      </c>
      <c r="P22" s="36">
        <f t="shared" si="2"/>
        <v>1134155.899</v>
      </c>
      <c r="Q22" s="61">
        <v>19.100000000000001</v>
      </c>
    </row>
    <row r="23" spans="1:17" x14ac:dyDescent="0.25">
      <c r="A23" s="5" t="s">
        <v>67</v>
      </c>
      <c r="B23" s="5" t="s">
        <v>15</v>
      </c>
      <c r="C23" s="6">
        <v>42778</v>
      </c>
      <c r="D23" s="5">
        <f t="shared" si="3"/>
        <v>2</v>
      </c>
      <c r="E23" s="5">
        <f t="shared" si="4"/>
        <v>7</v>
      </c>
      <c r="F23" s="61">
        <v>26.76</v>
      </c>
      <c r="G23" s="60">
        <v>59500</v>
      </c>
      <c r="H23" s="36">
        <f t="shared" si="0"/>
        <v>1592220</v>
      </c>
      <c r="I23" s="36">
        <v>0</v>
      </c>
      <c r="J23" s="60">
        <v>0</v>
      </c>
      <c r="K23" s="60">
        <v>0</v>
      </c>
      <c r="L23" s="60">
        <v>0</v>
      </c>
      <c r="M23" s="36">
        <f t="shared" si="1"/>
        <v>1592220</v>
      </c>
      <c r="N23" s="36">
        <v>0</v>
      </c>
      <c r="O23" s="60">
        <v>0</v>
      </c>
      <c r="P23" s="36">
        <f t="shared" si="2"/>
        <v>1592220</v>
      </c>
      <c r="Q23" s="61">
        <v>26.76</v>
      </c>
    </row>
    <row r="24" spans="1:17" x14ac:dyDescent="0.25">
      <c r="A24" s="5" t="s">
        <v>100</v>
      </c>
      <c r="B24" s="5" t="s">
        <v>23</v>
      </c>
      <c r="C24" s="6">
        <v>42778</v>
      </c>
      <c r="D24" s="5">
        <f t="shared" si="3"/>
        <v>2</v>
      </c>
      <c r="E24" s="5">
        <f t="shared" si="4"/>
        <v>7</v>
      </c>
      <c r="F24" s="61">
        <v>19.43</v>
      </c>
      <c r="G24" s="60">
        <v>90196</v>
      </c>
      <c r="H24" s="36">
        <f t="shared" si="0"/>
        <v>1752508.28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"/>
        <v>1752508.28</v>
      </c>
      <c r="N24" s="36">
        <f t="shared" ref="N24:N27" si="7">M24*2%</f>
        <v>35050.1656</v>
      </c>
      <c r="O24" s="60">
        <v>0</v>
      </c>
      <c r="P24" s="36">
        <v>1788480</v>
      </c>
      <c r="Q24" s="61">
        <v>19.43</v>
      </c>
    </row>
    <row r="25" spans="1:17" x14ac:dyDescent="0.25">
      <c r="A25" s="5" t="s">
        <v>100</v>
      </c>
      <c r="B25" s="5" t="s">
        <v>23</v>
      </c>
      <c r="C25" s="6">
        <v>42778</v>
      </c>
      <c r="D25" s="5">
        <f t="shared" si="3"/>
        <v>2</v>
      </c>
      <c r="E25" s="5">
        <f t="shared" si="4"/>
        <v>7</v>
      </c>
      <c r="F25" s="61">
        <v>19.600000000000001</v>
      </c>
      <c r="G25" s="60">
        <v>90196</v>
      </c>
      <c r="H25" s="36">
        <f t="shared" si="0"/>
        <v>1767841.6</v>
      </c>
      <c r="I25" s="36">
        <v>0</v>
      </c>
      <c r="J25" s="60">
        <v>0</v>
      </c>
      <c r="K25" s="60">
        <v>0</v>
      </c>
      <c r="L25" s="60">
        <v>0</v>
      </c>
      <c r="M25" s="36">
        <f t="shared" si="1"/>
        <v>1767841.6</v>
      </c>
      <c r="N25" s="36">
        <f t="shared" si="7"/>
        <v>35356.832000000002</v>
      </c>
      <c r="O25" s="60">
        <v>0</v>
      </c>
      <c r="P25" s="36">
        <v>1805040</v>
      </c>
      <c r="Q25" s="61">
        <v>19.600000000000001</v>
      </c>
    </row>
    <row r="26" spans="1:17" x14ac:dyDescent="0.25">
      <c r="A26" s="5" t="s">
        <v>12</v>
      </c>
      <c r="B26" s="5" t="s">
        <v>13</v>
      </c>
      <c r="C26" s="6">
        <v>42779</v>
      </c>
      <c r="D26" s="5">
        <f t="shared" si="3"/>
        <v>2</v>
      </c>
      <c r="E26" s="5">
        <f t="shared" si="4"/>
        <v>7</v>
      </c>
      <c r="F26" s="61">
        <v>29.45</v>
      </c>
      <c r="G26" s="60">
        <v>50000</v>
      </c>
      <c r="H26" s="36">
        <f t="shared" si="0"/>
        <v>1472500</v>
      </c>
      <c r="I26" s="36">
        <v>0</v>
      </c>
      <c r="J26" s="60">
        <v>0</v>
      </c>
      <c r="K26" s="60">
        <v>0</v>
      </c>
      <c r="L26" s="60">
        <v>0</v>
      </c>
      <c r="M26" s="36">
        <f t="shared" si="1"/>
        <v>1472500</v>
      </c>
      <c r="N26" s="36">
        <f t="shared" si="7"/>
        <v>29450</v>
      </c>
      <c r="O26" s="60">
        <v>0</v>
      </c>
      <c r="P26" s="36">
        <f t="shared" ref="P26" si="8">+M26+N26+O26</f>
        <v>1501950</v>
      </c>
      <c r="Q26" s="61">
        <v>29.45</v>
      </c>
    </row>
    <row r="27" spans="1:17" x14ac:dyDescent="0.25">
      <c r="A27" s="5" t="s">
        <v>100</v>
      </c>
      <c r="B27" s="5" t="s">
        <v>23</v>
      </c>
      <c r="C27" s="6">
        <v>42781</v>
      </c>
      <c r="D27" s="5">
        <f t="shared" si="3"/>
        <v>2</v>
      </c>
      <c r="E27" s="5">
        <f t="shared" si="4"/>
        <v>7</v>
      </c>
      <c r="F27" s="61">
        <v>19.55</v>
      </c>
      <c r="G27" s="60">
        <v>90196</v>
      </c>
      <c r="H27" s="36">
        <f t="shared" si="0"/>
        <v>1763331.8</v>
      </c>
      <c r="I27" s="36">
        <v>0</v>
      </c>
      <c r="J27" s="60">
        <v>0</v>
      </c>
      <c r="K27" s="60">
        <v>0</v>
      </c>
      <c r="L27" s="60">
        <v>0</v>
      </c>
      <c r="M27" s="36">
        <f t="shared" si="1"/>
        <v>1763331.8</v>
      </c>
      <c r="N27" s="36">
        <f t="shared" si="7"/>
        <v>35266.635999999999</v>
      </c>
      <c r="O27" s="60">
        <v>0</v>
      </c>
      <c r="P27" s="36">
        <v>1800440</v>
      </c>
      <c r="Q27" s="61">
        <v>19.55</v>
      </c>
    </row>
    <row r="28" spans="1:17" x14ac:dyDescent="0.25">
      <c r="A28" s="5" t="s">
        <v>33</v>
      </c>
      <c r="B28" s="5" t="s">
        <v>15</v>
      </c>
      <c r="C28" s="6">
        <v>42781</v>
      </c>
      <c r="D28" s="5">
        <f t="shared" si="3"/>
        <v>2</v>
      </c>
      <c r="E28" s="5">
        <f t="shared" si="4"/>
        <v>7</v>
      </c>
      <c r="F28" s="61">
        <v>27.33</v>
      </c>
      <c r="G28" s="60">
        <v>58957.37</v>
      </c>
      <c r="H28" s="36">
        <f t="shared" si="0"/>
        <v>1611304.9221000001</v>
      </c>
      <c r="I28" s="36">
        <v>0</v>
      </c>
      <c r="J28" s="60">
        <v>0</v>
      </c>
      <c r="K28" s="60">
        <v>0</v>
      </c>
      <c r="L28" s="60">
        <v>0</v>
      </c>
      <c r="M28" s="36">
        <f t="shared" si="1"/>
        <v>1611304.9221000001</v>
      </c>
      <c r="N28" s="36">
        <v>0</v>
      </c>
      <c r="O28" s="60">
        <v>0</v>
      </c>
      <c r="P28" s="36">
        <f t="shared" si="2"/>
        <v>1611304.9221000001</v>
      </c>
      <c r="Q28" s="61">
        <v>27.33</v>
      </c>
    </row>
    <row r="29" spans="1:17" x14ac:dyDescent="0.25">
      <c r="A29" s="5" t="s">
        <v>33</v>
      </c>
      <c r="B29" s="5" t="s">
        <v>15</v>
      </c>
      <c r="C29" s="6">
        <v>42781</v>
      </c>
      <c r="D29" s="5">
        <f t="shared" si="3"/>
        <v>2</v>
      </c>
      <c r="E29" s="5">
        <f t="shared" si="4"/>
        <v>7</v>
      </c>
      <c r="F29" s="61">
        <v>27.8</v>
      </c>
      <c r="G29" s="60">
        <v>59000</v>
      </c>
      <c r="H29" s="36">
        <f t="shared" si="0"/>
        <v>1640200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1"/>
        <v>1640200</v>
      </c>
      <c r="N29" s="36">
        <v>0</v>
      </c>
      <c r="O29" s="60">
        <v>0</v>
      </c>
      <c r="P29" s="36">
        <f t="shared" si="2"/>
        <v>1640200</v>
      </c>
      <c r="Q29" s="61">
        <v>27.8</v>
      </c>
    </row>
    <row r="30" spans="1:17" x14ac:dyDescent="0.25">
      <c r="A30" s="5" t="s">
        <v>33</v>
      </c>
      <c r="B30" s="5" t="s">
        <v>15</v>
      </c>
      <c r="C30" s="6">
        <v>42781</v>
      </c>
      <c r="D30" s="5">
        <f t="shared" si="3"/>
        <v>2</v>
      </c>
      <c r="E30" s="5">
        <f t="shared" si="4"/>
        <v>7</v>
      </c>
      <c r="F30" s="61">
        <v>27.12</v>
      </c>
      <c r="G30" s="60">
        <v>56788.42</v>
      </c>
      <c r="H30" s="36">
        <f t="shared" si="0"/>
        <v>1540101.9504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"/>
        <v>1540101.9504</v>
      </c>
      <c r="N30" s="36">
        <v>0</v>
      </c>
      <c r="O30" s="60">
        <v>0</v>
      </c>
      <c r="P30" s="36">
        <f t="shared" si="2"/>
        <v>1540101.9504</v>
      </c>
      <c r="Q30" s="61">
        <v>27.12</v>
      </c>
    </row>
    <row r="31" spans="1:17" x14ac:dyDescent="0.25">
      <c r="A31" s="5" t="s">
        <v>16</v>
      </c>
      <c r="B31" s="5" t="s">
        <v>15</v>
      </c>
      <c r="C31" s="6">
        <v>42781</v>
      </c>
      <c r="D31" s="5">
        <f t="shared" si="3"/>
        <v>2</v>
      </c>
      <c r="E31" s="5">
        <f t="shared" si="4"/>
        <v>7</v>
      </c>
      <c r="F31" s="61">
        <v>27.45</v>
      </c>
      <c r="G31" s="60">
        <v>55300</v>
      </c>
      <c r="H31" s="36">
        <f t="shared" si="0"/>
        <v>1517985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"/>
        <v>1517985</v>
      </c>
      <c r="N31" s="36">
        <v>0</v>
      </c>
      <c r="O31" s="60">
        <v>0</v>
      </c>
      <c r="P31" s="36">
        <f t="shared" si="2"/>
        <v>1517985</v>
      </c>
      <c r="Q31" s="61">
        <v>27.45</v>
      </c>
    </row>
    <row r="32" spans="1:17" x14ac:dyDescent="0.25">
      <c r="A32" s="5" t="s">
        <v>12</v>
      </c>
      <c r="B32" s="5" t="s">
        <v>13</v>
      </c>
      <c r="C32" s="6">
        <v>42781</v>
      </c>
      <c r="D32" s="5">
        <f t="shared" si="3"/>
        <v>2</v>
      </c>
      <c r="E32" s="5">
        <f t="shared" si="4"/>
        <v>7</v>
      </c>
      <c r="F32" s="61">
        <v>27.96</v>
      </c>
      <c r="G32" s="60">
        <v>50000</v>
      </c>
      <c r="H32" s="36">
        <f t="shared" si="0"/>
        <v>1398000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"/>
        <v>1398000</v>
      </c>
      <c r="N32" s="36">
        <f t="shared" si="5"/>
        <v>27960</v>
      </c>
      <c r="O32" s="60">
        <v>0</v>
      </c>
      <c r="P32" s="36">
        <f t="shared" si="2"/>
        <v>1425960</v>
      </c>
      <c r="Q32" s="61">
        <v>27.96</v>
      </c>
    </row>
    <row r="33" spans="1:17" x14ac:dyDescent="0.25">
      <c r="A33" s="5" t="s">
        <v>24</v>
      </c>
      <c r="B33" s="5" t="s">
        <v>15</v>
      </c>
      <c r="C33" s="6">
        <v>42781</v>
      </c>
      <c r="D33" s="5">
        <f t="shared" si="3"/>
        <v>2</v>
      </c>
      <c r="E33" s="5">
        <f t="shared" si="4"/>
        <v>7</v>
      </c>
      <c r="F33" s="61">
        <v>30.8</v>
      </c>
      <c r="G33" s="60">
        <v>59500</v>
      </c>
      <c r="H33" s="36">
        <f t="shared" si="0"/>
        <v>1832600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"/>
        <v>1832600</v>
      </c>
      <c r="N33" s="36">
        <v>0</v>
      </c>
      <c r="O33" s="60">
        <v>0</v>
      </c>
      <c r="P33" s="36">
        <f t="shared" si="2"/>
        <v>1832600</v>
      </c>
      <c r="Q33" s="61">
        <v>30.8</v>
      </c>
    </row>
    <row r="34" spans="1:17" x14ac:dyDescent="0.25">
      <c r="A34" s="5" t="s">
        <v>24</v>
      </c>
      <c r="B34" s="5" t="s">
        <v>15</v>
      </c>
      <c r="C34" s="6">
        <v>42781</v>
      </c>
      <c r="D34" s="5">
        <f t="shared" si="3"/>
        <v>2</v>
      </c>
      <c r="E34" s="5">
        <f t="shared" si="4"/>
        <v>7</v>
      </c>
      <c r="F34" s="61">
        <v>31.09</v>
      </c>
      <c r="G34" s="60">
        <v>59020.39</v>
      </c>
      <c r="H34" s="36">
        <f t="shared" si="0"/>
        <v>1834943.9250999999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"/>
        <v>1834943.9250999999</v>
      </c>
      <c r="N34" s="36">
        <v>0</v>
      </c>
      <c r="O34" s="60">
        <v>0</v>
      </c>
      <c r="P34" s="36">
        <f t="shared" si="2"/>
        <v>1834943.9250999999</v>
      </c>
      <c r="Q34" s="61">
        <v>31.09</v>
      </c>
    </row>
    <row r="35" spans="1:17" x14ac:dyDescent="0.25">
      <c r="A35" s="5" t="s">
        <v>12</v>
      </c>
      <c r="B35" s="5" t="s">
        <v>13</v>
      </c>
      <c r="C35" s="6">
        <v>42782</v>
      </c>
      <c r="D35" s="5">
        <f t="shared" si="3"/>
        <v>2</v>
      </c>
      <c r="E35" s="5">
        <f t="shared" si="4"/>
        <v>7</v>
      </c>
      <c r="F35" s="61">
        <v>29.43</v>
      </c>
      <c r="G35" s="60">
        <v>50000</v>
      </c>
      <c r="H35" s="36">
        <f t="shared" si="0"/>
        <v>1471500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1"/>
        <v>1471500</v>
      </c>
      <c r="N35" s="36">
        <f t="shared" ref="N35" si="9">M35*2%</f>
        <v>29430</v>
      </c>
      <c r="O35" s="60">
        <v>0</v>
      </c>
      <c r="P35" s="36">
        <f t="shared" si="2"/>
        <v>1500930</v>
      </c>
      <c r="Q35" s="61">
        <v>29.43</v>
      </c>
    </row>
    <row r="36" spans="1:17" x14ac:dyDescent="0.25">
      <c r="A36" s="5" t="s">
        <v>162</v>
      </c>
      <c r="B36" s="5" t="s">
        <v>15</v>
      </c>
      <c r="C36" s="6">
        <v>42782</v>
      </c>
      <c r="D36" s="5">
        <f t="shared" si="3"/>
        <v>2</v>
      </c>
      <c r="E36" s="5">
        <f t="shared" si="4"/>
        <v>7</v>
      </c>
      <c r="F36" s="61">
        <v>23.82</v>
      </c>
      <c r="G36" s="60">
        <v>58484.58</v>
      </c>
      <c r="H36" s="36">
        <f t="shared" si="0"/>
        <v>1393102.6956</v>
      </c>
      <c r="I36" s="36">
        <v>0</v>
      </c>
      <c r="J36" s="60">
        <v>0</v>
      </c>
      <c r="K36" s="60">
        <v>0</v>
      </c>
      <c r="L36" s="60">
        <v>0</v>
      </c>
      <c r="M36" s="36">
        <f t="shared" si="1"/>
        <v>1393102.6956</v>
      </c>
      <c r="N36" s="36">
        <v>0</v>
      </c>
      <c r="O36" s="60">
        <v>0</v>
      </c>
      <c r="P36" s="36">
        <f t="shared" si="2"/>
        <v>1393102.6956</v>
      </c>
      <c r="Q36" s="61">
        <v>23.82</v>
      </c>
    </row>
    <row r="37" spans="1:17" x14ac:dyDescent="0.25">
      <c r="A37" s="5" t="s">
        <v>16</v>
      </c>
      <c r="B37" s="5" t="s">
        <v>18</v>
      </c>
      <c r="C37" s="6">
        <v>42783</v>
      </c>
      <c r="D37" s="5">
        <f t="shared" si="3"/>
        <v>2</v>
      </c>
      <c r="E37" s="5">
        <f t="shared" si="4"/>
        <v>7</v>
      </c>
      <c r="F37" s="61">
        <v>26.79</v>
      </c>
      <c r="G37" s="60">
        <v>58100</v>
      </c>
      <c r="H37" s="36">
        <f t="shared" si="0"/>
        <v>1556499</v>
      </c>
      <c r="I37" s="36">
        <v>0</v>
      </c>
      <c r="J37" s="60">
        <v>0</v>
      </c>
      <c r="K37" s="60">
        <v>0</v>
      </c>
      <c r="L37" s="60">
        <v>0</v>
      </c>
      <c r="M37" s="36">
        <f t="shared" si="1"/>
        <v>1556499</v>
      </c>
      <c r="N37" s="36">
        <v>0</v>
      </c>
      <c r="O37" s="60">
        <v>0</v>
      </c>
      <c r="P37" s="36">
        <f t="shared" si="2"/>
        <v>1556499</v>
      </c>
      <c r="Q37" s="61">
        <v>26.79</v>
      </c>
    </row>
    <row r="38" spans="1:17" x14ac:dyDescent="0.25">
      <c r="A38" s="5" t="s">
        <v>33</v>
      </c>
      <c r="B38" s="5" t="s">
        <v>15</v>
      </c>
      <c r="C38" s="6">
        <v>42784</v>
      </c>
      <c r="D38" s="5">
        <f t="shared" si="3"/>
        <v>2</v>
      </c>
      <c r="E38" s="5">
        <f t="shared" si="4"/>
        <v>7</v>
      </c>
      <c r="F38" s="61">
        <v>27.71</v>
      </c>
      <c r="G38" s="60">
        <v>58500</v>
      </c>
      <c r="H38" s="36">
        <f t="shared" si="0"/>
        <v>1621035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"/>
        <v>1621035</v>
      </c>
      <c r="N38" s="36">
        <v>0</v>
      </c>
      <c r="O38" s="60">
        <v>0</v>
      </c>
      <c r="P38" s="36">
        <f t="shared" si="2"/>
        <v>1621035</v>
      </c>
      <c r="Q38" s="61">
        <v>27.71</v>
      </c>
    </row>
    <row r="39" spans="1:17" x14ac:dyDescent="0.25">
      <c r="A39" s="5" t="s">
        <v>33</v>
      </c>
      <c r="B39" s="5" t="s">
        <v>15</v>
      </c>
      <c r="C39" s="6">
        <v>42784</v>
      </c>
      <c r="D39" s="5">
        <f t="shared" si="3"/>
        <v>2</v>
      </c>
      <c r="E39" s="5">
        <f t="shared" si="4"/>
        <v>7</v>
      </c>
      <c r="F39" s="61">
        <v>27.15</v>
      </c>
      <c r="G39" s="60">
        <v>59458.98</v>
      </c>
      <c r="H39" s="36">
        <f t="shared" si="0"/>
        <v>1614311.307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"/>
        <v>1614311.307</v>
      </c>
      <c r="N39" s="36">
        <v>0</v>
      </c>
      <c r="O39" s="60">
        <v>0</v>
      </c>
      <c r="P39" s="36">
        <f t="shared" si="2"/>
        <v>1614311.307</v>
      </c>
      <c r="Q39" s="61">
        <v>27.15</v>
      </c>
    </row>
    <row r="40" spans="1:17" x14ac:dyDescent="0.25">
      <c r="A40" s="5" t="s">
        <v>162</v>
      </c>
      <c r="B40" s="5" t="s">
        <v>15</v>
      </c>
      <c r="C40" s="6">
        <v>42784</v>
      </c>
      <c r="D40" s="5">
        <f t="shared" si="3"/>
        <v>2</v>
      </c>
      <c r="E40" s="5">
        <f t="shared" si="4"/>
        <v>7</v>
      </c>
      <c r="F40" s="61">
        <v>26.95</v>
      </c>
      <c r="G40" s="60">
        <v>57500</v>
      </c>
      <c r="H40" s="36">
        <f t="shared" si="0"/>
        <v>1549625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"/>
        <v>1549625</v>
      </c>
      <c r="N40" s="36">
        <v>0</v>
      </c>
      <c r="O40" s="60">
        <v>0</v>
      </c>
      <c r="P40" s="36">
        <f t="shared" si="2"/>
        <v>1549625</v>
      </c>
      <c r="Q40" s="61">
        <v>26.95</v>
      </c>
    </row>
    <row r="41" spans="1:17" x14ac:dyDescent="0.25">
      <c r="A41" s="5" t="s">
        <v>33</v>
      </c>
      <c r="B41" s="5" t="s">
        <v>15</v>
      </c>
      <c r="C41" s="6">
        <v>42785</v>
      </c>
      <c r="D41" s="5">
        <f t="shared" si="3"/>
        <v>2</v>
      </c>
      <c r="E41" s="5">
        <f t="shared" si="4"/>
        <v>8</v>
      </c>
      <c r="F41" s="61">
        <v>26.99</v>
      </c>
      <c r="G41" s="60">
        <v>59500</v>
      </c>
      <c r="H41" s="36">
        <f t="shared" si="0"/>
        <v>1605905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"/>
        <v>1605905</v>
      </c>
      <c r="N41" s="36">
        <v>0</v>
      </c>
      <c r="O41" s="60">
        <v>0</v>
      </c>
      <c r="P41" s="36">
        <f t="shared" si="2"/>
        <v>1605905</v>
      </c>
      <c r="Q41" s="61">
        <v>26.99</v>
      </c>
    </row>
    <row r="42" spans="1:17" x14ac:dyDescent="0.25">
      <c r="A42" s="5" t="s">
        <v>33</v>
      </c>
      <c r="B42" s="5" t="s">
        <v>15</v>
      </c>
      <c r="C42" s="6">
        <v>42785</v>
      </c>
      <c r="D42" s="5">
        <f t="shared" si="3"/>
        <v>2</v>
      </c>
      <c r="E42" s="5">
        <f t="shared" si="4"/>
        <v>8</v>
      </c>
      <c r="F42" s="61">
        <v>27.49</v>
      </c>
      <c r="G42" s="60">
        <v>56000</v>
      </c>
      <c r="H42" s="36">
        <f t="shared" si="0"/>
        <v>1539440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"/>
        <v>1539440</v>
      </c>
      <c r="N42" s="36">
        <v>0</v>
      </c>
      <c r="O42" s="60">
        <v>0</v>
      </c>
      <c r="P42" s="36">
        <f t="shared" si="2"/>
        <v>1539440</v>
      </c>
      <c r="Q42" s="61">
        <v>27.49</v>
      </c>
    </row>
    <row r="43" spans="1:17" x14ac:dyDescent="0.25">
      <c r="A43" s="5" t="s">
        <v>16</v>
      </c>
      <c r="B43" s="5" t="s">
        <v>15</v>
      </c>
      <c r="C43" s="6">
        <v>42785</v>
      </c>
      <c r="D43" s="5">
        <f t="shared" si="3"/>
        <v>2</v>
      </c>
      <c r="E43" s="5">
        <f t="shared" si="4"/>
        <v>8</v>
      </c>
      <c r="F43" s="61">
        <v>27.82</v>
      </c>
      <c r="G43" s="60">
        <v>55500.78</v>
      </c>
      <c r="H43" s="36">
        <f t="shared" si="0"/>
        <v>1544031.6995999999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"/>
        <v>1544031.6995999999</v>
      </c>
      <c r="N43" s="36">
        <v>0</v>
      </c>
      <c r="O43" s="60">
        <v>0</v>
      </c>
      <c r="P43" s="36">
        <f t="shared" si="2"/>
        <v>1544031.6995999999</v>
      </c>
      <c r="Q43" s="61">
        <v>27.82</v>
      </c>
    </row>
    <row r="44" spans="1:17" x14ac:dyDescent="0.25">
      <c r="A44" s="5" t="s">
        <v>21</v>
      </c>
      <c r="B44" s="5" t="s">
        <v>15</v>
      </c>
      <c r="C44" s="6">
        <v>42785</v>
      </c>
      <c r="D44" s="5">
        <f t="shared" si="3"/>
        <v>2</v>
      </c>
      <c r="E44" s="5">
        <f t="shared" si="4"/>
        <v>8</v>
      </c>
      <c r="F44" s="61">
        <v>27.25</v>
      </c>
      <c r="G44" s="60">
        <v>58500</v>
      </c>
      <c r="H44" s="36">
        <f t="shared" si="0"/>
        <v>1594125</v>
      </c>
      <c r="I44" s="36">
        <v>0</v>
      </c>
      <c r="J44" s="60">
        <v>0</v>
      </c>
      <c r="K44" s="60">
        <v>0</v>
      </c>
      <c r="L44" s="60">
        <v>0</v>
      </c>
      <c r="M44" s="36">
        <f t="shared" si="1"/>
        <v>1594125</v>
      </c>
      <c r="N44" s="36">
        <v>0</v>
      </c>
      <c r="O44" s="60">
        <v>0</v>
      </c>
      <c r="P44" s="36">
        <f t="shared" si="2"/>
        <v>1594125</v>
      </c>
      <c r="Q44" s="61">
        <v>27.25</v>
      </c>
    </row>
    <row r="45" spans="1:17" x14ac:dyDescent="0.25">
      <c r="A45" s="5" t="s">
        <v>12</v>
      </c>
      <c r="B45" s="5" t="s">
        <v>13</v>
      </c>
      <c r="C45" s="6">
        <v>42786</v>
      </c>
      <c r="D45" s="5">
        <f t="shared" si="3"/>
        <v>2</v>
      </c>
      <c r="E45" s="5">
        <f t="shared" si="4"/>
        <v>8</v>
      </c>
      <c r="F45" s="61">
        <v>28.41</v>
      </c>
      <c r="G45" s="60">
        <v>50000</v>
      </c>
      <c r="H45" s="36">
        <f t="shared" si="0"/>
        <v>1420500</v>
      </c>
      <c r="I45" s="36">
        <v>0</v>
      </c>
      <c r="J45" s="60">
        <v>0</v>
      </c>
      <c r="K45" s="60">
        <v>0</v>
      </c>
      <c r="L45" s="60">
        <v>0</v>
      </c>
      <c r="M45" s="36">
        <f t="shared" si="1"/>
        <v>1420500</v>
      </c>
      <c r="N45" s="36">
        <f t="shared" ref="N45:N46" si="10">M45*2%</f>
        <v>28410</v>
      </c>
      <c r="O45" s="60">
        <v>0</v>
      </c>
      <c r="P45" s="36">
        <f t="shared" si="2"/>
        <v>1448910</v>
      </c>
      <c r="Q45" s="61">
        <v>28.41</v>
      </c>
    </row>
    <row r="46" spans="1:17" x14ac:dyDescent="0.25">
      <c r="A46" s="5" t="s">
        <v>12</v>
      </c>
      <c r="B46" s="5" t="s">
        <v>13</v>
      </c>
      <c r="C46" s="6">
        <v>42786</v>
      </c>
      <c r="D46" s="5">
        <f t="shared" si="3"/>
        <v>2</v>
      </c>
      <c r="E46" s="5">
        <f t="shared" si="4"/>
        <v>8</v>
      </c>
      <c r="F46" s="61">
        <v>30.04</v>
      </c>
      <c r="G46" s="60">
        <v>50000</v>
      </c>
      <c r="H46" s="36">
        <f t="shared" si="0"/>
        <v>1502000</v>
      </c>
      <c r="I46" s="36">
        <v>0</v>
      </c>
      <c r="J46" s="60">
        <v>0</v>
      </c>
      <c r="K46" s="60">
        <v>0</v>
      </c>
      <c r="L46" s="60">
        <v>0</v>
      </c>
      <c r="M46" s="36">
        <f t="shared" si="1"/>
        <v>1502000</v>
      </c>
      <c r="N46" s="36">
        <f t="shared" si="10"/>
        <v>30040</v>
      </c>
      <c r="O46" s="60">
        <v>0</v>
      </c>
      <c r="P46" s="36">
        <f t="shared" si="2"/>
        <v>1532040</v>
      </c>
      <c r="Q46" s="61">
        <v>30.04</v>
      </c>
    </row>
    <row r="47" spans="1:17" x14ac:dyDescent="0.25">
      <c r="A47" s="5" t="s">
        <v>67</v>
      </c>
      <c r="B47" s="5" t="s">
        <v>15</v>
      </c>
      <c r="C47" s="6">
        <v>42786</v>
      </c>
      <c r="D47" s="5">
        <f t="shared" si="3"/>
        <v>2</v>
      </c>
      <c r="E47" s="5">
        <f t="shared" si="4"/>
        <v>8</v>
      </c>
      <c r="F47" s="61">
        <v>30.68</v>
      </c>
      <c r="G47" s="60">
        <v>58850.01</v>
      </c>
      <c r="H47" s="36">
        <f t="shared" si="0"/>
        <v>1805518.3068000001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"/>
        <v>1805518.3068000001</v>
      </c>
      <c r="N47" s="36">
        <v>0</v>
      </c>
      <c r="O47" s="60">
        <v>0</v>
      </c>
      <c r="P47" s="36">
        <f t="shared" si="2"/>
        <v>1805518.3068000001</v>
      </c>
      <c r="Q47" s="61">
        <v>30.68</v>
      </c>
    </row>
    <row r="48" spans="1:17" x14ac:dyDescent="0.25">
      <c r="A48" s="5" t="s">
        <v>21</v>
      </c>
      <c r="B48" s="5" t="s">
        <v>15</v>
      </c>
      <c r="C48" s="6">
        <v>42786</v>
      </c>
      <c r="D48" s="5">
        <f t="shared" si="3"/>
        <v>2</v>
      </c>
      <c r="E48" s="5">
        <f t="shared" si="4"/>
        <v>8</v>
      </c>
      <c r="F48" s="61">
        <v>27.26</v>
      </c>
      <c r="G48" s="60">
        <v>58500</v>
      </c>
      <c r="H48" s="36">
        <f t="shared" si="0"/>
        <v>1594710</v>
      </c>
      <c r="I48" s="36">
        <v>0</v>
      </c>
      <c r="J48" s="60">
        <v>0</v>
      </c>
      <c r="K48" s="60">
        <v>0</v>
      </c>
      <c r="L48" s="60">
        <v>0</v>
      </c>
      <c r="M48" s="36">
        <f t="shared" si="1"/>
        <v>1594710</v>
      </c>
      <c r="N48" s="36">
        <v>0</v>
      </c>
      <c r="O48" s="60">
        <v>0</v>
      </c>
      <c r="P48" s="36">
        <f t="shared" si="2"/>
        <v>1594710</v>
      </c>
      <c r="Q48" s="61">
        <v>27.26</v>
      </c>
    </row>
    <row r="49" spans="1:17" x14ac:dyDescent="0.25">
      <c r="A49" s="5" t="s">
        <v>107</v>
      </c>
      <c r="B49" s="5" t="s">
        <v>110</v>
      </c>
      <c r="C49" s="6">
        <v>42788</v>
      </c>
      <c r="D49" s="5">
        <f t="shared" si="3"/>
        <v>2</v>
      </c>
      <c r="E49" s="5">
        <f t="shared" si="4"/>
        <v>8</v>
      </c>
      <c r="F49" s="61">
        <v>32.72</v>
      </c>
      <c r="G49" s="60">
        <v>62000</v>
      </c>
      <c r="H49" s="36">
        <f t="shared" si="0"/>
        <v>2028640</v>
      </c>
      <c r="I49" s="36">
        <v>0</v>
      </c>
      <c r="J49" s="60">
        <f t="shared" ref="J49:J51" si="11">H49*12.5%</f>
        <v>253580</v>
      </c>
      <c r="K49" s="60">
        <v>0</v>
      </c>
      <c r="L49" s="60">
        <v>0</v>
      </c>
      <c r="M49" s="36">
        <f t="shared" si="1"/>
        <v>2282220</v>
      </c>
      <c r="N49" s="36">
        <f t="shared" ref="N49:N55" si="12">M49*2%</f>
        <v>45644.4</v>
      </c>
      <c r="O49" s="60">
        <f>3000*F49</f>
        <v>98160</v>
      </c>
      <c r="P49" s="36">
        <f t="shared" si="2"/>
        <v>2426024.4</v>
      </c>
      <c r="Q49" s="61">
        <v>32.72</v>
      </c>
    </row>
    <row r="50" spans="1:17" x14ac:dyDescent="0.25">
      <c r="A50" s="5" t="s">
        <v>107</v>
      </c>
      <c r="B50" s="5" t="s">
        <v>110</v>
      </c>
      <c r="C50" s="6">
        <v>42788</v>
      </c>
      <c r="D50" s="5">
        <f t="shared" si="3"/>
        <v>2</v>
      </c>
      <c r="E50" s="5">
        <f t="shared" si="4"/>
        <v>8</v>
      </c>
      <c r="F50" s="61">
        <v>27.06</v>
      </c>
      <c r="G50" s="60">
        <v>62000</v>
      </c>
      <c r="H50" s="36">
        <f t="shared" si="0"/>
        <v>1677720</v>
      </c>
      <c r="I50" s="36">
        <v>0</v>
      </c>
      <c r="J50" s="60">
        <f t="shared" si="11"/>
        <v>209715</v>
      </c>
      <c r="K50" s="60">
        <v>0</v>
      </c>
      <c r="L50" s="60">
        <v>0</v>
      </c>
      <c r="M50" s="36">
        <f t="shared" si="1"/>
        <v>1887435</v>
      </c>
      <c r="N50" s="36">
        <f t="shared" si="12"/>
        <v>37748.700000000004</v>
      </c>
      <c r="O50" s="60">
        <f>3000*F50</f>
        <v>81180</v>
      </c>
      <c r="P50" s="36">
        <f t="shared" si="2"/>
        <v>2006363.7</v>
      </c>
      <c r="Q50" s="61">
        <v>27.06</v>
      </c>
    </row>
    <row r="51" spans="1:17" x14ac:dyDescent="0.25">
      <c r="A51" s="5" t="s">
        <v>107</v>
      </c>
      <c r="B51" s="5" t="s">
        <v>110</v>
      </c>
      <c r="C51" s="6">
        <v>42788</v>
      </c>
      <c r="D51" s="5">
        <f t="shared" si="3"/>
        <v>2</v>
      </c>
      <c r="E51" s="5">
        <f t="shared" si="4"/>
        <v>8</v>
      </c>
      <c r="F51" s="61">
        <v>27.05</v>
      </c>
      <c r="G51" s="60">
        <v>62000</v>
      </c>
      <c r="H51" s="36">
        <f t="shared" si="0"/>
        <v>1677100</v>
      </c>
      <c r="I51" s="36">
        <v>0</v>
      </c>
      <c r="J51" s="60">
        <f t="shared" si="11"/>
        <v>209637.5</v>
      </c>
      <c r="K51" s="60">
        <v>0</v>
      </c>
      <c r="L51" s="60">
        <v>0</v>
      </c>
      <c r="M51" s="36">
        <f t="shared" si="1"/>
        <v>1886737.5</v>
      </c>
      <c r="N51" s="36">
        <f t="shared" si="12"/>
        <v>37734.75</v>
      </c>
      <c r="O51" s="60">
        <f>3000*F51</f>
        <v>81150</v>
      </c>
      <c r="P51" s="36">
        <f t="shared" si="2"/>
        <v>2005622.25</v>
      </c>
      <c r="Q51" s="61">
        <v>27.05</v>
      </c>
    </row>
    <row r="52" spans="1:17" x14ac:dyDescent="0.25">
      <c r="A52" s="5" t="s">
        <v>12</v>
      </c>
      <c r="B52" s="5" t="s">
        <v>13</v>
      </c>
      <c r="C52" s="6">
        <v>42788</v>
      </c>
      <c r="D52" s="5">
        <f t="shared" si="3"/>
        <v>2</v>
      </c>
      <c r="E52" s="5">
        <f t="shared" si="4"/>
        <v>8</v>
      </c>
      <c r="F52" s="61">
        <v>31.98</v>
      </c>
      <c r="G52" s="60">
        <v>50000</v>
      </c>
      <c r="H52" s="36">
        <f t="shared" si="0"/>
        <v>1599000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"/>
        <v>1599000</v>
      </c>
      <c r="N52" s="36">
        <f t="shared" si="12"/>
        <v>31980</v>
      </c>
      <c r="O52" s="60">
        <v>0</v>
      </c>
      <c r="P52" s="36">
        <f t="shared" si="2"/>
        <v>1630980</v>
      </c>
      <c r="Q52" s="61">
        <v>31.98</v>
      </c>
    </row>
    <row r="53" spans="1:17" x14ac:dyDescent="0.25">
      <c r="A53" s="5" t="s">
        <v>12</v>
      </c>
      <c r="B53" s="5" t="s">
        <v>13</v>
      </c>
      <c r="C53" s="6">
        <v>42788</v>
      </c>
      <c r="D53" s="5">
        <f t="shared" si="3"/>
        <v>2</v>
      </c>
      <c r="E53" s="5">
        <f t="shared" si="4"/>
        <v>8</v>
      </c>
      <c r="F53" s="61">
        <v>28.38</v>
      </c>
      <c r="G53" s="60">
        <v>50000</v>
      </c>
      <c r="H53" s="36">
        <f t="shared" si="0"/>
        <v>1419000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"/>
        <v>1419000</v>
      </c>
      <c r="N53" s="36">
        <f t="shared" si="12"/>
        <v>28380</v>
      </c>
      <c r="O53" s="60">
        <v>0</v>
      </c>
      <c r="P53" s="36">
        <f t="shared" si="2"/>
        <v>1447380</v>
      </c>
      <c r="Q53" s="61">
        <v>28.38</v>
      </c>
    </row>
    <row r="54" spans="1:17" x14ac:dyDescent="0.25">
      <c r="A54" s="5" t="s">
        <v>24</v>
      </c>
      <c r="B54" s="5" t="s">
        <v>15</v>
      </c>
      <c r="C54" s="6">
        <v>42792</v>
      </c>
      <c r="D54" s="5">
        <f t="shared" si="3"/>
        <v>2</v>
      </c>
      <c r="E54" s="5">
        <f t="shared" si="4"/>
        <v>9</v>
      </c>
      <c r="F54" s="61">
        <v>27.69</v>
      </c>
      <c r="G54" s="60">
        <v>57500</v>
      </c>
      <c r="H54" s="36">
        <f t="shared" si="0"/>
        <v>1592175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"/>
        <v>1592175</v>
      </c>
      <c r="N54" s="36">
        <v>0</v>
      </c>
      <c r="O54" s="60">
        <v>0</v>
      </c>
      <c r="P54" s="36">
        <f t="shared" si="2"/>
        <v>1592175</v>
      </c>
      <c r="Q54" s="61">
        <v>27.69</v>
      </c>
    </row>
    <row r="55" spans="1:17" x14ac:dyDescent="0.25">
      <c r="A55" s="5" t="s">
        <v>107</v>
      </c>
      <c r="B55" s="5" t="s">
        <v>110</v>
      </c>
      <c r="C55" s="6">
        <v>42788</v>
      </c>
      <c r="D55" s="5">
        <f t="shared" si="3"/>
        <v>2</v>
      </c>
      <c r="E55" s="5">
        <f t="shared" si="4"/>
        <v>8</v>
      </c>
      <c r="F55" s="61">
        <v>26.46</v>
      </c>
      <c r="G55" s="60">
        <v>62000</v>
      </c>
      <c r="H55" s="36">
        <f t="shared" si="0"/>
        <v>1640520</v>
      </c>
      <c r="I55" s="36">
        <v>0</v>
      </c>
      <c r="J55" s="60">
        <f t="shared" ref="J55" si="13">H55*12.5%</f>
        <v>205065</v>
      </c>
      <c r="K55" s="60">
        <v>0</v>
      </c>
      <c r="L55" s="60">
        <v>0</v>
      </c>
      <c r="M55" s="36">
        <f t="shared" si="1"/>
        <v>1845585</v>
      </c>
      <c r="N55" s="36">
        <f t="shared" si="12"/>
        <v>36911.700000000004</v>
      </c>
      <c r="O55" s="60">
        <f>3000*F55</f>
        <v>79380</v>
      </c>
      <c r="P55" s="36">
        <f t="shared" si="2"/>
        <v>1961876.7</v>
      </c>
      <c r="Q55" s="61">
        <v>26.46</v>
      </c>
    </row>
    <row r="56" spans="1:17" x14ac:dyDescent="0.25">
      <c r="A56" s="5" t="s">
        <v>33</v>
      </c>
      <c r="B56" s="5" t="s">
        <v>15</v>
      </c>
      <c r="C56" s="6">
        <v>42790</v>
      </c>
      <c r="D56" s="5">
        <f t="shared" si="3"/>
        <v>2</v>
      </c>
      <c r="E56" s="5">
        <f t="shared" si="4"/>
        <v>8</v>
      </c>
      <c r="F56" s="61">
        <v>27.86</v>
      </c>
      <c r="G56" s="60">
        <v>58706.97</v>
      </c>
      <c r="H56" s="36">
        <f t="shared" si="0"/>
        <v>1635576.1842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"/>
        <v>1635576.1842</v>
      </c>
      <c r="N56" s="36">
        <v>0</v>
      </c>
      <c r="O56" s="60">
        <v>0</v>
      </c>
      <c r="P56" s="36">
        <f t="shared" si="2"/>
        <v>1635576.1842</v>
      </c>
      <c r="Q56" s="61">
        <v>27.86</v>
      </c>
    </row>
    <row r="57" spans="1:17" x14ac:dyDescent="0.25">
      <c r="A57" s="5" t="s">
        <v>107</v>
      </c>
      <c r="B57" s="5" t="s">
        <v>110</v>
      </c>
      <c r="C57" s="6">
        <v>42790</v>
      </c>
      <c r="D57" s="5">
        <f t="shared" si="3"/>
        <v>2</v>
      </c>
      <c r="E57" s="5">
        <f t="shared" si="4"/>
        <v>8</v>
      </c>
      <c r="F57" s="61">
        <v>33.08</v>
      </c>
      <c r="G57" s="60">
        <v>64500</v>
      </c>
      <c r="H57" s="36">
        <f t="shared" si="0"/>
        <v>2133660</v>
      </c>
      <c r="I57" s="36">
        <v>0</v>
      </c>
      <c r="J57" s="60">
        <f t="shared" ref="J57:J59" si="14">H57*12.5%</f>
        <v>266707.5</v>
      </c>
      <c r="K57" s="60">
        <v>0</v>
      </c>
      <c r="L57" s="60">
        <v>0</v>
      </c>
      <c r="M57" s="36">
        <f t="shared" si="1"/>
        <v>2400367.5</v>
      </c>
      <c r="N57" s="36">
        <f t="shared" ref="N57:N61" si="15">M57*2%</f>
        <v>48007.35</v>
      </c>
      <c r="O57" s="60">
        <f t="shared" ref="O57:O59" si="16">3000*F57</f>
        <v>99240</v>
      </c>
      <c r="P57" s="36">
        <f t="shared" si="2"/>
        <v>2547614.85</v>
      </c>
      <c r="Q57" s="61">
        <v>33.08</v>
      </c>
    </row>
    <row r="58" spans="1:17" x14ac:dyDescent="0.25">
      <c r="A58" s="5" t="s">
        <v>107</v>
      </c>
      <c r="B58" s="5" t="s">
        <v>110</v>
      </c>
      <c r="C58" s="6">
        <v>42791</v>
      </c>
      <c r="D58" s="5">
        <f t="shared" si="3"/>
        <v>2</v>
      </c>
      <c r="E58" s="5">
        <f t="shared" si="4"/>
        <v>8</v>
      </c>
      <c r="F58" s="61">
        <v>32</v>
      </c>
      <c r="G58" s="60">
        <v>64500</v>
      </c>
      <c r="H58" s="36">
        <f t="shared" si="0"/>
        <v>2064000</v>
      </c>
      <c r="I58" s="36">
        <v>0</v>
      </c>
      <c r="J58" s="60">
        <f t="shared" si="14"/>
        <v>258000</v>
      </c>
      <c r="K58" s="60">
        <v>0</v>
      </c>
      <c r="L58" s="60">
        <v>0</v>
      </c>
      <c r="M58" s="36">
        <f t="shared" si="1"/>
        <v>2322000</v>
      </c>
      <c r="N58" s="36">
        <f t="shared" si="15"/>
        <v>46440</v>
      </c>
      <c r="O58" s="60">
        <f t="shared" si="16"/>
        <v>96000</v>
      </c>
      <c r="P58" s="36">
        <f t="shared" si="2"/>
        <v>2464440</v>
      </c>
      <c r="Q58" s="61">
        <v>32</v>
      </c>
    </row>
    <row r="59" spans="1:17" x14ac:dyDescent="0.25">
      <c r="A59" s="5" t="s">
        <v>107</v>
      </c>
      <c r="B59" s="5" t="s">
        <v>110</v>
      </c>
      <c r="C59" s="6">
        <v>42791</v>
      </c>
      <c r="D59" s="5">
        <f t="shared" si="3"/>
        <v>2</v>
      </c>
      <c r="E59" s="5">
        <f t="shared" si="4"/>
        <v>8</v>
      </c>
      <c r="F59" s="61">
        <v>26.78</v>
      </c>
      <c r="G59" s="60">
        <v>64500</v>
      </c>
      <c r="H59" s="36">
        <f t="shared" si="0"/>
        <v>1727310</v>
      </c>
      <c r="I59" s="36">
        <v>0</v>
      </c>
      <c r="J59" s="60">
        <f t="shared" si="14"/>
        <v>215913.75</v>
      </c>
      <c r="K59" s="60">
        <v>0</v>
      </c>
      <c r="L59" s="60">
        <v>0</v>
      </c>
      <c r="M59" s="36">
        <f t="shared" si="1"/>
        <v>1943223.75</v>
      </c>
      <c r="N59" s="36">
        <f t="shared" si="15"/>
        <v>38864.474999999999</v>
      </c>
      <c r="O59" s="60">
        <f t="shared" si="16"/>
        <v>80340</v>
      </c>
      <c r="P59" s="36">
        <f t="shared" si="2"/>
        <v>2062428.2250000001</v>
      </c>
      <c r="Q59" s="61">
        <v>26.78</v>
      </c>
    </row>
    <row r="60" spans="1:17" x14ac:dyDescent="0.25">
      <c r="A60" s="5" t="s">
        <v>12</v>
      </c>
      <c r="B60" s="5" t="s">
        <v>13</v>
      </c>
      <c r="C60" s="6">
        <v>42791</v>
      </c>
      <c r="D60" s="5">
        <f t="shared" si="3"/>
        <v>2</v>
      </c>
      <c r="E60" s="5">
        <f t="shared" si="4"/>
        <v>8</v>
      </c>
      <c r="F60" s="61">
        <v>30.22</v>
      </c>
      <c r="G60" s="60">
        <v>50000</v>
      </c>
      <c r="H60" s="36">
        <f t="shared" si="0"/>
        <v>1511000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"/>
        <v>1511000</v>
      </c>
      <c r="N60" s="36">
        <f t="shared" si="15"/>
        <v>30220</v>
      </c>
      <c r="O60" s="60">
        <v>0</v>
      </c>
      <c r="P60" s="36">
        <f t="shared" si="2"/>
        <v>1541220</v>
      </c>
      <c r="Q60" s="61">
        <v>30.22</v>
      </c>
    </row>
    <row r="61" spans="1:17" x14ac:dyDescent="0.25">
      <c r="A61" s="5" t="s">
        <v>107</v>
      </c>
      <c r="B61" s="5" t="s">
        <v>110</v>
      </c>
      <c r="C61" s="6">
        <v>42788</v>
      </c>
      <c r="D61" s="5">
        <f t="shared" si="3"/>
        <v>2</v>
      </c>
      <c r="E61" s="5">
        <f t="shared" si="4"/>
        <v>8</v>
      </c>
      <c r="F61" s="61">
        <v>32.96</v>
      </c>
      <c r="G61" s="60">
        <v>62000</v>
      </c>
      <c r="H61" s="36">
        <f t="shared" si="0"/>
        <v>2043520</v>
      </c>
      <c r="I61" s="36">
        <v>0</v>
      </c>
      <c r="J61" s="60">
        <f t="shared" ref="J61" si="17">H61*12.5%</f>
        <v>255440</v>
      </c>
      <c r="K61" s="60">
        <v>0</v>
      </c>
      <c r="L61" s="60">
        <v>0</v>
      </c>
      <c r="M61" s="36">
        <f t="shared" si="1"/>
        <v>2298960</v>
      </c>
      <c r="N61" s="36">
        <f t="shared" si="15"/>
        <v>45979.200000000004</v>
      </c>
      <c r="O61" s="60">
        <f>3000*F61</f>
        <v>98880</v>
      </c>
      <c r="P61" s="36">
        <f t="shared" si="2"/>
        <v>2443819.2000000002</v>
      </c>
      <c r="Q61" s="61">
        <v>32.96</v>
      </c>
    </row>
    <row r="62" spans="1:17" x14ac:dyDescent="0.25">
      <c r="A62" s="5" t="s">
        <v>162</v>
      </c>
      <c r="B62" s="5" t="s">
        <v>15</v>
      </c>
      <c r="C62" s="6">
        <v>42793</v>
      </c>
      <c r="D62" s="5">
        <f t="shared" si="3"/>
        <v>2</v>
      </c>
      <c r="E62" s="5">
        <f t="shared" si="4"/>
        <v>9</v>
      </c>
      <c r="F62" s="61">
        <v>21.99</v>
      </c>
      <c r="G62" s="60">
        <v>58281.71</v>
      </c>
      <c r="H62" s="36">
        <f t="shared" si="0"/>
        <v>1281614.8028999998</v>
      </c>
      <c r="I62" s="36">
        <v>0</v>
      </c>
      <c r="J62" s="60">
        <v>0</v>
      </c>
      <c r="K62" s="60">
        <v>0</v>
      </c>
      <c r="L62" s="60">
        <v>0</v>
      </c>
      <c r="M62" s="36">
        <f t="shared" si="1"/>
        <v>1281614.8028999998</v>
      </c>
      <c r="N62" s="36">
        <v>0</v>
      </c>
      <c r="O62" s="60">
        <v>0</v>
      </c>
      <c r="P62" s="36">
        <f t="shared" si="2"/>
        <v>1281614.8028999998</v>
      </c>
      <c r="Q62" s="61">
        <v>21.99</v>
      </c>
    </row>
    <row r="63" spans="1:17" x14ac:dyDescent="0.25">
      <c r="A63" s="5" t="s">
        <v>162</v>
      </c>
      <c r="B63" s="5" t="s">
        <v>15</v>
      </c>
      <c r="C63" s="6">
        <v>42793</v>
      </c>
      <c r="D63" s="5">
        <f t="shared" si="3"/>
        <v>2</v>
      </c>
      <c r="E63" s="5">
        <f t="shared" si="4"/>
        <v>9</v>
      </c>
      <c r="F63" s="61">
        <v>20.2</v>
      </c>
      <c r="G63" s="60">
        <v>58500</v>
      </c>
      <c r="H63" s="36">
        <f t="shared" si="0"/>
        <v>1181700</v>
      </c>
      <c r="I63" s="36">
        <v>0</v>
      </c>
      <c r="J63" s="60">
        <v>0</v>
      </c>
      <c r="K63" s="60">
        <v>0</v>
      </c>
      <c r="L63" s="60">
        <v>0</v>
      </c>
      <c r="M63" s="36">
        <f t="shared" si="1"/>
        <v>1181700</v>
      </c>
      <c r="N63" s="36">
        <v>0</v>
      </c>
      <c r="O63" s="60">
        <v>0</v>
      </c>
      <c r="P63" s="36">
        <f t="shared" si="2"/>
        <v>1181700</v>
      </c>
      <c r="Q63" s="61">
        <v>20.2</v>
      </c>
    </row>
    <row r="64" spans="1:17" x14ac:dyDescent="0.25">
      <c r="A64" s="5" t="s">
        <v>162</v>
      </c>
      <c r="B64" s="5" t="s">
        <v>15</v>
      </c>
      <c r="C64" s="6">
        <v>42794</v>
      </c>
      <c r="D64" s="5">
        <f t="shared" si="3"/>
        <v>2</v>
      </c>
      <c r="E64" s="5">
        <f t="shared" si="4"/>
        <v>9</v>
      </c>
      <c r="F64" s="61">
        <v>28.64</v>
      </c>
      <c r="G64" s="60">
        <v>58500</v>
      </c>
      <c r="H64" s="36">
        <f t="shared" si="0"/>
        <v>1675440</v>
      </c>
      <c r="I64" s="36">
        <v>0</v>
      </c>
      <c r="J64" s="60">
        <v>0</v>
      </c>
      <c r="K64" s="60">
        <v>0</v>
      </c>
      <c r="L64" s="60">
        <v>0</v>
      </c>
      <c r="M64" s="36">
        <f t="shared" si="1"/>
        <v>1675440</v>
      </c>
      <c r="N64" s="36">
        <v>0</v>
      </c>
      <c r="O64" s="60">
        <v>0</v>
      </c>
      <c r="P64" s="36">
        <f t="shared" si="2"/>
        <v>1675440</v>
      </c>
      <c r="Q64" s="61">
        <v>28.64</v>
      </c>
    </row>
    <row r="65" spans="1:17" x14ac:dyDescent="0.25">
      <c r="A65" s="5" t="s">
        <v>162</v>
      </c>
      <c r="B65" s="5" t="s">
        <v>15</v>
      </c>
      <c r="C65" s="6">
        <v>42794</v>
      </c>
      <c r="D65" s="5">
        <f t="shared" si="3"/>
        <v>2</v>
      </c>
      <c r="E65" s="5">
        <f t="shared" si="4"/>
        <v>9</v>
      </c>
      <c r="F65" s="61">
        <v>28.52</v>
      </c>
      <c r="G65" s="60">
        <v>58500</v>
      </c>
      <c r="H65" s="36">
        <f t="shared" si="0"/>
        <v>1668420</v>
      </c>
      <c r="I65" s="36">
        <v>0</v>
      </c>
      <c r="J65" s="60">
        <v>0</v>
      </c>
      <c r="K65" s="60">
        <v>0</v>
      </c>
      <c r="L65" s="60">
        <v>0</v>
      </c>
      <c r="M65" s="36">
        <f t="shared" si="1"/>
        <v>1668420</v>
      </c>
      <c r="N65" s="36">
        <v>0</v>
      </c>
      <c r="O65" s="60">
        <v>0</v>
      </c>
      <c r="P65" s="36">
        <f t="shared" si="2"/>
        <v>1668420</v>
      </c>
      <c r="Q65" s="61">
        <v>28.52</v>
      </c>
    </row>
  </sheetData>
  <autoFilter ref="A1:Q65"/>
  <hyperlinks>
    <hyperlink ref="K1" r:id="rId1"/>
    <hyperlink ref="L1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F106" sqref="F106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24</v>
      </c>
      <c r="B2" s="5" t="s">
        <v>15</v>
      </c>
      <c r="C2" s="6">
        <v>42795</v>
      </c>
      <c r="D2" s="36">
        <f>MONTH(C2)</f>
        <v>3</v>
      </c>
      <c r="E2" s="36">
        <f>WEEKNUM(C2)</f>
        <v>9</v>
      </c>
      <c r="F2" s="61">
        <v>25</v>
      </c>
      <c r="G2" s="60">
        <v>58500</v>
      </c>
      <c r="H2" s="36">
        <f t="shared" ref="H2:H65" si="0">+F2*G2</f>
        <v>1462500</v>
      </c>
      <c r="I2" s="36">
        <v>0</v>
      </c>
      <c r="J2" s="60">
        <v>0</v>
      </c>
      <c r="K2" s="60">
        <v>0</v>
      </c>
      <c r="L2" s="60">
        <v>0</v>
      </c>
      <c r="M2" s="36">
        <f t="shared" ref="M2:M65" si="1">+H2+J2</f>
        <v>1462500</v>
      </c>
      <c r="N2" s="36">
        <v>0</v>
      </c>
      <c r="O2" s="60">
        <v>0</v>
      </c>
      <c r="P2" s="36">
        <f t="shared" ref="P2:P65" si="2">+M2+N2+O2</f>
        <v>1462500</v>
      </c>
      <c r="Q2" s="61">
        <v>25</v>
      </c>
    </row>
    <row r="3" spans="1:17" x14ac:dyDescent="0.25">
      <c r="A3" s="5" t="s">
        <v>24</v>
      </c>
      <c r="B3" s="5" t="s">
        <v>15</v>
      </c>
      <c r="C3" s="6">
        <v>42795</v>
      </c>
      <c r="D3" s="36">
        <f t="shared" ref="D3:D66" si="3">MONTH(C3)</f>
        <v>3</v>
      </c>
      <c r="E3" s="36">
        <f t="shared" ref="E3:E66" si="4">WEEKNUM(C3)</f>
        <v>9</v>
      </c>
      <c r="F3" s="61">
        <v>20.59</v>
      </c>
      <c r="G3" s="60">
        <v>58500</v>
      </c>
      <c r="H3" s="36">
        <f t="shared" si="0"/>
        <v>1204515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1204515</v>
      </c>
      <c r="N3" s="36">
        <v>0</v>
      </c>
      <c r="O3" s="60">
        <v>0</v>
      </c>
      <c r="P3" s="36">
        <f t="shared" si="2"/>
        <v>1204515</v>
      </c>
      <c r="Q3" s="61">
        <v>20.59</v>
      </c>
    </row>
    <row r="4" spans="1:17" x14ac:dyDescent="0.25">
      <c r="A4" s="5" t="s">
        <v>24</v>
      </c>
      <c r="B4" s="5" t="s">
        <v>15</v>
      </c>
      <c r="C4" s="6">
        <v>42795</v>
      </c>
      <c r="D4" s="36">
        <f t="shared" si="3"/>
        <v>3</v>
      </c>
      <c r="E4" s="36">
        <f t="shared" si="4"/>
        <v>9</v>
      </c>
      <c r="F4" s="61">
        <v>27.17</v>
      </c>
      <c r="G4" s="60">
        <v>58500</v>
      </c>
      <c r="H4" s="36">
        <f t="shared" si="0"/>
        <v>1589445</v>
      </c>
      <c r="I4" s="36">
        <v>0</v>
      </c>
      <c r="J4" s="60">
        <v>0</v>
      </c>
      <c r="K4" s="60">
        <v>0</v>
      </c>
      <c r="L4" s="60">
        <v>0</v>
      </c>
      <c r="M4" s="36">
        <f t="shared" si="1"/>
        <v>1589445</v>
      </c>
      <c r="N4" s="36">
        <v>0</v>
      </c>
      <c r="O4" s="60">
        <v>0</v>
      </c>
      <c r="P4" s="36">
        <f t="shared" si="2"/>
        <v>1589445</v>
      </c>
      <c r="Q4" s="61">
        <v>27.17</v>
      </c>
    </row>
    <row r="5" spans="1:17" x14ac:dyDescent="0.25">
      <c r="A5" s="5" t="s">
        <v>162</v>
      </c>
      <c r="B5" s="5" t="s">
        <v>15</v>
      </c>
      <c r="C5" s="6">
        <v>42795</v>
      </c>
      <c r="D5" s="36">
        <f t="shared" si="3"/>
        <v>3</v>
      </c>
      <c r="E5" s="36">
        <f t="shared" si="4"/>
        <v>9</v>
      </c>
      <c r="F5" s="61">
        <v>29.18</v>
      </c>
      <c r="G5" s="60">
        <v>58255.89</v>
      </c>
      <c r="H5" s="36">
        <f t="shared" si="0"/>
        <v>1699906.8702</v>
      </c>
      <c r="I5" s="36">
        <v>0</v>
      </c>
      <c r="J5" s="60">
        <v>0</v>
      </c>
      <c r="K5" s="60">
        <v>0</v>
      </c>
      <c r="L5" s="60">
        <v>0</v>
      </c>
      <c r="M5" s="36">
        <f t="shared" si="1"/>
        <v>1699906.8702</v>
      </c>
      <c r="N5" s="36">
        <v>0</v>
      </c>
      <c r="O5" s="60">
        <v>0</v>
      </c>
      <c r="P5" s="36">
        <f t="shared" si="2"/>
        <v>1699906.8702</v>
      </c>
      <c r="Q5" s="61">
        <v>29.18</v>
      </c>
    </row>
    <row r="6" spans="1:17" x14ac:dyDescent="0.25">
      <c r="A6" s="5" t="s">
        <v>21</v>
      </c>
      <c r="B6" s="5" t="s">
        <v>15</v>
      </c>
      <c r="C6" s="6">
        <v>42795</v>
      </c>
      <c r="D6" s="36">
        <f t="shared" si="3"/>
        <v>3</v>
      </c>
      <c r="E6" s="36">
        <f t="shared" si="4"/>
        <v>9</v>
      </c>
      <c r="F6" s="61">
        <v>20.22</v>
      </c>
      <c r="G6" s="60">
        <v>58500</v>
      </c>
      <c r="H6" s="36">
        <f t="shared" si="0"/>
        <v>1182870</v>
      </c>
      <c r="I6" s="36">
        <v>0</v>
      </c>
      <c r="J6" s="60">
        <v>0</v>
      </c>
      <c r="K6" s="60">
        <v>0</v>
      </c>
      <c r="L6" s="60">
        <v>0</v>
      </c>
      <c r="M6" s="36">
        <f t="shared" si="1"/>
        <v>1182870</v>
      </c>
      <c r="N6" s="36">
        <v>0</v>
      </c>
      <c r="O6" s="60">
        <v>0</v>
      </c>
      <c r="P6" s="36">
        <f t="shared" si="2"/>
        <v>1182870</v>
      </c>
      <c r="Q6" s="61">
        <v>20.22</v>
      </c>
    </row>
    <row r="7" spans="1:17" x14ac:dyDescent="0.25">
      <c r="A7" s="5" t="s">
        <v>21</v>
      </c>
      <c r="B7" s="5" t="s">
        <v>15</v>
      </c>
      <c r="C7" s="6">
        <v>42795</v>
      </c>
      <c r="D7" s="36">
        <f t="shared" si="3"/>
        <v>3</v>
      </c>
      <c r="E7" s="36">
        <f t="shared" si="4"/>
        <v>9</v>
      </c>
      <c r="F7" s="61">
        <v>28.49</v>
      </c>
      <c r="G7" s="60">
        <v>58200</v>
      </c>
      <c r="H7" s="36">
        <f t="shared" si="0"/>
        <v>1658118</v>
      </c>
      <c r="I7" s="36">
        <v>0</v>
      </c>
      <c r="J7" s="60">
        <v>0</v>
      </c>
      <c r="K7" s="60">
        <v>0</v>
      </c>
      <c r="L7" s="60">
        <v>0</v>
      </c>
      <c r="M7" s="36">
        <f t="shared" si="1"/>
        <v>1658118</v>
      </c>
      <c r="N7" s="36">
        <v>0</v>
      </c>
      <c r="O7" s="60">
        <v>0</v>
      </c>
      <c r="P7" s="36">
        <f t="shared" si="2"/>
        <v>1658118</v>
      </c>
      <c r="Q7" s="61">
        <v>28.49</v>
      </c>
    </row>
    <row r="8" spans="1:17" x14ac:dyDescent="0.25">
      <c r="A8" s="5" t="s">
        <v>162</v>
      </c>
      <c r="B8" s="5" t="s">
        <v>15</v>
      </c>
      <c r="C8" s="6">
        <v>42795</v>
      </c>
      <c r="D8" s="36">
        <f t="shared" si="3"/>
        <v>3</v>
      </c>
      <c r="E8" s="36">
        <f t="shared" si="4"/>
        <v>9</v>
      </c>
      <c r="F8" s="61">
        <v>27.55</v>
      </c>
      <c r="G8" s="60">
        <v>58181.11</v>
      </c>
      <c r="H8" s="36">
        <f t="shared" si="0"/>
        <v>1602889.5805000002</v>
      </c>
      <c r="I8" s="36">
        <v>0</v>
      </c>
      <c r="J8" s="60">
        <v>0</v>
      </c>
      <c r="K8" s="60">
        <v>0</v>
      </c>
      <c r="L8" s="60">
        <v>0</v>
      </c>
      <c r="M8" s="36">
        <f t="shared" si="1"/>
        <v>1602889.5805000002</v>
      </c>
      <c r="N8" s="36">
        <v>0</v>
      </c>
      <c r="O8" s="60">
        <v>0</v>
      </c>
      <c r="P8" s="36">
        <f t="shared" si="2"/>
        <v>1602889.5805000002</v>
      </c>
      <c r="Q8" s="61">
        <v>27.55</v>
      </c>
    </row>
    <row r="9" spans="1:17" x14ac:dyDescent="0.25">
      <c r="A9" s="5" t="s">
        <v>12</v>
      </c>
      <c r="B9" s="5" t="s">
        <v>13</v>
      </c>
      <c r="C9" s="6">
        <v>42795</v>
      </c>
      <c r="D9" s="36">
        <f t="shared" si="3"/>
        <v>3</v>
      </c>
      <c r="E9" s="36">
        <f t="shared" si="4"/>
        <v>9</v>
      </c>
      <c r="F9" s="61">
        <v>28.67</v>
      </c>
      <c r="G9" s="60">
        <v>50000</v>
      </c>
      <c r="H9" s="36">
        <f t="shared" si="0"/>
        <v>1433500</v>
      </c>
      <c r="I9" s="36">
        <v>0</v>
      </c>
      <c r="J9" s="60">
        <v>0</v>
      </c>
      <c r="K9" s="60">
        <v>0</v>
      </c>
      <c r="L9" s="60">
        <v>0</v>
      </c>
      <c r="M9" s="36">
        <f t="shared" si="1"/>
        <v>1433500</v>
      </c>
      <c r="N9" s="36">
        <f t="shared" ref="N9:N10" si="5">M9*2%</f>
        <v>28670</v>
      </c>
      <c r="O9" s="60">
        <v>0</v>
      </c>
      <c r="P9" s="36">
        <f t="shared" si="2"/>
        <v>1462170</v>
      </c>
      <c r="Q9" s="61">
        <v>28.67</v>
      </c>
    </row>
    <row r="10" spans="1:17" x14ac:dyDescent="0.25">
      <c r="A10" s="5" t="s">
        <v>12</v>
      </c>
      <c r="B10" s="5" t="s">
        <v>13</v>
      </c>
      <c r="C10" s="6">
        <v>42795</v>
      </c>
      <c r="D10" s="36">
        <f t="shared" si="3"/>
        <v>3</v>
      </c>
      <c r="E10" s="36">
        <f t="shared" si="4"/>
        <v>9</v>
      </c>
      <c r="F10" s="61">
        <v>29</v>
      </c>
      <c r="G10" s="60">
        <v>50000</v>
      </c>
      <c r="H10" s="36">
        <f t="shared" si="0"/>
        <v>1450000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"/>
        <v>1450000</v>
      </c>
      <c r="N10" s="36">
        <f t="shared" si="5"/>
        <v>29000</v>
      </c>
      <c r="O10" s="60">
        <v>0</v>
      </c>
      <c r="P10" s="36">
        <f t="shared" si="2"/>
        <v>1479000</v>
      </c>
      <c r="Q10" s="61">
        <v>29</v>
      </c>
    </row>
    <row r="11" spans="1:17" x14ac:dyDescent="0.25">
      <c r="A11" s="5" t="s">
        <v>33</v>
      </c>
      <c r="B11" s="5" t="s">
        <v>18</v>
      </c>
      <c r="C11" s="6">
        <v>42796</v>
      </c>
      <c r="D11" s="36">
        <f t="shared" si="3"/>
        <v>3</v>
      </c>
      <c r="E11" s="36">
        <f t="shared" si="4"/>
        <v>9</v>
      </c>
      <c r="F11" s="61">
        <v>29.63</v>
      </c>
      <c r="G11" s="60">
        <v>57000</v>
      </c>
      <c r="H11" s="36">
        <f t="shared" si="0"/>
        <v>1688910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"/>
        <v>1688910</v>
      </c>
      <c r="N11" s="36">
        <v>0</v>
      </c>
      <c r="O11" s="60">
        <v>0</v>
      </c>
      <c r="P11" s="36">
        <f t="shared" si="2"/>
        <v>1688910</v>
      </c>
      <c r="Q11" s="61">
        <v>29.63</v>
      </c>
    </row>
    <row r="12" spans="1:17" x14ac:dyDescent="0.25">
      <c r="A12" s="5" t="s">
        <v>24</v>
      </c>
      <c r="B12" s="5" t="s">
        <v>15</v>
      </c>
      <c r="C12" s="6">
        <v>42796</v>
      </c>
      <c r="D12" s="36">
        <f t="shared" si="3"/>
        <v>3</v>
      </c>
      <c r="E12" s="36">
        <f t="shared" si="4"/>
        <v>9</v>
      </c>
      <c r="F12" s="61">
        <v>27.44</v>
      </c>
      <c r="G12" s="60">
        <v>59494.2</v>
      </c>
      <c r="H12" s="36">
        <f t="shared" si="0"/>
        <v>1632520.848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"/>
        <v>1632520.848</v>
      </c>
      <c r="N12" s="36">
        <v>0</v>
      </c>
      <c r="O12" s="60">
        <v>0</v>
      </c>
      <c r="P12" s="36">
        <f t="shared" si="2"/>
        <v>1632520.848</v>
      </c>
      <c r="Q12" s="61">
        <v>27.44</v>
      </c>
    </row>
    <row r="13" spans="1:17" x14ac:dyDescent="0.25">
      <c r="A13" s="5" t="s">
        <v>21</v>
      </c>
      <c r="B13" s="5" t="s">
        <v>15</v>
      </c>
      <c r="C13" s="6">
        <v>42796</v>
      </c>
      <c r="D13" s="36">
        <f t="shared" si="3"/>
        <v>3</v>
      </c>
      <c r="E13" s="36">
        <f t="shared" si="4"/>
        <v>9</v>
      </c>
      <c r="F13" s="61">
        <v>28.55</v>
      </c>
      <c r="G13" s="60">
        <v>57834.26</v>
      </c>
      <c r="H13" s="36">
        <f t="shared" si="0"/>
        <v>1651168.1230000001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"/>
        <v>1651168.1230000001</v>
      </c>
      <c r="N13" s="36">
        <v>0</v>
      </c>
      <c r="O13" s="60">
        <v>0</v>
      </c>
      <c r="P13" s="36">
        <f t="shared" si="2"/>
        <v>1651168.1230000001</v>
      </c>
      <c r="Q13" s="61">
        <v>28.55</v>
      </c>
    </row>
    <row r="14" spans="1:17" x14ac:dyDescent="0.25">
      <c r="A14" s="5" t="s">
        <v>67</v>
      </c>
      <c r="B14" s="5" t="s">
        <v>15</v>
      </c>
      <c r="C14" s="6">
        <v>42796</v>
      </c>
      <c r="D14" s="36">
        <f t="shared" si="3"/>
        <v>3</v>
      </c>
      <c r="E14" s="36">
        <f t="shared" si="4"/>
        <v>9</v>
      </c>
      <c r="F14" s="61">
        <v>27.74</v>
      </c>
      <c r="G14" s="60">
        <v>59300.28</v>
      </c>
      <c r="H14" s="36">
        <f t="shared" si="0"/>
        <v>1644989.7671999999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"/>
        <v>1644989.7671999999</v>
      </c>
      <c r="N14" s="36">
        <v>0</v>
      </c>
      <c r="O14" s="60">
        <v>0</v>
      </c>
      <c r="P14" s="36">
        <f t="shared" si="2"/>
        <v>1644989.7671999999</v>
      </c>
      <c r="Q14" s="61">
        <v>27.74</v>
      </c>
    </row>
    <row r="15" spans="1:17" x14ac:dyDescent="0.25">
      <c r="A15" s="5" t="s">
        <v>12</v>
      </c>
      <c r="B15" s="5" t="s">
        <v>13</v>
      </c>
      <c r="C15" s="6">
        <v>42796</v>
      </c>
      <c r="D15" s="36">
        <f t="shared" si="3"/>
        <v>3</v>
      </c>
      <c r="E15" s="36">
        <f t="shared" si="4"/>
        <v>9</v>
      </c>
      <c r="F15" s="61">
        <v>33.450000000000003</v>
      </c>
      <c r="G15" s="60">
        <v>50000</v>
      </c>
      <c r="H15" s="36">
        <f t="shared" si="0"/>
        <v>1672500.0000000002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"/>
        <v>1672500.0000000002</v>
      </c>
      <c r="N15" s="36">
        <f t="shared" ref="N15:N35" si="6">M15*2%</f>
        <v>33450.000000000007</v>
      </c>
      <c r="O15" s="60">
        <v>0</v>
      </c>
      <c r="P15" s="36">
        <f t="shared" si="2"/>
        <v>1705950.0000000002</v>
      </c>
      <c r="Q15" s="61">
        <v>33.450000000000003</v>
      </c>
    </row>
    <row r="16" spans="1:17" x14ac:dyDescent="0.25">
      <c r="A16" s="5" t="s">
        <v>12</v>
      </c>
      <c r="B16" s="5" t="s">
        <v>13</v>
      </c>
      <c r="C16" s="6">
        <v>42796</v>
      </c>
      <c r="D16" s="36">
        <f t="shared" si="3"/>
        <v>3</v>
      </c>
      <c r="E16" s="36">
        <f t="shared" si="4"/>
        <v>9</v>
      </c>
      <c r="F16" s="61">
        <v>33.729999999999997</v>
      </c>
      <c r="G16" s="60">
        <v>50000</v>
      </c>
      <c r="H16" s="36">
        <f t="shared" si="0"/>
        <v>1686499.9999999998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"/>
        <v>1686499.9999999998</v>
      </c>
      <c r="N16" s="36">
        <f t="shared" si="6"/>
        <v>33729.999999999993</v>
      </c>
      <c r="O16" s="60">
        <v>0</v>
      </c>
      <c r="P16" s="36">
        <f t="shared" si="2"/>
        <v>1720229.9999999998</v>
      </c>
      <c r="Q16" s="61">
        <v>33.729999999999997</v>
      </c>
    </row>
    <row r="17" spans="1:17" x14ac:dyDescent="0.25">
      <c r="A17" s="5" t="s">
        <v>107</v>
      </c>
      <c r="B17" s="5" t="s">
        <v>110</v>
      </c>
      <c r="C17" s="6">
        <v>42797</v>
      </c>
      <c r="D17" s="36">
        <f t="shared" si="3"/>
        <v>3</v>
      </c>
      <c r="E17" s="36">
        <f t="shared" si="4"/>
        <v>9</v>
      </c>
      <c r="F17" s="61">
        <v>32.89</v>
      </c>
      <c r="G17" s="60">
        <v>64500</v>
      </c>
      <c r="H17" s="36">
        <f t="shared" si="0"/>
        <v>2121405</v>
      </c>
      <c r="I17" s="36">
        <v>0</v>
      </c>
      <c r="J17" s="60">
        <f t="shared" ref="J17:J19" si="7">H17*12.5%</f>
        <v>265175.625</v>
      </c>
      <c r="K17" s="60">
        <v>0</v>
      </c>
      <c r="L17" s="60">
        <v>0</v>
      </c>
      <c r="M17" s="36">
        <f t="shared" si="1"/>
        <v>2386580.625</v>
      </c>
      <c r="N17" s="36">
        <f t="shared" si="6"/>
        <v>47731.612500000003</v>
      </c>
      <c r="O17" s="60">
        <v>0</v>
      </c>
      <c r="P17" s="36">
        <f t="shared" si="2"/>
        <v>2434312.2374999998</v>
      </c>
      <c r="Q17" s="61">
        <v>32.89</v>
      </c>
    </row>
    <row r="18" spans="1:17" x14ac:dyDescent="0.25">
      <c r="A18" s="5" t="s">
        <v>107</v>
      </c>
      <c r="B18" s="5" t="s">
        <v>110</v>
      </c>
      <c r="C18" s="6">
        <v>42797</v>
      </c>
      <c r="D18" s="36">
        <f t="shared" si="3"/>
        <v>3</v>
      </c>
      <c r="E18" s="36">
        <f t="shared" si="4"/>
        <v>9</v>
      </c>
      <c r="F18" s="61">
        <v>31.67</v>
      </c>
      <c r="G18" s="60">
        <v>64500</v>
      </c>
      <c r="H18" s="36">
        <f t="shared" si="0"/>
        <v>2042715</v>
      </c>
      <c r="I18" s="36">
        <v>0</v>
      </c>
      <c r="J18" s="60">
        <f t="shared" si="7"/>
        <v>255339.375</v>
      </c>
      <c r="K18" s="60">
        <v>0</v>
      </c>
      <c r="L18" s="60">
        <v>0</v>
      </c>
      <c r="M18" s="36">
        <f t="shared" si="1"/>
        <v>2298054.375</v>
      </c>
      <c r="N18" s="36">
        <f t="shared" si="6"/>
        <v>45961.087500000001</v>
      </c>
      <c r="O18" s="60">
        <v>0</v>
      </c>
      <c r="P18" s="36">
        <f t="shared" si="2"/>
        <v>2344015.4624999999</v>
      </c>
      <c r="Q18" s="61">
        <v>31.67</v>
      </c>
    </row>
    <row r="19" spans="1:17" x14ac:dyDescent="0.25">
      <c r="A19" s="5" t="s">
        <v>107</v>
      </c>
      <c r="B19" s="5" t="s">
        <v>110</v>
      </c>
      <c r="C19" s="6">
        <v>42797</v>
      </c>
      <c r="D19" s="36">
        <f t="shared" si="3"/>
        <v>3</v>
      </c>
      <c r="E19" s="36">
        <f t="shared" si="4"/>
        <v>9</v>
      </c>
      <c r="F19" s="61">
        <v>26.65</v>
      </c>
      <c r="G19" s="60">
        <v>64500</v>
      </c>
      <c r="H19" s="36">
        <f t="shared" si="0"/>
        <v>1718925</v>
      </c>
      <c r="I19" s="36">
        <v>0</v>
      </c>
      <c r="J19" s="60">
        <f t="shared" si="7"/>
        <v>214865.625</v>
      </c>
      <c r="K19" s="60">
        <v>0</v>
      </c>
      <c r="L19" s="60">
        <v>0</v>
      </c>
      <c r="M19" s="36">
        <f t="shared" si="1"/>
        <v>1933790.625</v>
      </c>
      <c r="N19" s="36">
        <f t="shared" si="6"/>
        <v>38675.8125</v>
      </c>
      <c r="O19" s="60">
        <v>0</v>
      </c>
      <c r="P19" s="36">
        <f t="shared" si="2"/>
        <v>1972466.4375</v>
      </c>
      <c r="Q19" s="61">
        <v>26.65</v>
      </c>
    </row>
    <row r="20" spans="1:17" x14ac:dyDescent="0.25">
      <c r="A20" s="5" t="s">
        <v>100</v>
      </c>
      <c r="B20" s="5" t="s">
        <v>23</v>
      </c>
      <c r="C20" s="6">
        <v>42797</v>
      </c>
      <c r="D20" s="36">
        <f t="shared" si="3"/>
        <v>3</v>
      </c>
      <c r="E20" s="36">
        <f t="shared" si="4"/>
        <v>9</v>
      </c>
      <c r="F20" s="61">
        <v>19.73</v>
      </c>
      <c r="G20" s="60">
        <v>90196</v>
      </c>
      <c r="H20" s="36">
        <f t="shared" si="0"/>
        <v>1779567.08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"/>
        <v>1779567.08</v>
      </c>
      <c r="N20" s="36">
        <f t="shared" si="6"/>
        <v>35591.3416</v>
      </c>
      <c r="O20" s="60">
        <v>0</v>
      </c>
      <c r="P20" s="36">
        <v>1816080</v>
      </c>
      <c r="Q20" s="61">
        <v>19.73</v>
      </c>
    </row>
    <row r="21" spans="1:17" x14ac:dyDescent="0.25">
      <c r="A21" s="5" t="s">
        <v>100</v>
      </c>
      <c r="B21" s="5" t="s">
        <v>23</v>
      </c>
      <c r="C21" s="6">
        <v>42797</v>
      </c>
      <c r="D21" s="36">
        <f t="shared" si="3"/>
        <v>3</v>
      </c>
      <c r="E21" s="36">
        <f t="shared" si="4"/>
        <v>9</v>
      </c>
      <c r="F21" s="61">
        <v>19.77</v>
      </c>
      <c r="G21" s="60">
        <v>90196</v>
      </c>
      <c r="H21" s="36">
        <f t="shared" si="0"/>
        <v>1783174.92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"/>
        <v>1783174.92</v>
      </c>
      <c r="N21" s="36">
        <f t="shared" si="6"/>
        <v>35663.498399999997</v>
      </c>
      <c r="O21" s="60">
        <v>0</v>
      </c>
      <c r="P21" s="36">
        <v>1820680</v>
      </c>
      <c r="Q21" s="61">
        <v>19.77</v>
      </c>
    </row>
    <row r="22" spans="1:17" x14ac:dyDescent="0.25">
      <c r="A22" s="5" t="s">
        <v>107</v>
      </c>
      <c r="B22" s="5" t="s">
        <v>110</v>
      </c>
      <c r="C22" s="6">
        <v>42798</v>
      </c>
      <c r="D22" s="36">
        <f t="shared" si="3"/>
        <v>3</v>
      </c>
      <c r="E22" s="36">
        <f t="shared" si="4"/>
        <v>9</v>
      </c>
      <c r="F22" s="61">
        <v>32.71</v>
      </c>
      <c r="G22" s="60">
        <v>64500</v>
      </c>
      <c r="H22" s="36">
        <f t="shared" si="0"/>
        <v>2109795</v>
      </c>
      <c r="I22" s="36">
        <v>0</v>
      </c>
      <c r="J22" s="60">
        <f t="shared" ref="J22:J23" si="8">H22*12.5%</f>
        <v>263724.375</v>
      </c>
      <c r="K22" s="60">
        <v>0</v>
      </c>
      <c r="L22" s="60">
        <v>0</v>
      </c>
      <c r="M22" s="36">
        <f t="shared" si="1"/>
        <v>2373519.375</v>
      </c>
      <c r="N22" s="36">
        <f t="shared" si="6"/>
        <v>47470.387500000004</v>
      </c>
      <c r="O22" s="60">
        <v>0</v>
      </c>
      <c r="P22" s="36">
        <f t="shared" ref="P22:P23" si="9">+M22+N22+O22</f>
        <v>2420989.7625000002</v>
      </c>
      <c r="Q22" s="61">
        <v>32.71</v>
      </c>
    </row>
    <row r="23" spans="1:17" x14ac:dyDescent="0.25">
      <c r="A23" s="5" t="s">
        <v>107</v>
      </c>
      <c r="B23" s="5" t="s">
        <v>110</v>
      </c>
      <c r="C23" s="6">
        <v>42798</v>
      </c>
      <c r="D23" s="36">
        <f t="shared" si="3"/>
        <v>3</v>
      </c>
      <c r="E23" s="36">
        <f t="shared" si="4"/>
        <v>9</v>
      </c>
      <c r="F23" s="61">
        <v>27.45</v>
      </c>
      <c r="G23" s="60">
        <v>64500</v>
      </c>
      <c r="H23" s="36">
        <f t="shared" si="0"/>
        <v>1770525</v>
      </c>
      <c r="I23" s="36">
        <v>0</v>
      </c>
      <c r="J23" s="60">
        <f t="shared" si="8"/>
        <v>221315.625</v>
      </c>
      <c r="K23" s="60">
        <v>0</v>
      </c>
      <c r="L23" s="60">
        <v>0</v>
      </c>
      <c r="M23" s="36">
        <f t="shared" si="1"/>
        <v>1991840.625</v>
      </c>
      <c r="N23" s="36">
        <f t="shared" si="6"/>
        <v>39836.8125</v>
      </c>
      <c r="O23" s="60">
        <v>0</v>
      </c>
      <c r="P23" s="36">
        <f t="shared" si="9"/>
        <v>2031677.4375</v>
      </c>
      <c r="Q23" s="61">
        <v>27.45</v>
      </c>
    </row>
    <row r="24" spans="1:17" x14ac:dyDescent="0.25">
      <c r="A24" s="5" t="s">
        <v>33</v>
      </c>
      <c r="B24" s="5" t="s">
        <v>18</v>
      </c>
      <c r="C24" s="6">
        <v>42798</v>
      </c>
      <c r="D24" s="36">
        <f t="shared" si="3"/>
        <v>3</v>
      </c>
      <c r="E24" s="36">
        <f t="shared" si="4"/>
        <v>9</v>
      </c>
      <c r="F24" s="61">
        <v>28.15</v>
      </c>
      <c r="G24" s="60">
        <v>56375.96</v>
      </c>
      <c r="H24" s="36">
        <f t="shared" si="0"/>
        <v>1586983.274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"/>
        <v>1586983.274</v>
      </c>
      <c r="N24" s="36">
        <v>0</v>
      </c>
      <c r="O24" s="60">
        <v>0</v>
      </c>
      <c r="P24" s="36">
        <f t="shared" si="2"/>
        <v>1586983.274</v>
      </c>
      <c r="Q24" s="61">
        <v>28.15</v>
      </c>
    </row>
    <row r="25" spans="1:17" x14ac:dyDescent="0.25">
      <c r="A25" s="5" t="s">
        <v>16</v>
      </c>
      <c r="B25" s="5" t="s">
        <v>15</v>
      </c>
      <c r="C25" s="6">
        <v>42799</v>
      </c>
      <c r="D25" s="36">
        <f t="shared" si="3"/>
        <v>3</v>
      </c>
      <c r="E25" s="36">
        <f t="shared" si="4"/>
        <v>10</v>
      </c>
      <c r="F25" s="61">
        <v>30.97</v>
      </c>
      <c r="G25" s="60">
        <v>58168.04</v>
      </c>
      <c r="H25" s="36">
        <f t="shared" si="0"/>
        <v>1801464.1987999999</v>
      </c>
      <c r="I25" s="36">
        <v>0</v>
      </c>
      <c r="J25" s="60">
        <v>0</v>
      </c>
      <c r="K25" s="60">
        <v>0</v>
      </c>
      <c r="L25" s="60">
        <v>0</v>
      </c>
      <c r="M25" s="36">
        <f t="shared" si="1"/>
        <v>1801464.1987999999</v>
      </c>
      <c r="N25" s="36">
        <v>0</v>
      </c>
      <c r="O25" s="60">
        <v>0</v>
      </c>
      <c r="P25" s="36">
        <f t="shared" si="2"/>
        <v>1801464.1987999999</v>
      </c>
      <c r="Q25" s="61">
        <v>30.97</v>
      </c>
    </row>
    <row r="26" spans="1:17" x14ac:dyDescent="0.25">
      <c r="A26" s="5" t="s">
        <v>33</v>
      </c>
      <c r="B26" s="5" t="s">
        <v>15</v>
      </c>
      <c r="C26" s="6">
        <v>42799</v>
      </c>
      <c r="D26" s="36">
        <f t="shared" si="3"/>
        <v>3</v>
      </c>
      <c r="E26" s="36">
        <f t="shared" si="4"/>
        <v>10</v>
      </c>
      <c r="F26" s="61">
        <v>29.88</v>
      </c>
      <c r="G26" s="60">
        <v>58200</v>
      </c>
      <c r="H26" s="36">
        <f t="shared" si="0"/>
        <v>1739016</v>
      </c>
      <c r="I26" s="36">
        <v>0</v>
      </c>
      <c r="J26" s="60">
        <v>0</v>
      </c>
      <c r="K26" s="60">
        <v>0</v>
      </c>
      <c r="L26" s="60">
        <v>0</v>
      </c>
      <c r="M26" s="36">
        <f t="shared" si="1"/>
        <v>1739016</v>
      </c>
      <c r="N26" s="36">
        <v>0</v>
      </c>
      <c r="O26" s="60">
        <v>0</v>
      </c>
      <c r="P26" s="36">
        <f t="shared" si="2"/>
        <v>1739016</v>
      </c>
      <c r="Q26" s="61">
        <v>29.88</v>
      </c>
    </row>
    <row r="27" spans="1:17" x14ac:dyDescent="0.25">
      <c r="A27" s="5" t="s">
        <v>21</v>
      </c>
      <c r="B27" s="5" t="s">
        <v>15</v>
      </c>
      <c r="C27" s="6">
        <v>42799</v>
      </c>
      <c r="D27" s="36">
        <f t="shared" si="3"/>
        <v>3</v>
      </c>
      <c r="E27" s="36">
        <f t="shared" si="4"/>
        <v>10</v>
      </c>
      <c r="F27" s="61">
        <v>29.16</v>
      </c>
      <c r="G27" s="60">
        <v>58090.71</v>
      </c>
      <c r="H27" s="36">
        <f t="shared" si="0"/>
        <v>1693925.1036</v>
      </c>
      <c r="I27" s="36">
        <v>0</v>
      </c>
      <c r="J27" s="60">
        <v>0</v>
      </c>
      <c r="K27" s="60">
        <v>0</v>
      </c>
      <c r="L27" s="60">
        <v>0</v>
      </c>
      <c r="M27" s="36">
        <f t="shared" si="1"/>
        <v>1693925.1036</v>
      </c>
      <c r="N27" s="36">
        <v>0</v>
      </c>
      <c r="O27" s="60">
        <v>0</v>
      </c>
      <c r="P27" s="36">
        <f t="shared" si="2"/>
        <v>1693925.1036</v>
      </c>
      <c r="Q27" s="61">
        <v>29.16</v>
      </c>
    </row>
    <row r="28" spans="1:17" x14ac:dyDescent="0.25">
      <c r="A28" s="5" t="s">
        <v>24</v>
      </c>
      <c r="B28" s="5" t="s">
        <v>15</v>
      </c>
      <c r="C28" s="6">
        <v>42799</v>
      </c>
      <c r="D28" s="36">
        <f t="shared" si="3"/>
        <v>3</v>
      </c>
      <c r="E28" s="36">
        <f t="shared" si="4"/>
        <v>10</v>
      </c>
      <c r="F28" s="61">
        <v>29.43</v>
      </c>
      <c r="G28" s="60">
        <v>58500</v>
      </c>
      <c r="H28" s="36">
        <f t="shared" si="0"/>
        <v>1721655</v>
      </c>
      <c r="I28" s="36">
        <v>0</v>
      </c>
      <c r="J28" s="60">
        <v>0</v>
      </c>
      <c r="K28" s="60">
        <v>0</v>
      </c>
      <c r="L28" s="60">
        <v>0</v>
      </c>
      <c r="M28" s="36">
        <f t="shared" si="1"/>
        <v>1721655</v>
      </c>
      <c r="N28" s="36">
        <v>0</v>
      </c>
      <c r="O28" s="60">
        <v>0</v>
      </c>
      <c r="P28" s="36">
        <f t="shared" si="2"/>
        <v>1721655</v>
      </c>
      <c r="Q28" s="61">
        <v>29.43</v>
      </c>
    </row>
    <row r="29" spans="1:17" x14ac:dyDescent="0.25">
      <c r="A29" s="5" t="s">
        <v>12</v>
      </c>
      <c r="B29" s="5" t="s">
        <v>13</v>
      </c>
      <c r="C29" s="6">
        <v>42800</v>
      </c>
      <c r="D29" s="36">
        <f t="shared" si="3"/>
        <v>3</v>
      </c>
      <c r="E29" s="36">
        <f t="shared" si="4"/>
        <v>10</v>
      </c>
      <c r="F29" s="61">
        <v>29.4</v>
      </c>
      <c r="G29" s="60">
        <v>50000</v>
      </c>
      <c r="H29" s="36">
        <f t="shared" si="0"/>
        <v>1470000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1"/>
        <v>1470000</v>
      </c>
      <c r="N29" s="36">
        <f t="shared" ref="N29" si="10">M29*2%</f>
        <v>29400</v>
      </c>
      <c r="O29" s="60">
        <v>0</v>
      </c>
      <c r="P29" s="36">
        <f t="shared" si="2"/>
        <v>1499400</v>
      </c>
      <c r="Q29" s="61">
        <v>29.4</v>
      </c>
    </row>
    <row r="30" spans="1:17" x14ac:dyDescent="0.25">
      <c r="A30" s="5" t="s">
        <v>21</v>
      </c>
      <c r="B30" s="5" t="s">
        <v>15</v>
      </c>
      <c r="C30" s="6">
        <v>42800</v>
      </c>
      <c r="D30" s="36">
        <f t="shared" si="3"/>
        <v>3</v>
      </c>
      <c r="E30" s="36">
        <f t="shared" si="4"/>
        <v>10</v>
      </c>
      <c r="F30" s="61">
        <v>28.28</v>
      </c>
      <c r="G30" s="60">
        <v>57608.45</v>
      </c>
      <c r="H30" s="36">
        <f t="shared" si="0"/>
        <v>1629166.966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"/>
        <v>1629166.966</v>
      </c>
      <c r="N30" s="36">
        <v>0</v>
      </c>
      <c r="O30" s="60">
        <v>0</v>
      </c>
      <c r="P30" s="36">
        <f t="shared" si="2"/>
        <v>1629166.966</v>
      </c>
      <c r="Q30" s="61">
        <v>28.28</v>
      </c>
    </row>
    <row r="31" spans="1:17" x14ac:dyDescent="0.25">
      <c r="A31" s="5" t="s">
        <v>33</v>
      </c>
      <c r="B31" s="5" t="s">
        <v>15</v>
      </c>
      <c r="C31" s="6">
        <v>42800</v>
      </c>
      <c r="D31" s="36">
        <f t="shared" si="3"/>
        <v>3</v>
      </c>
      <c r="E31" s="36">
        <f t="shared" si="4"/>
        <v>10</v>
      </c>
      <c r="F31" s="61">
        <v>30.41</v>
      </c>
      <c r="G31" s="60">
        <v>58436.06</v>
      </c>
      <c r="H31" s="36">
        <f t="shared" si="0"/>
        <v>1777040.5845999999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"/>
        <v>1777040.5845999999</v>
      </c>
      <c r="N31" s="36">
        <v>0</v>
      </c>
      <c r="O31" s="60">
        <v>0</v>
      </c>
      <c r="P31" s="36">
        <f t="shared" si="2"/>
        <v>1777040.5845999999</v>
      </c>
      <c r="Q31" s="61">
        <v>30.41</v>
      </c>
    </row>
    <row r="32" spans="1:17" x14ac:dyDescent="0.25">
      <c r="A32" s="5" t="s">
        <v>12</v>
      </c>
      <c r="B32" s="5" t="s">
        <v>13</v>
      </c>
      <c r="C32" s="6">
        <v>42801</v>
      </c>
      <c r="D32" s="36">
        <f t="shared" si="3"/>
        <v>3</v>
      </c>
      <c r="E32" s="36">
        <f t="shared" si="4"/>
        <v>10</v>
      </c>
      <c r="F32" s="61">
        <v>28.98</v>
      </c>
      <c r="G32" s="60">
        <v>50202.26</v>
      </c>
      <c r="H32" s="36">
        <f t="shared" si="0"/>
        <v>1454861.4948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"/>
        <v>1454861.4948</v>
      </c>
      <c r="N32" s="36">
        <f t="shared" si="6"/>
        <v>29097.229896000001</v>
      </c>
      <c r="O32" s="60">
        <v>0</v>
      </c>
      <c r="P32" s="36">
        <f t="shared" si="2"/>
        <v>1483958.7246959999</v>
      </c>
      <c r="Q32" s="61">
        <v>28.98</v>
      </c>
    </row>
    <row r="33" spans="1:17" x14ac:dyDescent="0.25">
      <c r="A33" s="5" t="s">
        <v>12</v>
      </c>
      <c r="B33" s="5" t="s">
        <v>13</v>
      </c>
      <c r="C33" s="6">
        <v>42801</v>
      </c>
      <c r="D33" s="36">
        <f t="shared" si="3"/>
        <v>3</v>
      </c>
      <c r="E33" s="36">
        <f t="shared" si="4"/>
        <v>10</v>
      </c>
      <c r="F33" s="61">
        <v>30.05</v>
      </c>
      <c r="G33" s="60">
        <v>50294.1</v>
      </c>
      <c r="H33" s="36">
        <f t="shared" si="0"/>
        <v>1511337.7050000001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"/>
        <v>1511337.7050000001</v>
      </c>
      <c r="N33" s="36">
        <f t="shared" si="6"/>
        <v>30226.754100000002</v>
      </c>
      <c r="O33" s="60">
        <v>0</v>
      </c>
      <c r="P33" s="36">
        <f t="shared" si="2"/>
        <v>1541564.4591000001</v>
      </c>
      <c r="Q33" s="61">
        <v>30.05</v>
      </c>
    </row>
    <row r="34" spans="1:17" x14ac:dyDescent="0.25">
      <c r="A34" s="5" t="s">
        <v>12</v>
      </c>
      <c r="B34" s="5" t="s">
        <v>13</v>
      </c>
      <c r="C34" s="6">
        <v>42801</v>
      </c>
      <c r="D34" s="36">
        <f t="shared" si="3"/>
        <v>3</v>
      </c>
      <c r="E34" s="36">
        <f t="shared" si="4"/>
        <v>10</v>
      </c>
      <c r="F34" s="61">
        <v>28.62</v>
      </c>
      <c r="G34" s="60">
        <v>50294.1</v>
      </c>
      <c r="H34" s="36">
        <f t="shared" si="0"/>
        <v>1439417.142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"/>
        <v>1439417.142</v>
      </c>
      <c r="N34" s="36">
        <f t="shared" si="6"/>
        <v>28788.342840000001</v>
      </c>
      <c r="O34" s="60">
        <v>0</v>
      </c>
      <c r="P34" s="36">
        <f t="shared" si="2"/>
        <v>1468205.48484</v>
      </c>
      <c r="Q34" s="61">
        <v>28.62</v>
      </c>
    </row>
    <row r="35" spans="1:17" x14ac:dyDescent="0.25">
      <c r="A35" s="5" t="s">
        <v>12</v>
      </c>
      <c r="B35" s="5" t="s">
        <v>13</v>
      </c>
      <c r="C35" s="6">
        <v>42801</v>
      </c>
      <c r="D35" s="36">
        <f t="shared" si="3"/>
        <v>3</v>
      </c>
      <c r="E35" s="36">
        <f t="shared" si="4"/>
        <v>10</v>
      </c>
      <c r="F35" s="61">
        <v>29.62</v>
      </c>
      <c r="G35" s="60">
        <v>50294.1</v>
      </c>
      <c r="H35" s="36">
        <f t="shared" si="0"/>
        <v>1489711.2420000001</v>
      </c>
      <c r="I35" s="36">
        <v>0</v>
      </c>
      <c r="J35" s="60">
        <v>0</v>
      </c>
      <c r="K35" s="60">
        <v>0</v>
      </c>
      <c r="L35" s="60">
        <v>0</v>
      </c>
      <c r="M35" s="36">
        <f t="shared" si="1"/>
        <v>1489711.2420000001</v>
      </c>
      <c r="N35" s="36">
        <f t="shared" si="6"/>
        <v>29794.224840000003</v>
      </c>
      <c r="O35" s="60">
        <v>0</v>
      </c>
      <c r="P35" s="36">
        <f t="shared" si="2"/>
        <v>1519505.4668400001</v>
      </c>
      <c r="Q35" s="61">
        <v>29.62</v>
      </c>
    </row>
    <row r="36" spans="1:17" x14ac:dyDescent="0.25">
      <c r="A36" s="5" t="s">
        <v>24</v>
      </c>
      <c r="B36" s="5" t="s">
        <v>18</v>
      </c>
      <c r="C36" s="6">
        <v>42801</v>
      </c>
      <c r="D36" s="36">
        <f t="shared" si="3"/>
        <v>3</v>
      </c>
      <c r="E36" s="36">
        <f t="shared" si="4"/>
        <v>10</v>
      </c>
      <c r="F36" s="61">
        <v>36.51</v>
      </c>
      <c r="G36" s="60">
        <v>56000</v>
      </c>
      <c r="H36" s="36">
        <f t="shared" si="0"/>
        <v>2044560</v>
      </c>
      <c r="I36" s="36">
        <v>0</v>
      </c>
      <c r="J36" s="60">
        <v>0</v>
      </c>
      <c r="K36" s="60">
        <v>0</v>
      </c>
      <c r="L36" s="60">
        <v>0</v>
      </c>
      <c r="M36" s="36">
        <f t="shared" si="1"/>
        <v>2044560</v>
      </c>
      <c r="N36" s="36">
        <v>0</v>
      </c>
      <c r="O36" s="60">
        <v>0</v>
      </c>
      <c r="P36" s="36">
        <f t="shared" si="2"/>
        <v>2044560</v>
      </c>
      <c r="Q36" s="61">
        <v>36.51</v>
      </c>
    </row>
    <row r="37" spans="1:17" x14ac:dyDescent="0.25">
      <c r="A37" s="5" t="s">
        <v>24</v>
      </c>
      <c r="B37" s="5" t="s">
        <v>15</v>
      </c>
      <c r="C37" s="6">
        <v>42801</v>
      </c>
      <c r="D37" s="36">
        <f t="shared" si="3"/>
        <v>3</v>
      </c>
      <c r="E37" s="36">
        <f t="shared" si="4"/>
        <v>10</v>
      </c>
      <c r="F37" s="61">
        <v>19.22</v>
      </c>
      <c r="G37" s="60">
        <v>58476.07</v>
      </c>
      <c r="H37" s="36">
        <f t="shared" si="0"/>
        <v>1123910.0654</v>
      </c>
      <c r="I37" s="36">
        <v>0</v>
      </c>
      <c r="J37" s="60">
        <v>0</v>
      </c>
      <c r="K37" s="60">
        <v>0</v>
      </c>
      <c r="L37" s="60">
        <v>0</v>
      </c>
      <c r="M37" s="36">
        <f t="shared" si="1"/>
        <v>1123910.0654</v>
      </c>
      <c r="N37" s="36">
        <v>0</v>
      </c>
      <c r="O37" s="60">
        <v>0</v>
      </c>
      <c r="P37" s="36">
        <f t="shared" si="2"/>
        <v>1123910.0654</v>
      </c>
      <c r="Q37" s="61">
        <v>19.22</v>
      </c>
    </row>
    <row r="38" spans="1:17" x14ac:dyDescent="0.25">
      <c r="A38" s="5" t="s">
        <v>21</v>
      </c>
      <c r="B38" s="5" t="s">
        <v>15</v>
      </c>
      <c r="C38" s="6">
        <v>42801</v>
      </c>
      <c r="D38" s="36">
        <f t="shared" si="3"/>
        <v>3</v>
      </c>
      <c r="E38" s="36">
        <f t="shared" si="4"/>
        <v>10</v>
      </c>
      <c r="F38" s="61">
        <v>19.93</v>
      </c>
      <c r="G38" s="60">
        <v>57336.81</v>
      </c>
      <c r="H38" s="36">
        <f t="shared" si="0"/>
        <v>1142722.6232999999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"/>
        <v>1142722.6232999999</v>
      </c>
      <c r="N38" s="36">
        <v>0</v>
      </c>
      <c r="O38" s="60">
        <v>0</v>
      </c>
      <c r="P38" s="36">
        <f t="shared" si="2"/>
        <v>1142722.6232999999</v>
      </c>
      <c r="Q38" s="61">
        <v>19.93</v>
      </c>
    </row>
    <row r="39" spans="1:17" x14ac:dyDescent="0.25">
      <c r="A39" s="5" t="s">
        <v>16</v>
      </c>
      <c r="B39" s="5" t="s">
        <v>15</v>
      </c>
      <c r="C39" s="6">
        <v>42801</v>
      </c>
      <c r="D39" s="36">
        <f t="shared" si="3"/>
        <v>3</v>
      </c>
      <c r="E39" s="36">
        <f t="shared" si="4"/>
        <v>10</v>
      </c>
      <c r="F39" s="61">
        <v>19.600000000000001</v>
      </c>
      <c r="G39" s="60">
        <v>58400</v>
      </c>
      <c r="H39" s="36">
        <f t="shared" si="0"/>
        <v>1144640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"/>
        <v>1144640</v>
      </c>
      <c r="N39" s="36">
        <v>0</v>
      </c>
      <c r="O39" s="60">
        <v>0</v>
      </c>
      <c r="P39" s="36">
        <f t="shared" si="2"/>
        <v>1144640</v>
      </c>
      <c r="Q39" s="61">
        <v>19.600000000000001</v>
      </c>
    </row>
    <row r="40" spans="1:17" x14ac:dyDescent="0.25">
      <c r="A40" s="5" t="s">
        <v>21</v>
      </c>
      <c r="B40" s="5" t="s">
        <v>15</v>
      </c>
      <c r="C40" s="6">
        <v>42801</v>
      </c>
      <c r="D40" s="36">
        <f t="shared" si="3"/>
        <v>3</v>
      </c>
      <c r="E40" s="36">
        <f t="shared" si="4"/>
        <v>10</v>
      </c>
      <c r="F40" s="61">
        <v>30.48</v>
      </c>
      <c r="G40" s="60">
        <v>57400</v>
      </c>
      <c r="H40" s="36">
        <f t="shared" si="0"/>
        <v>1749552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"/>
        <v>1749552</v>
      </c>
      <c r="N40" s="36">
        <v>0</v>
      </c>
      <c r="O40" s="60">
        <v>0</v>
      </c>
      <c r="P40" s="36">
        <f t="shared" si="2"/>
        <v>1749552</v>
      </c>
      <c r="Q40" s="61">
        <v>30.48</v>
      </c>
    </row>
    <row r="41" spans="1:17" x14ac:dyDescent="0.25">
      <c r="A41" s="5" t="s">
        <v>162</v>
      </c>
      <c r="B41" s="5" t="s">
        <v>15</v>
      </c>
      <c r="C41" s="6">
        <v>42801</v>
      </c>
      <c r="D41" s="36">
        <f t="shared" si="3"/>
        <v>3</v>
      </c>
      <c r="E41" s="36">
        <f t="shared" si="4"/>
        <v>10</v>
      </c>
      <c r="F41" s="61">
        <v>19.89</v>
      </c>
      <c r="G41" s="60">
        <v>57800</v>
      </c>
      <c r="H41" s="36">
        <f t="shared" si="0"/>
        <v>1149642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"/>
        <v>1149642</v>
      </c>
      <c r="N41" s="36">
        <v>0</v>
      </c>
      <c r="O41" s="60">
        <v>0</v>
      </c>
      <c r="P41" s="36">
        <f t="shared" si="2"/>
        <v>1149642</v>
      </c>
      <c r="Q41" s="61">
        <v>19.89</v>
      </c>
    </row>
    <row r="42" spans="1:17" x14ac:dyDescent="0.25">
      <c r="A42" s="5" t="s">
        <v>33</v>
      </c>
      <c r="B42" s="5" t="s">
        <v>15</v>
      </c>
      <c r="C42" s="6">
        <v>42802</v>
      </c>
      <c r="D42" s="36">
        <f t="shared" si="3"/>
        <v>3</v>
      </c>
      <c r="E42" s="36">
        <f t="shared" si="4"/>
        <v>10</v>
      </c>
      <c r="F42" s="61">
        <v>23.64</v>
      </c>
      <c r="G42" s="60">
        <v>58500</v>
      </c>
      <c r="H42" s="36">
        <f t="shared" si="0"/>
        <v>1382940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"/>
        <v>1382940</v>
      </c>
      <c r="N42" s="36">
        <v>0</v>
      </c>
      <c r="O42" s="60">
        <v>0</v>
      </c>
      <c r="P42" s="36">
        <f t="shared" si="2"/>
        <v>1382940</v>
      </c>
      <c r="Q42" s="61">
        <v>23.64</v>
      </c>
    </row>
    <row r="43" spans="1:17" x14ac:dyDescent="0.25">
      <c r="A43" s="5" t="s">
        <v>162</v>
      </c>
      <c r="B43" s="5" t="s">
        <v>15</v>
      </c>
      <c r="C43" s="6">
        <v>42802</v>
      </c>
      <c r="D43" s="36">
        <f t="shared" si="3"/>
        <v>3</v>
      </c>
      <c r="E43" s="36">
        <f t="shared" si="4"/>
        <v>10</v>
      </c>
      <c r="F43" s="61">
        <v>28.65</v>
      </c>
      <c r="G43" s="60">
        <v>57800</v>
      </c>
      <c r="H43" s="36">
        <f t="shared" si="0"/>
        <v>1655970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"/>
        <v>1655970</v>
      </c>
      <c r="N43" s="36">
        <v>0</v>
      </c>
      <c r="O43" s="60">
        <v>0</v>
      </c>
      <c r="P43" s="36">
        <f t="shared" si="2"/>
        <v>1655970</v>
      </c>
      <c r="Q43" s="61">
        <v>28.65</v>
      </c>
    </row>
    <row r="44" spans="1:17" x14ac:dyDescent="0.25">
      <c r="A44" s="5" t="s">
        <v>162</v>
      </c>
      <c r="B44" s="5" t="s">
        <v>15</v>
      </c>
      <c r="C44" s="6">
        <v>42802</v>
      </c>
      <c r="D44" s="36">
        <f t="shared" si="3"/>
        <v>3</v>
      </c>
      <c r="E44" s="36">
        <f t="shared" si="4"/>
        <v>10</v>
      </c>
      <c r="F44" s="61">
        <v>27.39</v>
      </c>
      <c r="G44" s="60">
        <v>57400</v>
      </c>
      <c r="H44" s="36">
        <f t="shared" si="0"/>
        <v>1572186</v>
      </c>
      <c r="I44" s="36">
        <v>0</v>
      </c>
      <c r="J44" s="60">
        <v>0</v>
      </c>
      <c r="K44" s="60">
        <v>0</v>
      </c>
      <c r="L44" s="60">
        <v>0</v>
      </c>
      <c r="M44" s="36">
        <f t="shared" si="1"/>
        <v>1572186</v>
      </c>
      <c r="N44" s="36">
        <v>0</v>
      </c>
      <c r="O44" s="60">
        <v>0</v>
      </c>
      <c r="P44" s="36">
        <f t="shared" si="2"/>
        <v>1572186</v>
      </c>
      <c r="Q44" s="61">
        <v>27.39</v>
      </c>
    </row>
    <row r="45" spans="1:17" x14ac:dyDescent="0.25">
      <c r="A45" s="5" t="s">
        <v>24</v>
      </c>
      <c r="B45" s="5" t="s">
        <v>15</v>
      </c>
      <c r="C45" s="6">
        <v>42802</v>
      </c>
      <c r="D45" s="36">
        <f t="shared" si="3"/>
        <v>3</v>
      </c>
      <c r="E45" s="36">
        <f t="shared" si="4"/>
        <v>10</v>
      </c>
      <c r="F45" s="61">
        <v>31.77</v>
      </c>
      <c r="G45" s="60">
        <v>58180.85</v>
      </c>
      <c r="H45" s="36">
        <f t="shared" si="0"/>
        <v>1848405.6044999999</v>
      </c>
      <c r="I45" s="36">
        <v>0</v>
      </c>
      <c r="J45" s="60">
        <v>0</v>
      </c>
      <c r="K45" s="60">
        <v>0</v>
      </c>
      <c r="L45" s="60">
        <v>0</v>
      </c>
      <c r="M45" s="36">
        <f t="shared" si="1"/>
        <v>1848405.6044999999</v>
      </c>
      <c r="N45" s="36">
        <v>0</v>
      </c>
      <c r="O45" s="60">
        <v>0</v>
      </c>
      <c r="P45" s="36">
        <f t="shared" si="2"/>
        <v>1848405.6044999999</v>
      </c>
      <c r="Q45" s="61">
        <v>31.77</v>
      </c>
    </row>
    <row r="46" spans="1:17" x14ac:dyDescent="0.25">
      <c r="A46" s="5" t="s">
        <v>24</v>
      </c>
      <c r="B46" s="5" t="s">
        <v>15</v>
      </c>
      <c r="C46" s="6">
        <v>42802</v>
      </c>
      <c r="D46" s="36">
        <f t="shared" si="3"/>
        <v>3</v>
      </c>
      <c r="E46" s="36">
        <f t="shared" si="4"/>
        <v>10</v>
      </c>
      <c r="F46" s="61">
        <v>30.73</v>
      </c>
      <c r="G46" s="60">
        <v>57800</v>
      </c>
      <c r="H46" s="36">
        <f t="shared" si="0"/>
        <v>1776194</v>
      </c>
      <c r="I46" s="36">
        <v>0</v>
      </c>
      <c r="J46" s="60">
        <v>0</v>
      </c>
      <c r="K46" s="60">
        <v>0</v>
      </c>
      <c r="L46" s="60">
        <v>0</v>
      </c>
      <c r="M46" s="36">
        <f t="shared" si="1"/>
        <v>1776194</v>
      </c>
      <c r="N46" s="36">
        <v>0</v>
      </c>
      <c r="O46" s="60">
        <v>0</v>
      </c>
      <c r="P46" s="36">
        <f t="shared" si="2"/>
        <v>1776194</v>
      </c>
      <c r="Q46" s="61">
        <v>30.73</v>
      </c>
    </row>
    <row r="47" spans="1:17" x14ac:dyDescent="0.25">
      <c r="A47" s="5" t="s">
        <v>24</v>
      </c>
      <c r="B47" s="5" t="s">
        <v>15</v>
      </c>
      <c r="C47" s="6">
        <v>42802</v>
      </c>
      <c r="D47" s="36">
        <f t="shared" si="3"/>
        <v>3</v>
      </c>
      <c r="E47" s="36">
        <f t="shared" si="4"/>
        <v>10</v>
      </c>
      <c r="F47" s="61">
        <v>21.56</v>
      </c>
      <c r="G47" s="60">
        <v>57400</v>
      </c>
      <c r="H47" s="36">
        <f t="shared" si="0"/>
        <v>1237544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"/>
        <v>1237544</v>
      </c>
      <c r="N47" s="36">
        <v>0</v>
      </c>
      <c r="O47" s="60">
        <v>0</v>
      </c>
      <c r="P47" s="36">
        <f t="shared" si="2"/>
        <v>1237544</v>
      </c>
      <c r="Q47" s="61">
        <v>21.56</v>
      </c>
    </row>
    <row r="48" spans="1:17" x14ac:dyDescent="0.25">
      <c r="A48" s="5" t="s">
        <v>31</v>
      </c>
      <c r="B48" s="5" t="s">
        <v>15</v>
      </c>
      <c r="C48" s="6">
        <v>42802</v>
      </c>
      <c r="D48" s="36">
        <f t="shared" si="3"/>
        <v>3</v>
      </c>
      <c r="E48" s="36">
        <f t="shared" si="4"/>
        <v>10</v>
      </c>
      <c r="F48" s="61">
        <v>28.88</v>
      </c>
      <c r="G48" s="60">
        <v>55147.98</v>
      </c>
      <c r="H48" s="36">
        <f t="shared" si="0"/>
        <v>1592673.6624</v>
      </c>
      <c r="I48" s="36">
        <v>0</v>
      </c>
      <c r="J48" s="60">
        <v>0</v>
      </c>
      <c r="K48" s="60">
        <v>0</v>
      </c>
      <c r="L48" s="60">
        <v>0</v>
      </c>
      <c r="M48" s="36">
        <f t="shared" si="1"/>
        <v>1592673.6624</v>
      </c>
      <c r="N48" s="36">
        <v>0</v>
      </c>
      <c r="O48" s="60">
        <v>0</v>
      </c>
      <c r="P48" s="36">
        <f t="shared" si="2"/>
        <v>1592673.6624</v>
      </c>
      <c r="Q48" s="61">
        <v>28.88</v>
      </c>
    </row>
    <row r="49" spans="1:17" x14ac:dyDescent="0.25">
      <c r="A49" s="5" t="s">
        <v>24</v>
      </c>
      <c r="B49" s="5" t="s">
        <v>15</v>
      </c>
      <c r="C49" s="6">
        <v>42803</v>
      </c>
      <c r="D49" s="36">
        <f t="shared" si="3"/>
        <v>3</v>
      </c>
      <c r="E49" s="36">
        <f t="shared" si="4"/>
        <v>10</v>
      </c>
      <c r="F49" s="61">
        <v>21.05</v>
      </c>
      <c r="G49" s="60">
        <v>57602.83</v>
      </c>
      <c r="H49" s="36">
        <f t="shared" si="0"/>
        <v>1212539.5715000001</v>
      </c>
      <c r="I49" s="36">
        <v>0</v>
      </c>
      <c r="J49" s="60">
        <v>0</v>
      </c>
      <c r="K49" s="60">
        <v>0</v>
      </c>
      <c r="L49" s="60">
        <v>0</v>
      </c>
      <c r="M49" s="36">
        <f t="shared" si="1"/>
        <v>1212539.5715000001</v>
      </c>
      <c r="N49" s="36">
        <v>0</v>
      </c>
      <c r="O49" s="60">
        <v>0</v>
      </c>
      <c r="P49" s="36">
        <f t="shared" si="2"/>
        <v>1212539.5715000001</v>
      </c>
      <c r="Q49" s="61">
        <v>21.05</v>
      </c>
    </row>
    <row r="50" spans="1:17" x14ac:dyDescent="0.25">
      <c r="A50" s="5" t="s">
        <v>24</v>
      </c>
      <c r="B50" s="5" t="s">
        <v>15</v>
      </c>
      <c r="C50" s="6">
        <v>42803</v>
      </c>
      <c r="D50" s="36">
        <f t="shared" si="3"/>
        <v>3</v>
      </c>
      <c r="E50" s="36">
        <f t="shared" si="4"/>
        <v>10</v>
      </c>
      <c r="F50" s="61">
        <v>9.06</v>
      </c>
      <c r="G50" s="60">
        <v>57800</v>
      </c>
      <c r="H50" s="36">
        <f t="shared" si="0"/>
        <v>523668</v>
      </c>
      <c r="I50" s="36">
        <v>0</v>
      </c>
      <c r="J50" s="60">
        <v>0</v>
      </c>
      <c r="K50" s="60">
        <v>0</v>
      </c>
      <c r="L50" s="60">
        <v>0</v>
      </c>
      <c r="M50" s="36">
        <f t="shared" si="1"/>
        <v>523668</v>
      </c>
      <c r="N50" s="36">
        <v>0</v>
      </c>
      <c r="O50" s="60">
        <v>0</v>
      </c>
      <c r="P50" s="36">
        <f t="shared" si="2"/>
        <v>523668</v>
      </c>
      <c r="Q50" s="61">
        <v>9.06</v>
      </c>
    </row>
    <row r="51" spans="1:17" x14ac:dyDescent="0.25">
      <c r="A51" s="5" t="s">
        <v>162</v>
      </c>
      <c r="B51" s="5" t="s">
        <v>15</v>
      </c>
      <c r="C51" s="6">
        <v>42804</v>
      </c>
      <c r="D51" s="36">
        <f t="shared" si="3"/>
        <v>3</v>
      </c>
      <c r="E51" s="36">
        <f t="shared" si="4"/>
        <v>10</v>
      </c>
      <c r="F51" s="61">
        <v>27.62</v>
      </c>
      <c r="G51" s="60">
        <v>57400</v>
      </c>
      <c r="H51" s="36">
        <f t="shared" si="0"/>
        <v>1585388</v>
      </c>
      <c r="I51" s="36">
        <v>0</v>
      </c>
      <c r="J51" s="60">
        <v>0</v>
      </c>
      <c r="K51" s="60">
        <v>0</v>
      </c>
      <c r="L51" s="60">
        <v>0</v>
      </c>
      <c r="M51" s="36">
        <f t="shared" si="1"/>
        <v>1585388</v>
      </c>
      <c r="N51" s="36">
        <v>0</v>
      </c>
      <c r="O51" s="60">
        <v>0</v>
      </c>
      <c r="P51" s="36">
        <f t="shared" si="2"/>
        <v>1585388</v>
      </c>
      <c r="Q51" s="61">
        <v>27.62</v>
      </c>
    </row>
    <row r="52" spans="1:17" x14ac:dyDescent="0.25">
      <c r="A52" s="5" t="s">
        <v>12</v>
      </c>
      <c r="B52" s="5" t="s">
        <v>13</v>
      </c>
      <c r="C52" s="6">
        <v>42804</v>
      </c>
      <c r="D52" s="36">
        <f t="shared" si="3"/>
        <v>3</v>
      </c>
      <c r="E52" s="36">
        <f t="shared" si="4"/>
        <v>10</v>
      </c>
      <c r="F52" s="61">
        <v>29.76</v>
      </c>
      <c r="G52" s="60">
        <v>50294.1</v>
      </c>
      <c r="H52" s="36">
        <f t="shared" si="0"/>
        <v>1496752.416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"/>
        <v>1496752.416</v>
      </c>
      <c r="N52" s="36">
        <f t="shared" ref="N52:N89" si="11">M52*2%</f>
        <v>29935.048320000002</v>
      </c>
      <c r="O52" s="60">
        <v>0</v>
      </c>
      <c r="P52" s="36">
        <f t="shared" si="2"/>
        <v>1526687.46432</v>
      </c>
      <c r="Q52" s="61">
        <v>29.76</v>
      </c>
    </row>
    <row r="53" spans="1:17" x14ac:dyDescent="0.25">
      <c r="A53" s="5" t="s">
        <v>12</v>
      </c>
      <c r="B53" s="5" t="s">
        <v>13</v>
      </c>
      <c r="C53" s="6">
        <v>42804</v>
      </c>
      <c r="D53" s="36">
        <f t="shared" si="3"/>
        <v>3</v>
      </c>
      <c r="E53" s="36">
        <f t="shared" si="4"/>
        <v>10</v>
      </c>
      <c r="F53" s="61">
        <v>29.75</v>
      </c>
      <c r="G53" s="60">
        <v>50294.1</v>
      </c>
      <c r="H53" s="36">
        <f t="shared" si="0"/>
        <v>1496249.4749999999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"/>
        <v>1496249.4749999999</v>
      </c>
      <c r="N53" s="36">
        <f t="shared" si="11"/>
        <v>29924.989499999996</v>
      </c>
      <c r="O53" s="60">
        <v>0</v>
      </c>
      <c r="P53" s="36">
        <f t="shared" si="2"/>
        <v>1526174.4644999998</v>
      </c>
      <c r="Q53" s="61">
        <v>29.75</v>
      </c>
    </row>
    <row r="54" spans="1:17" x14ac:dyDescent="0.25">
      <c r="A54" s="5" t="s">
        <v>161</v>
      </c>
      <c r="B54" s="5" t="s">
        <v>20</v>
      </c>
      <c r="C54" s="6">
        <v>42804</v>
      </c>
      <c r="D54" s="36">
        <f t="shared" si="3"/>
        <v>3</v>
      </c>
      <c r="E54" s="36">
        <f t="shared" si="4"/>
        <v>10</v>
      </c>
      <c r="F54" s="61">
        <v>19.87</v>
      </c>
      <c r="G54" s="60">
        <v>106862.74</v>
      </c>
      <c r="H54" s="36">
        <f t="shared" si="0"/>
        <v>2123362.6438000002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"/>
        <v>2123362.6438000002</v>
      </c>
      <c r="N54" s="36">
        <f t="shared" si="11"/>
        <v>42467.252876000006</v>
      </c>
      <c r="O54" s="60">
        <v>0</v>
      </c>
      <c r="P54" s="36">
        <f t="shared" si="2"/>
        <v>2165829.8966760002</v>
      </c>
      <c r="Q54" s="61">
        <v>19.87</v>
      </c>
    </row>
    <row r="55" spans="1:17" x14ac:dyDescent="0.25">
      <c r="A55" s="5" t="s">
        <v>161</v>
      </c>
      <c r="B55" s="5" t="s">
        <v>20</v>
      </c>
      <c r="C55" s="6">
        <v>42804</v>
      </c>
      <c r="D55" s="36">
        <f t="shared" si="3"/>
        <v>3</v>
      </c>
      <c r="E55" s="36">
        <f t="shared" si="4"/>
        <v>10</v>
      </c>
      <c r="F55" s="61">
        <v>20.02</v>
      </c>
      <c r="G55" s="60">
        <v>106860</v>
      </c>
      <c r="H55" s="36">
        <f t="shared" si="0"/>
        <v>2139337.2000000002</v>
      </c>
      <c r="I55" s="36">
        <v>0</v>
      </c>
      <c r="J55" s="60">
        <v>0</v>
      </c>
      <c r="K55" s="60">
        <v>0</v>
      </c>
      <c r="L55" s="60">
        <v>0</v>
      </c>
      <c r="M55" s="36">
        <f t="shared" si="1"/>
        <v>2139337.2000000002</v>
      </c>
      <c r="N55" s="36">
        <f t="shared" si="11"/>
        <v>42786.744000000006</v>
      </c>
      <c r="O55" s="60">
        <v>0</v>
      </c>
      <c r="P55" s="36">
        <f t="shared" si="2"/>
        <v>2182123.9440000001</v>
      </c>
      <c r="Q55" s="61">
        <v>20.02</v>
      </c>
    </row>
    <row r="56" spans="1:17" x14ac:dyDescent="0.25">
      <c r="A56" s="5" t="s">
        <v>161</v>
      </c>
      <c r="B56" s="5" t="s">
        <v>20</v>
      </c>
      <c r="C56" s="6">
        <v>42804</v>
      </c>
      <c r="D56" s="36">
        <f t="shared" si="3"/>
        <v>3</v>
      </c>
      <c r="E56" s="36">
        <f t="shared" si="4"/>
        <v>10</v>
      </c>
      <c r="F56" s="61">
        <v>19.96</v>
      </c>
      <c r="G56" s="60">
        <v>106862.74</v>
      </c>
      <c r="H56" s="36">
        <f t="shared" si="0"/>
        <v>2132980.2904000003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"/>
        <v>2132980.2904000003</v>
      </c>
      <c r="N56" s="36">
        <f t="shared" si="11"/>
        <v>42659.605808000008</v>
      </c>
      <c r="O56" s="60">
        <v>0</v>
      </c>
      <c r="P56" s="36">
        <f t="shared" si="2"/>
        <v>2175639.8962080004</v>
      </c>
      <c r="Q56" s="61">
        <v>19.96</v>
      </c>
    </row>
    <row r="57" spans="1:17" x14ac:dyDescent="0.25">
      <c r="A57" s="5" t="s">
        <v>68</v>
      </c>
      <c r="B57" s="5" t="s">
        <v>18</v>
      </c>
      <c r="C57" s="6">
        <v>42804</v>
      </c>
      <c r="D57" s="36">
        <f t="shared" si="3"/>
        <v>3</v>
      </c>
      <c r="E57" s="36">
        <f t="shared" si="4"/>
        <v>10</v>
      </c>
      <c r="F57" s="61">
        <v>0</v>
      </c>
      <c r="G57" s="60">
        <v>0</v>
      </c>
      <c r="H57" s="36">
        <f t="shared" si="0"/>
        <v>0</v>
      </c>
      <c r="I57" s="36">
        <v>0</v>
      </c>
      <c r="J57" s="60">
        <f t="shared" ref="J57" si="12">H57*12.5%</f>
        <v>0</v>
      </c>
      <c r="K57" s="60">
        <v>0</v>
      </c>
      <c r="L57" s="60">
        <v>0</v>
      </c>
      <c r="M57" s="36">
        <f t="shared" si="1"/>
        <v>0</v>
      </c>
      <c r="N57" s="36">
        <f t="shared" si="11"/>
        <v>0</v>
      </c>
      <c r="O57" s="60">
        <v>0</v>
      </c>
      <c r="P57" s="36">
        <f t="shared" si="2"/>
        <v>0</v>
      </c>
      <c r="Q57" s="61">
        <v>0</v>
      </c>
    </row>
    <row r="58" spans="1:17" x14ac:dyDescent="0.25">
      <c r="A58" s="5" t="s">
        <v>27</v>
      </c>
      <c r="B58" s="5" t="s">
        <v>18</v>
      </c>
      <c r="C58" s="6">
        <v>42804</v>
      </c>
      <c r="D58" s="36">
        <f t="shared" si="3"/>
        <v>3</v>
      </c>
      <c r="E58" s="36">
        <f t="shared" si="4"/>
        <v>10</v>
      </c>
      <c r="F58" s="61">
        <v>21.07</v>
      </c>
      <c r="G58" s="60">
        <v>54800</v>
      </c>
      <c r="H58" s="36">
        <f t="shared" si="0"/>
        <v>1154636</v>
      </c>
      <c r="I58" s="36">
        <v>0</v>
      </c>
      <c r="J58" s="60">
        <v>0</v>
      </c>
      <c r="K58" s="60">
        <v>0</v>
      </c>
      <c r="L58" s="60">
        <v>0</v>
      </c>
      <c r="M58" s="36">
        <f t="shared" si="1"/>
        <v>1154636</v>
      </c>
      <c r="N58" s="36">
        <v>0</v>
      </c>
      <c r="O58" s="60">
        <v>0</v>
      </c>
      <c r="P58" s="36">
        <f t="shared" si="2"/>
        <v>1154636</v>
      </c>
      <c r="Q58" s="61">
        <v>21.07</v>
      </c>
    </row>
    <row r="59" spans="1:17" x14ac:dyDescent="0.25">
      <c r="A59" s="5" t="s">
        <v>21</v>
      </c>
      <c r="B59" s="5" t="s">
        <v>15</v>
      </c>
      <c r="C59" s="6">
        <v>42805</v>
      </c>
      <c r="D59" s="36">
        <f t="shared" si="3"/>
        <v>3</v>
      </c>
      <c r="E59" s="36">
        <f t="shared" si="4"/>
        <v>10</v>
      </c>
      <c r="F59" s="61">
        <v>28.2</v>
      </c>
      <c r="G59" s="60">
        <v>58500</v>
      </c>
      <c r="H59" s="36">
        <f t="shared" si="0"/>
        <v>1649700</v>
      </c>
      <c r="I59" s="36">
        <v>0</v>
      </c>
      <c r="J59" s="60">
        <v>0</v>
      </c>
      <c r="K59" s="60">
        <v>0</v>
      </c>
      <c r="L59" s="60">
        <v>0</v>
      </c>
      <c r="M59" s="36">
        <f t="shared" si="1"/>
        <v>1649700</v>
      </c>
      <c r="N59" s="36">
        <v>0</v>
      </c>
      <c r="O59" s="60">
        <v>0</v>
      </c>
      <c r="P59" s="36">
        <f t="shared" si="2"/>
        <v>1649700</v>
      </c>
      <c r="Q59" s="61">
        <v>28.2</v>
      </c>
    </row>
    <row r="60" spans="1:17" x14ac:dyDescent="0.25">
      <c r="A60" s="5" t="s">
        <v>24</v>
      </c>
      <c r="B60" s="5" t="s">
        <v>15</v>
      </c>
      <c r="C60" s="6">
        <v>42805</v>
      </c>
      <c r="D60" s="36">
        <f t="shared" si="3"/>
        <v>3</v>
      </c>
      <c r="E60" s="36">
        <f t="shared" si="4"/>
        <v>10</v>
      </c>
      <c r="F60" s="61">
        <v>20.32</v>
      </c>
      <c r="G60" s="60">
        <v>58200</v>
      </c>
      <c r="H60" s="36">
        <f t="shared" si="0"/>
        <v>1182624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"/>
        <v>1182624</v>
      </c>
      <c r="N60" s="36">
        <v>0</v>
      </c>
      <c r="O60" s="60">
        <v>0</v>
      </c>
      <c r="P60" s="36">
        <f t="shared" si="2"/>
        <v>1182624</v>
      </c>
      <c r="Q60" s="61">
        <v>20.32</v>
      </c>
    </row>
    <row r="61" spans="1:17" x14ac:dyDescent="0.25">
      <c r="A61" s="5" t="s">
        <v>24</v>
      </c>
      <c r="B61" s="5" t="s">
        <v>15</v>
      </c>
      <c r="C61" s="6">
        <v>42805</v>
      </c>
      <c r="D61" s="36">
        <f t="shared" si="3"/>
        <v>3</v>
      </c>
      <c r="E61" s="36">
        <f t="shared" si="4"/>
        <v>10</v>
      </c>
      <c r="F61" s="61">
        <v>22.42</v>
      </c>
      <c r="G61" s="60">
        <v>58248.67</v>
      </c>
      <c r="H61" s="36">
        <f t="shared" si="0"/>
        <v>1305935.1814000001</v>
      </c>
      <c r="I61" s="36">
        <v>0</v>
      </c>
      <c r="J61" s="60">
        <v>0</v>
      </c>
      <c r="K61" s="60">
        <v>0</v>
      </c>
      <c r="L61" s="60">
        <v>0</v>
      </c>
      <c r="M61" s="36">
        <f t="shared" si="1"/>
        <v>1305935.1814000001</v>
      </c>
      <c r="N61" s="36">
        <v>0</v>
      </c>
      <c r="O61" s="60">
        <v>0</v>
      </c>
      <c r="P61" s="36">
        <f t="shared" si="2"/>
        <v>1305935.1814000001</v>
      </c>
      <c r="Q61" s="61">
        <v>22.42</v>
      </c>
    </row>
    <row r="62" spans="1:17" x14ac:dyDescent="0.25">
      <c r="A62" s="5" t="s">
        <v>24</v>
      </c>
      <c r="B62" s="5" t="s">
        <v>15</v>
      </c>
      <c r="C62" s="6">
        <v>42805</v>
      </c>
      <c r="D62" s="36">
        <f t="shared" si="3"/>
        <v>3</v>
      </c>
      <c r="E62" s="36">
        <f t="shared" si="4"/>
        <v>10</v>
      </c>
      <c r="F62" s="61">
        <v>29.92</v>
      </c>
      <c r="G62" s="60">
        <v>58200</v>
      </c>
      <c r="H62" s="36">
        <f t="shared" si="0"/>
        <v>1741344</v>
      </c>
      <c r="I62" s="36">
        <v>0</v>
      </c>
      <c r="J62" s="60">
        <v>0</v>
      </c>
      <c r="K62" s="60">
        <v>0</v>
      </c>
      <c r="L62" s="60">
        <v>0</v>
      </c>
      <c r="M62" s="36">
        <f t="shared" si="1"/>
        <v>1741344</v>
      </c>
      <c r="N62" s="36">
        <v>0</v>
      </c>
      <c r="O62" s="60">
        <v>0</v>
      </c>
      <c r="P62" s="36">
        <f t="shared" si="2"/>
        <v>1741344</v>
      </c>
      <c r="Q62" s="61">
        <v>29.92</v>
      </c>
    </row>
    <row r="63" spans="1:17" x14ac:dyDescent="0.25">
      <c r="A63" s="5" t="s">
        <v>12</v>
      </c>
      <c r="B63" s="5" t="s">
        <v>13</v>
      </c>
      <c r="C63" s="6">
        <v>42805</v>
      </c>
      <c r="D63" s="36">
        <f t="shared" si="3"/>
        <v>3</v>
      </c>
      <c r="E63" s="36">
        <f t="shared" si="4"/>
        <v>10</v>
      </c>
      <c r="F63" s="61">
        <v>29.94</v>
      </c>
      <c r="G63" s="60">
        <v>50294.1</v>
      </c>
      <c r="H63" s="36">
        <f t="shared" si="0"/>
        <v>1505805.3540000001</v>
      </c>
      <c r="I63" s="36">
        <v>0</v>
      </c>
      <c r="J63" s="60">
        <v>0</v>
      </c>
      <c r="K63" s="60">
        <v>0</v>
      </c>
      <c r="L63" s="60">
        <v>0</v>
      </c>
      <c r="M63" s="36">
        <f t="shared" si="1"/>
        <v>1505805.3540000001</v>
      </c>
      <c r="N63" s="36">
        <f t="shared" ref="N63" si="13">M63*2%</f>
        <v>30116.107080000002</v>
      </c>
      <c r="O63" s="60">
        <v>0</v>
      </c>
      <c r="P63" s="36">
        <f t="shared" si="2"/>
        <v>1535921.46108</v>
      </c>
      <c r="Q63" s="61">
        <v>29.94</v>
      </c>
    </row>
    <row r="64" spans="1:17" x14ac:dyDescent="0.25">
      <c r="A64" s="5" t="s">
        <v>68</v>
      </c>
      <c r="B64" s="5" t="s">
        <v>18</v>
      </c>
      <c r="C64" s="6">
        <v>42809</v>
      </c>
      <c r="D64" s="36">
        <f t="shared" si="3"/>
        <v>3</v>
      </c>
      <c r="E64" s="36">
        <f t="shared" si="4"/>
        <v>11</v>
      </c>
      <c r="F64" s="61">
        <v>27.48</v>
      </c>
      <c r="G64" s="60">
        <v>55675.59</v>
      </c>
      <c r="H64" s="36">
        <f t="shared" si="0"/>
        <v>1529965.2131999999</v>
      </c>
      <c r="I64" s="36">
        <v>0</v>
      </c>
      <c r="J64" s="60">
        <v>0</v>
      </c>
      <c r="K64" s="60">
        <v>0</v>
      </c>
      <c r="L64" s="60">
        <v>0</v>
      </c>
      <c r="M64" s="36">
        <f t="shared" si="1"/>
        <v>1529965.2131999999</v>
      </c>
      <c r="N64" s="36">
        <v>0</v>
      </c>
      <c r="O64" s="60">
        <v>0</v>
      </c>
      <c r="P64" s="36">
        <f t="shared" si="2"/>
        <v>1529965.2131999999</v>
      </c>
      <c r="Q64" s="61">
        <v>27.48</v>
      </c>
    </row>
    <row r="65" spans="1:17" x14ac:dyDescent="0.25">
      <c r="A65" s="5" t="s">
        <v>12</v>
      </c>
      <c r="B65" s="5" t="s">
        <v>13</v>
      </c>
      <c r="C65" s="6">
        <v>42809</v>
      </c>
      <c r="D65" s="36">
        <f t="shared" si="3"/>
        <v>3</v>
      </c>
      <c r="E65" s="36">
        <f t="shared" si="4"/>
        <v>11</v>
      </c>
      <c r="F65" s="61">
        <v>29.24</v>
      </c>
      <c r="G65" s="60">
        <v>50000</v>
      </c>
      <c r="H65" s="36">
        <f t="shared" si="0"/>
        <v>1462000</v>
      </c>
      <c r="I65" s="36">
        <v>0</v>
      </c>
      <c r="J65" s="60">
        <v>0</v>
      </c>
      <c r="K65" s="60">
        <v>0</v>
      </c>
      <c r="L65" s="60">
        <v>0</v>
      </c>
      <c r="M65" s="36">
        <f t="shared" si="1"/>
        <v>1462000</v>
      </c>
      <c r="N65" s="36">
        <f t="shared" ref="N65:N68" si="14">M65*2%</f>
        <v>29240</v>
      </c>
      <c r="O65" s="60">
        <v>0</v>
      </c>
      <c r="P65" s="36">
        <f t="shared" si="2"/>
        <v>1491240</v>
      </c>
      <c r="Q65" s="61">
        <v>29.24</v>
      </c>
    </row>
    <row r="66" spans="1:17" x14ac:dyDescent="0.25">
      <c r="A66" s="5" t="s">
        <v>12</v>
      </c>
      <c r="B66" s="5" t="s">
        <v>13</v>
      </c>
      <c r="C66" s="6">
        <v>42809</v>
      </c>
      <c r="D66" s="36">
        <f t="shared" si="3"/>
        <v>3</v>
      </c>
      <c r="E66" s="36">
        <f t="shared" si="4"/>
        <v>11</v>
      </c>
      <c r="F66" s="61">
        <v>28.06</v>
      </c>
      <c r="G66" s="60">
        <v>50000</v>
      </c>
      <c r="H66" s="36">
        <f t="shared" ref="H66:H106" si="15">+F66*G66</f>
        <v>1403000</v>
      </c>
      <c r="I66" s="36">
        <v>0</v>
      </c>
      <c r="J66" s="60">
        <v>0</v>
      </c>
      <c r="K66" s="60">
        <v>0</v>
      </c>
      <c r="L66" s="60">
        <v>0</v>
      </c>
      <c r="M66" s="36">
        <f t="shared" ref="M66:M106" si="16">+H66+J66</f>
        <v>1403000</v>
      </c>
      <c r="N66" s="36">
        <f t="shared" si="14"/>
        <v>28060</v>
      </c>
      <c r="O66" s="60">
        <v>0</v>
      </c>
      <c r="P66" s="36">
        <f t="shared" ref="P66:P106" si="17">+M66+N66+O66</f>
        <v>1431060</v>
      </c>
      <c r="Q66" s="61">
        <v>28.06</v>
      </c>
    </row>
    <row r="67" spans="1:17" x14ac:dyDescent="0.25">
      <c r="A67" s="5" t="s">
        <v>12</v>
      </c>
      <c r="B67" s="5" t="s">
        <v>13</v>
      </c>
      <c r="C67" s="6">
        <v>42809</v>
      </c>
      <c r="D67" s="36">
        <f t="shared" ref="D67:D106" si="18">MONTH(C67)</f>
        <v>3</v>
      </c>
      <c r="E67" s="36">
        <f t="shared" ref="E67:E106" si="19">WEEKNUM(C67)</f>
        <v>11</v>
      </c>
      <c r="F67" s="61">
        <v>29.33</v>
      </c>
      <c r="G67" s="60">
        <v>50000</v>
      </c>
      <c r="H67" s="36">
        <f t="shared" si="15"/>
        <v>1466500</v>
      </c>
      <c r="I67" s="36">
        <v>0</v>
      </c>
      <c r="J67" s="60">
        <v>0</v>
      </c>
      <c r="K67" s="60">
        <v>0</v>
      </c>
      <c r="L67" s="60">
        <v>0</v>
      </c>
      <c r="M67" s="36">
        <f t="shared" si="16"/>
        <v>1466500</v>
      </c>
      <c r="N67" s="36">
        <f t="shared" si="14"/>
        <v>29330</v>
      </c>
      <c r="O67" s="60">
        <v>0</v>
      </c>
      <c r="P67" s="36">
        <f t="shared" si="17"/>
        <v>1495830</v>
      </c>
      <c r="Q67" s="61">
        <v>29.33</v>
      </c>
    </row>
    <row r="68" spans="1:17" x14ac:dyDescent="0.25">
      <c r="A68" s="5" t="s">
        <v>12</v>
      </c>
      <c r="B68" s="5" t="s">
        <v>13</v>
      </c>
      <c r="C68" s="6">
        <v>42809</v>
      </c>
      <c r="D68" s="36">
        <f t="shared" si="18"/>
        <v>3</v>
      </c>
      <c r="E68" s="36">
        <f t="shared" si="19"/>
        <v>11</v>
      </c>
      <c r="F68" s="61">
        <v>29.96</v>
      </c>
      <c r="G68" s="60">
        <v>50000</v>
      </c>
      <c r="H68" s="36">
        <f t="shared" si="15"/>
        <v>1498000</v>
      </c>
      <c r="I68" s="36">
        <v>0</v>
      </c>
      <c r="J68" s="60">
        <v>0</v>
      </c>
      <c r="K68" s="60">
        <v>0</v>
      </c>
      <c r="L68" s="60">
        <v>0</v>
      </c>
      <c r="M68" s="36">
        <f t="shared" si="16"/>
        <v>1498000</v>
      </c>
      <c r="N68" s="36">
        <f t="shared" si="14"/>
        <v>29960</v>
      </c>
      <c r="O68" s="60">
        <v>0</v>
      </c>
      <c r="P68" s="36">
        <f t="shared" si="17"/>
        <v>1527960</v>
      </c>
      <c r="Q68" s="61">
        <v>29.96</v>
      </c>
    </row>
    <row r="69" spans="1:17" x14ac:dyDescent="0.25">
      <c r="A69" s="5" t="s">
        <v>67</v>
      </c>
      <c r="B69" s="5" t="s">
        <v>15</v>
      </c>
      <c r="C69" s="6">
        <v>42809</v>
      </c>
      <c r="D69" s="36">
        <f t="shared" si="18"/>
        <v>3</v>
      </c>
      <c r="E69" s="36">
        <f t="shared" si="19"/>
        <v>11</v>
      </c>
      <c r="F69" s="61">
        <v>30.47</v>
      </c>
      <c r="G69" s="60">
        <v>58500</v>
      </c>
      <c r="H69" s="36">
        <f t="shared" si="15"/>
        <v>1782495</v>
      </c>
      <c r="I69" s="36">
        <v>0</v>
      </c>
      <c r="J69" s="60">
        <v>0</v>
      </c>
      <c r="K69" s="60">
        <v>0</v>
      </c>
      <c r="L69" s="60">
        <v>0</v>
      </c>
      <c r="M69" s="36">
        <f t="shared" si="16"/>
        <v>1782495</v>
      </c>
      <c r="N69" s="36">
        <v>0</v>
      </c>
      <c r="O69" s="60">
        <v>0</v>
      </c>
      <c r="P69" s="36">
        <f t="shared" si="17"/>
        <v>1782495</v>
      </c>
      <c r="Q69" s="61">
        <v>30.47</v>
      </c>
    </row>
    <row r="70" spans="1:17" x14ac:dyDescent="0.25">
      <c r="A70" s="5" t="s">
        <v>162</v>
      </c>
      <c r="B70" s="5" t="s">
        <v>15</v>
      </c>
      <c r="C70" s="6">
        <v>42809</v>
      </c>
      <c r="D70" s="36">
        <f t="shared" si="18"/>
        <v>3</v>
      </c>
      <c r="E70" s="36">
        <f t="shared" si="19"/>
        <v>11</v>
      </c>
      <c r="F70" s="61">
        <v>28.4</v>
      </c>
      <c r="G70" s="60">
        <v>56507.9</v>
      </c>
      <c r="H70" s="36">
        <f t="shared" si="15"/>
        <v>1604824.3599999999</v>
      </c>
      <c r="I70" s="36">
        <v>0</v>
      </c>
      <c r="J70" s="60">
        <v>0</v>
      </c>
      <c r="K70" s="60">
        <v>0</v>
      </c>
      <c r="L70" s="60">
        <v>0</v>
      </c>
      <c r="M70" s="36">
        <f t="shared" si="16"/>
        <v>1604824.3599999999</v>
      </c>
      <c r="N70" s="36">
        <v>0</v>
      </c>
      <c r="O70" s="60">
        <v>0</v>
      </c>
      <c r="P70" s="36">
        <f t="shared" si="17"/>
        <v>1604824.3599999999</v>
      </c>
      <c r="Q70" s="61">
        <v>28.4</v>
      </c>
    </row>
    <row r="71" spans="1:17" x14ac:dyDescent="0.25">
      <c r="A71" s="5" t="s">
        <v>12</v>
      </c>
      <c r="B71" s="5" t="s">
        <v>13</v>
      </c>
      <c r="C71" s="6">
        <v>42810</v>
      </c>
      <c r="D71" s="36">
        <f t="shared" si="18"/>
        <v>3</v>
      </c>
      <c r="E71" s="36">
        <f t="shared" si="19"/>
        <v>11</v>
      </c>
      <c r="F71" s="61">
        <v>29.9</v>
      </c>
      <c r="G71" s="60">
        <v>50000</v>
      </c>
      <c r="H71" s="36">
        <f t="shared" si="15"/>
        <v>1495000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6"/>
        <v>1495000</v>
      </c>
      <c r="N71" s="36">
        <f t="shared" si="11"/>
        <v>29900</v>
      </c>
      <c r="O71" s="60">
        <v>0</v>
      </c>
      <c r="P71" s="36">
        <f t="shared" si="17"/>
        <v>1524900</v>
      </c>
      <c r="Q71" s="61">
        <v>29.9</v>
      </c>
    </row>
    <row r="72" spans="1:17" x14ac:dyDescent="0.25">
      <c r="A72" s="5" t="s">
        <v>33</v>
      </c>
      <c r="B72" s="5" t="s">
        <v>15</v>
      </c>
      <c r="C72" s="6">
        <v>42810</v>
      </c>
      <c r="D72" s="36">
        <f t="shared" si="18"/>
        <v>3</v>
      </c>
      <c r="E72" s="36">
        <f t="shared" si="19"/>
        <v>11</v>
      </c>
      <c r="F72" s="61">
        <v>28.71</v>
      </c>
      <c r="G72" s="60">
        <v>55612.65</v>
      </c>
      <c r="H72" s="36">
        <f t="shared" si="15"/>
        <v>1596639.1815000002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6"/>
        <v>1596639.1815000002</v>
      </c>
      <c r="N72" s="36">
        <v>0</v>
      </c>
      <c r="O72" s="60">
        <v>0</v>
      </c>
      <c r="P72" s="36">
        <f t="shared" si="17"/>
        <v>1596639.1815000002</v>
      </c>
      <c r="Q72" s="61">
        <v>28.71</v>
      </c>
    </row>
    <row r="73" spans="1:17" x14ac:dyDescent="0.25">
      <c r="A73" s="5" t="s">
        <v>67</v>
      </c>
      <c r="B73" s="5" t="s">
        <v>15</v>
      </c>
      <c r="C73" s="6">
        <v>42810</v>
      </c>
      <c r="D73" s="36">
        <f t="shared" si="18"/>
        <v>3</v>
      </c>
      <c r="E73" s="36">
        <f t="shared" si="19"/>
        <v>11</v>
      </c>
      <c r="F73" s="61">
        <v>29.97</v>
      </c>
      <c r="G73" s="60">
        <v>56849.31</v>
      </c>
      <c r="H73" s="36">
        <f t="shared" si="15"/>
        <v>1703773.8206999998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6"/>
        <v>1703773.8206999998</v>
      </c>
      <c r="N73" s="36">
        <v>0</v>
      </c>
      <c r="O73" s="60">
        <v>0</v>
      </c>
      <c r="P73" s="36">
        <f t="shared" si="17"/>
        <v>1703773.8206999998</v>
      </c>
      <c r="Q73" s="61">
        <v>29.97</v>
      </c>
    </row>
    <row r="74" spans="1:17" x14ac:dyDescent="0.25">
      <c r="A74" s="5" t="s">
        <v>171</v>
      </c>
      <c r="B74" s="5" t="s">
        <v>23</v>
      </c>
      <c r="C74" s="6">
        <v>42811</v>
      </c>
      <c r="D74" s="36">
        <f t="shared" si="18"/>
        <v>3</v>
      </c>
      <c r="E74" s="36">
        <f t="shared" si="19"/>
        <v>11</v>
      </c>
      <c r="F74" s="61">
        <v>19.53</v>
      </c>
      <c r="G74" s="60">
        <v>86470</v>
      </c>
      <c r="H74" s="36">
        <f t="shared" si="15"/>
        <v>1688759.1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6"/>
        <v>1688759.1</v>
      </c>
      <c r="N74" s="36">
        <f t="shared" si="11"/>
        <v>33775.182000000001</v>
      </c>
      <c r="O74" s="60">
        <v>0</v>
      </c>
      <c r="P74" s="36">
        <f t="shared" si="17"/>
        <v>1722534.2820000001</v>
      </c>
      <c r="Q74" s="61">
        <v>19.53</v>
      </c>
    </row>
    <row r="75" spans="1:17" x14ac:dyDescent="0.25">
      <c r="A75" s="5" t="s">
        <v>162</v>
      </c>
      <c r="B75" s="5" t="s">
        <v>15</v>
      </c>
      <c r="C75" s="6">
        <v>42811</v>
      </c>
      <c r="D75" s="36">
        <f t="shared" si="18"/>
        <v>3</v>
      </c>
      <c r="E75" s="36">
        <f t="shared" si="19"/>
        <v>11</v>
      </c>
      <c r="F75" s="61">
        <v>28.56</v>
      </c>
      <c r="G75" s="60">
        <v>57150.31</v>
      </c>
      <c r="H75" s="36">
        <f t="shared" si="15"/>
        <v>1632212.8535999998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6"/>
        <v>1632212.8535999998</v>
      </c>
      <c r="N75" s="36">
        <v>0</v>
      </c>
      <c r="O75" s="60">
        <v>0</v>
      </c>
      <c r="P75" s="36">
        <f t="shared" si="17"/>
        <v>1632212.8535999998</v>
      </c>
      <c r="Q75" s="61">
        <v>28.56</v>
      </c>
    </row>
    <row r="76" spans="1:17" x14ac:dyDescent="0.25">
      <c r="A76" s="5" t="s">
        <v>162</v>
      </c>
      <c r="B76" s="5" t="s">
        <v>15</v>
      </c>
      <c r="C76" s="6">
        <v>42811</v>
      </c>
      <c r="D76" s="36">
        <f t="shared" si="18"/>
        <v>3</v>
      </c>
      <c r="E76" s="36">
        <f t="shared" si="19"/>
        <v>11</v>
      </c>
      <c r="F76" s="61">
        <v>28.34</v>
      </c>
      <c r="G76" s="60">
        <v>57100</v>
      </c>
      <c r="H76" s="36">
        <f t="shared" si="15"/>
        <v>1618214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6"/>
        <v>1618214</v>
      </c>
      <c r="N76" s="36">
        <v>0</v>
      </c>
      <c r="O76" s="60">
        <v>0</v>
      </c>
      <c r="P76" s="36">
        <f t="shared" si="17"/>
        <v>1618214</v>
      </c>
      <c r="Q76" s="61">
        <v>28.34</v>
      </c>
    </row>
    <row r="77" spans="1:17" x14ac:dyDescent="0.25">
      <c r="A77" s="5" t="s">
        <v>12</v>
      </c>
      <c r="B77" s="5" t="s">
        <v>13</v>
      </c>
      <c r="C77" s="6">
        <v>42813</v>
      </c>
      <c r="D77" s="36">
        <f t="shared" si="18"/>
        <v>3</v>
      </c>
      <c r="E77" s="36">
        <f t="shared" si="19"/>
        <v>12</v>
      </c>
      <c r="F77" s="61">
        <v>31.05</v>
      </c>
      <c r="G77" s="60">
        <v>50000</v>
      </c>
      <c r="H77" s="36">
        <f t="shared" si="15"/>
        <v>1552500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6"/>
        <v>1552500</v>
      </c>
      <c r="N77" s="36">
        <f t="shared" ref="N77:N79" si="20">M77*2%</f>
        <v>31050</v>
      </c>
      <c r="O77" s="60">
        <v>0</v>
      </c>
      <c r="P77" s="36">
        <f t="shared" si="17"/>
        <v>1583550</v>
      </c>
      <c r="Q77" s="61">
        <v>31.05</v>
      </c>
    </row>
    <row r="78" spans="1:17" x14ac:dyDescent="0.25">
      <c r="A78" s="5" t="s">
        <v>12</v>
      </c>
      <c r="B78" s="5" t="s">
        <v>13</v>
      </c>
      <c r="C78" s="6">
        <v>42814</v>
      </c>
      <c r="D78" s="36">
        <f t="shared" si="18"/>
        <v>3</v>
      </c>
      <c r="E78" s="36">
        <f t="shared" si="19"/>
        <v>12</v>
      </c>
      <c r="F78" s="61">
        <v>28.92</v>
      </c>
      <c r="G78" s="60">
        <v>49881.39</v>
      </c>
      <c r="H78" s="36">
        <f t="shared" si="15"/>
        <v>1442569.7988</v>
      </c>
      <c r="I78" s="36">
        <v>0</v>
      </c>
      <c r="J78" s="60">
        <v>0</v>
      </c>
      <c r="K78" s="60">
        <v>0</v>
      </c>
      <c r="L78" s="60">
        <v>0</v>
      </c>
      <c r="M78" s="36">
        <f t="shared" si="16"/>
        <v>1442569.7988</v>
      </c>
      <c r="N78" s="36">
        <f t="shared" si="20"/>
        <v>28851.395976</v>
      </c>
      <c r="O78" s="60">
        <v>0</v>
      </c>
      <c r="P78" s="36">
        <f t="shared" si="17"/>
        <v>1471421.194776</v>
      </c>
      <c r="Q78" s="61">
        <v>28.92</v>
      </c>
    </row>
    <row r="79" spans="1:17" x14ac:dyDescent="0.25">
      <c r="A79" s="5" t="s">
        <v>12</v>
      </c>
      <c r="B79" s="5" t="s">
        <v>13</v>
      </c>
      <c r="C79" s="6">
        <v>42814</v>
      </c>
      <c r="D79" s="36">
        <f t="shared" si="18"/>
        <v>3</v>
      </c>
      <c r="E79" s="36">
        <f t="shared" si="19"/>
        <v>12</v>
      </c>
      <c r="F79" s="61">
        <v>32.31</v>
      </c>
      <c r="G79" s="60">
        <v>49509.8</v>
      </c>
      <c r="H79" s="36">
        <f t="shared" si="15"/>
        <v>1599661.6380000003</v>
      </c>
      <c r="I79" s="36">
        <v>0</v>
      </c>
      <c r="J79" s="60">
        <v>0</v>
      </c>
      <c r="K79" s="60">
        <v>0</v>
      </c>
      <c r="L79" s="60">
        <v>0</v>
      </c>
      <c r="M79" s="36">
        <f t="shared" si="16"/>
        <v>1599661.6380000003</v>
      </c>
      <c r="N79" s="36">
        <f t="shared" si="20"/>
        <v>31993.232760000006</v>
      </c>
      <c r="O79" s="60">
        <v>0</v>
      </c>
      <c r="P79" s="36">
        <f t="shared" si="17"/>
        <v>1631654.8707600003</v>
      </c>
      <c r="Q79" s="61">
        <v>32.31</v>
      </c>
    </row>
    <row r="80" spans="1:17" x14ac:dyDescent="0.25">
      <c r="A80" s="5" t="s">
        <v>12</v>
      </c>
      <c r="B80" s="5" t="s">
        <v>13</v>
      </c>
      <c r="C80" s="6">
        <v>42815</v>
      </c>
      <c r="D80" s="36">
        <f t="shared" si="18"/>
        <v>3</v>
      </c>
      <c r="E80" s="36">
        <f t="shared" si="19"/>
        <v>12</v>
      </c>
      <c r="F80" s="61">
        <v>29.96</v>
      </c>
      <c r="G80" s="60">
        <v>49509.8</v>
      </c>
      <c r="H80" s="36">
        <f t="shared" si="15"/>
        <v>1483313.6080000002</v>
      </c>
      <c r="I80" s="36">
        <v>0</v>
      </c>
      <c r="J80" s="60">
        <v>0</v>
      </c>
      <c r="K80" s="60">
        <v>0</v>
      </c>
      <c r="L80" s="60">
        <v>0</v>
      </c>
      <c r="M80" s="36">
        <f t="shared" si="16"/>
        <v>1483313.6080000002</v>
      </c>
      <c r="N80" s="36">
        <f t="shared" si="11"/>
        <v>29666.272160000004</v>
      </c>
      <c r="O80" s="60">
        <v>0</v>
      </c>
      <c r="P80" s="36">
        <f t="shared" si="17"/>
        <v>1512979.8801600002</v>
      </c>
      <c r="Q80" s="61">
        <v>29.96</v>
      </c>
    </row>
    <row r="81" spans="1:17" x14ac:dyDescent="0.25">
      <c r="A81" s="5" t="s">
        <v>12</v>
      </c>
      <c r="B81" s="5" t="s">
        <v>13</v>
      </c>
      <c r="C81" s="6">
        <v>42816</v>
      </c>
      <c r="D81" s="36">
        <f t="shared" si="18"/>
        <v>3</v>
      </c>
      <c r="E81" s="36">
        <f t="shared" si="19"/>
        <v>12</v>
      </c>
      <c r="F81" s="61">
        <v>29.92</v>
      </c>
      <c r="G81" s="60">
        <v>49509.8</v>
      </c>
      <c r="H81" s="36">
        <f t="shared" si="15"/>
        <v>1481333.2160000002</v>
      </c>
      <c r="I81" s="36">
        <v>0</v>
      </c>
      <c r="J81" s="60">
        <v>0</v>
      </c>
      <c r="K81" s="60">
        <v>0</v>
      </c>
      <c r="L81" s="60">
        <v>0</v>
      </c>
      <c r="M81" s="36">
        <f t="shared" si="16"/>
        <v>1481333.2160000002</v>
      </c>
      <c r="N81" s="36">
        <f t="shared" si="11"/>
        <v>29626.664320000007</v>
      </c>
      <c r="O81" s="60">
        <v>0</v>
      </c>
      <c r="P81" s="36">
        <f t="shared" si="17"/>
        <v>1510959.8803200002</v>
      </c>
      <c r="Q81" s="61">
        <v>29.92</v>
      </c>
    </row>
    <row r="82" spans="1:17" x14ac:dyDescent="0.25">
      <c r="A82" s="5" t="s">
        <v>12</v>
      </c>
      <c r="B82" s="5" t="s">
        <v>13</v>
      </c>
      <c r="C82" s="6">
        <v>42816</v>
      </c>
      <c r="D82" s="36">
        <f t="shared" si="18"/>
        <v>3</v>
      </c>
      <c r="E82" s="36">
        <f t="shared" si="19"/>
        <v>12</v>
      </c>
      <c r="F82" s="61">
        <v>30.66</v>
      </c>
      <c r="G82" s="60">
        <v>49509.8</v>
      </c>
      <c r="H82" s="36">
        <f t="shared" si="15"/>
        <v>1517970.4680000001</v>
      </c>
      <c r="I82" s="36">
        <v>0</v>
      </c>
      <c r="J82" s="60">
        <v>0</v>
      </c>
      <c r="K82" s="60">
        <v>0</v>
      </c>
      <c r="L82" s="60">
        <v>0</v>
      </c>
      <c r="M82" s="36">
        <f t="shared" si="16"/>
        <v>1517970.4680000001</v>
      </c>
      <c r="N82" s="36">
        <f t="shared" si="11"/>
        <v>30359.409360000001</v>
      </c>
      <c r="O82" s="60">
        <v>0</v>
      </c>
      <c r="P82" s="36">
        <f t="shared" si="17"/>
        <v>1548329.87736</v>
      </c>
      <c r="Q82" s="61">
        <v>30.66</v>
      </c>
    </row>
    <row r="83" spans="1:17" x14ac:dyDescent="0.25">
      <c r="A83" s="5" t="s">
        <v>32</v>
      </c>
      <c r="B83" s="5" t="s">
        <v>18</v>
      </c>
      <c r="C83" s="6">
        <v>42816</v>
      </c>
      <c r="D83" s="36">
        <f t="shared" si="18"/>
        <v>3</v>
      </c>
      <c r="E83" s="36">
        <f t="shared" si="19"/>
        <v>12</v>
      </c>
      <c r="F83" s="61">
        <v>27.39</v>
      </c>
      <c r="G83" s="60">
        <v>56350</v>
      </c>
      <c r="H83" s="36">
        <f t="shared" si="15"/>
        <v>1543426.5</v>
      </c>
      <c r="I83" s="36">
        <v>0</v>
      </c>
      <c r="J83" s="60">
        <v>0</v>
      </c>
      <c r="K83" s="60">
        <v>0</v>
      </c>
      <c r="L83" s="60">
        <v>0</v>
      </c>
      <c r="M83" s="36">
        <f t="shared" si="16"/>
        <v>1543426.5</v>
      </c>
      <c r="N83" s="36">
        <v>0</v>
      </c>
      <c r="O83" s="60">
        <v>0</v>
      </c>
      <c r="P83" s="36">
        <f t="shared" si="17"/>
        <v>1543426.5</v>
      </c>
      <c r="Q83" s="61">
        <v>27.39</v>
      </c>
    </row>
    <row r="84" spans="1:17" x14ac:dyDescent="0.25">
      <c r="A84" s="5" t="s">
        <v>171</v>
      </c>
      <c r="B84" s="5" t="s">
        <v>20</v>
      </c>
      <c r="C84" s="6">
        <v>42817</v>
      </c>
      <c r="D84" s="36">
        <f t="shared" si="18"/>
        <v>3</v>
      </c>
      <c r="E84" s="36">
        <f t="shared" si="19"/>
        <v>12</v>
      </c>
      <c r="F84" s="61">
        <v>19.82</v>
      </c>
      <c r="G84" s="60">
        <v>111250</v>
      </c>
      <c r="H84" s="36">
        <f t="shared" si="15"/>
        <v>2204975</v>
      </c>
      <c r="I84" s="36">
        <v>0</v>
      </c>
      <c r="J84" s="60">
        <v>0</v>
      </c>
      <c r="K84" s="60">
        <v>0</v>
      </c>
      <c r="L84" s="60">
        <v>0</v>
      </c>
      <c r="M84" s="36">
        <f t="shared" si="16"/>
        <v>2204975</v>
      </c>
      <c r="N84" s="36">
        <v>0</v>
      </c>
      <c r="O84" s="60">
        <v>0</v>
      </c>
      <c r="P84" s="36">
        <f t="shared" si="17"/>
        <v>2204975</v>
      </c>
      <c r="Q84" s="61">
        <v>19.82</v>
      </c>
    </row>
    <row r="85" spans="1:17" x14ac:dyDescent="0.25">
      <c r="A85" s="5" t="s">
        <v>24</v>
      </c>
      <c r="B85" s="5" t="s">
        <v>15</v>
      </c>
      <c r="C85" s="6">
        <v>42817</v>
      </c>
      <c r="D85" s="36">
        <f t="shared" si="18"/>
        <v>3</v>
      </c>
      <c r="E85" s="36">
        <f t="shared" si="19"/>
        <v>12</v>
      </c>
      <c r="F85" s="61">
        <v>27.73</v>
      </c>
      <c r="G85" s="60">
        <v>57397.41</v>
      </c>
      <c r="H85" s="36">
        <f t="shared" si="15"/>
        <v>1591630.1793000002</v>
      </c>
      <c r="I85" s="36">
        <v>0</v>
      </c>
      <c r="J85" s="60">
        <v>0</v>
      </c>
      <c r="K85" s="60">
        <v>0</v>
      </c>
      <c r="L85" s="60">
        <v>0</v>
      </c>
      <c r="M85" s="36">
        <f t="shared" si="16"/>
        <v>1591630.1793000002</v>
      </c>
      <c r="N85" s="36">
        <v>0</v>
      </c>
      <c r="O85" s="60">
        <v>0</v>
      </c>
      <c r="P85" s="36">
        <f t="shared" si="17"/>
        <v>1591630.1793000002</v>
      </c>
      <c r="Q85" s="61">
        <v>27.73</v>
      </c>
    </row>
    <row r="86" spans="1:17" x14ac:dyDescent="0.25">
      <c r="A86" s="5" t="s">
        <v>24</v>
      </c>
      <c r="B86" s="5" t="s">
        <v>15</v>
      </c>
      <c r="C86" s="6">
        <v>42817</v>
      </c>
      <c r="D86" s="36">
        <f t="shared" si="18"/>
        <v>3</v>
      </c>
      <c r="E86" s="36">
        <f t="shared" si="19"/>
        <v>12</v>
      </c>
      <c r="F86" s="61">
        <v>27.91</v>
      </c>
      <c r="G86" s="60">
        <v>57100</v>
      </c>
      <c r="H86" s="36">
        <f t="shared" si="15"/>
        <v>1593661</v>
      </c>
      <c r="I86" s="36">
        <v>0</v>
      </c>
      <c r="J86" s="60">
        <v>0</v>
      </c>
      <c r="K86" s="60">
        <v>0</v>
      </c>
      <c r="L86" s="60">
        <v>0</v>
      </c>
      <c r="M86" s="36">
        <f t="shared" si="16"/>
        <v>1593661</v>
      </c>
      <c r="N86" s="36">
        <v>0</v>
      </c>
      <c r="O86" s="60">
        <v>0</v>
      </c>
      <c r="P86" s="36">
        <f t="shared" si="17"/>
        <v>1593661</v>
      </c>
      <c r="Q86" s="61">
        <v>27.91</v>
      </c>
    </row>
    <row r="87" spans="1:17" x14ac:dyDescent="0.25">
      <c r="A87" s="5" t="s">
        <v>12</v>
      </c>
      <c r="B87" s="5" t="s">
        <v>13</v>
      </c>
      <c r="C87" s="6">
        <v>42817</v>
      </c>
      <c r="D87" s="36">
        <f t="shared" si="18"/>
        <v>3</v>
      </c>
      <c r="E87" s="36">
        <f t="shared" si="19"/>
        <v>12</v>
      </c>
      <c r="F87" s="61">
        <v>29.46</v>
      </c>
      <c r="G87" s="60">
        <v>49509.8</v>
      </c>
      <c r="H87" s="36">
        <f t="shared" si="15"/>
        <v>1458558.7080000001</v>
      </c>
      <c r="I87" s="36">
        <v>0</v>
      </c>
      <c r="J87" s="60">
        <v>0</v>
      </c>
      <c r="K87" s="60">
        <v>0</v>
      </c>
      <c r="L87" s="60">
        <v>0</v>
      </c>
      <c r="M87" s="36">
        <f t="shared" si="16"/>
        <v>1458558.7080000001</v>
      </c>
      <c r="N87" s="36">
        <f t="shared" si="11"/>
        <v>29171.174160000002</v>
      </c>
      <c r="O87" s="60">
        <v>0</v>
      </c>
      <c r="P87" s="36">
        <f t="shared" si="17"/>
        <v>1487729.88216</v>
      </c>
      <c r="Q87" s="61">
        <v>29.46</v>
      </c>
    </row>
    <row r="88" spans="1:17" x14ac:dyDescent="0.25">
      <c r="A88" s="5" t="s">
        <v>21</v>
      </c>
      <c r="B88" s="5" t="s">
        <v>15</v>
      </c>
      <c r="C88" s="6">
        <v>42817</v>
      </c>
      <c r="D88" s="36">
        <f t="shared" si="18"/>
        <v>3</v>
      </c>
      <c r="E88" s="36">
        <f t="shared" si="19"/>
        <v>12</v>
      </c>
      <c r="F88" s="61">
        <v>32.799999999999997</v>
      </c>
      <c r="G88" s="60">
        <v>57100</v>
      </c>
      <c r="H88" s="36">
        <f t="shared" si="15"/>
        <v>1872879.9999999998</v>
      </c>
      <c r="I88" s="36">
        <v>0</v>
      </c>
      <c r="J88" s="60">
        <v>0</v>
      </c>
      <c r="K88" s="60">
        <v>0</v>
      </c>
      <c r="L88" s="60">
        <v>0</v>
      </c>
      <c r="M88" s="36">
        <f t="shared" si="16"/>
        <v>1872879.9999999998</v>
      </c>
      <c r="N88" s="36">
        <v>0</v>
      </c>
      <c r="O88" s="60">
        <v>0</v>
      </c>
      <c r="P88" s="36">
        <f t="shared" si="17"/>
        <v>1872879.9999999998</v>
      </c>
      <c r="Q88" s="61">
        <v>32.799999999999997</v>
      </c>
    </row>
    <row r="89" spans="1:17" x14ac:dyDescent="0.25">
      <c r="A89" s="5" t="s">
        <v>172</v>
      </c>
      <c r="B89" s="5" t="s">
        <v>20</v>
      </c>
      <c r="C89" s="6">
        <v>42818</v>
      </c>
      <c r="D89" s="36">
        <f t="shared" si="18"/>
        <v>3</v>
      </c>
      <c r="E89" s="36">
        <f t="shared" si="19"/>
        <v>12</v>
      </c>
      <c r="F89" s="61">
        <v>20.84</v>
      </c>
      <c r="G89" s="60">
        <v>108823</v>
      </c>
      <c r="H89" s="36">
        <f t="shared" si="15"/>
        <v>2267871.3199999998</v>
      </c>
      <c r="I89" s="36">
        <v>0</v>
      </c>
      <c r="J89" s="60">
        <v>0</v>
      </c>
      <c r="K89" s="60">
        <v>0</v>
      </c>
      <c r="L89" s="60">
        <v>0</v>
      </c>
      <c r="M89" s="36">
        <f t="shared" si="16"/>
        <v>2267871.3199999998</v>
      </c>
      <c r="N89" s="36">
        <f t="shared" si="11"/>
        <v>45357.426399999997</v>
      </c>
      <c r="O89" s="60">
        <v>0</v>
      </c>
      <c r="P89" s="36">
        <f t="shared" si="17"/>
        <v>2313228.7463999996</v>
      </c>
      <c r="Q89" s="61">
        <v>20.84</v>
      </c>
    </row>
    <row r="90" spans="1:17" x14ac:dyDescent="0.25">
      <c r="A90" s="5" t="s">
        <v>24</v>
      </c>
      <c r="B90" s="5" t="s">
        <v>15</v>
      </c>
      <c r="C90" s="6">
        <v>42818</v>
      </c>
      <c r="D90" s="36">
        <f t="shared" si="18"/>
        <v>3</v>
      </c>
      <c r="E90" s="36">
        <f t="shared" si="19"/>
        <v>12</v>
      </c>
      <c r="F90" s="61">
        <v>24.51</v>
      </c>
      <c r="G90" s="60">
        <v>56300</v>
      </c>
      <c r="H90" s="36">
        <f t="shared" si="15"/>
        <v>1379913</v>
      </c>
      <c r="I90" s="36">
        <v>0</v>
      </c>
      <c r="J90" s="60">
        <v>0</v>
      </c>
      <c r="K90" s="60">
        <v>0</v>
      </c>
      <c r="L90" s="60">
        <v>0</v>
      </c>
      <c r="M90" s="36">
        <f t="shared" si="16"/>
        <v>1379913</v>
      </c>
      <c r="N90" s="36">
        <v>0</v>
      </c>
      <c r="O90" s="60">
        <v>0</v>
      </c>
      <c r="P90" s="36">
        <f t="shared" si="17"/>
        <v>1379913</v>
      </c>
      <c r="Q90" s="61">
        <v>24.51</v>
      </c>
    </row>
    <row r="91" spans="1:17" x14ac:dyDescent="0.25">
      <c r="A91" s="5" t="s">
        <v>24</v>
      </c>
      <c r="B91" s="5" t="s">
        <v>15</v>
      </c>
      <c r="C91" s="6">
        <v>42818</v>
      </c>
      <c r="D91" s="36">
        <f t="shared" si="18"/>
        <v>3</v>
      </c>
      <c r="E91" s="36">
        <f t="shared" si="19"/>
        <v>12</v>
      </c>
      <c r="F91" s="61">
        <v>24.43</v>
      </c>
      <c r="G91" s="60">
        <v>56300</v>
      </c>
      <c r="H91" s="36">
        <f t="shared" si="15"/>
        <v>1375409</v>
      </c>
      <c r="I91" s="36">
        <v>0</v>
      </c>
      <c r="J91" s="60">
        <v>0</v>
      </c>
      <c r="K91" s="60">
        <v>0</v>
      </c>
      <c r="L91" s="60">
        <v>0</v>
      </c>
      <c r="M91" s="36">
        <f t="shared" si="16"/>
        <v>1375409</v>
      </c>
      <c r="N91" s="36">
        <v>0</v>
      </c>
      <c r="O91" s="60">
        <v>0</v>
      </c>
      <c r="P91" s="36">
        <f t="shared" si="17"/>
        <v>1375409</v>
      </c>
      <c r="Q91" s="61">
        <v>24.43</v>
      </c>
    </row>
    <row r="92" spans="1:17" x14ac:dyDescent="0.25">
      <c r="A92" s="5" t="s">
        <v>24</v>
      </c>
      <c r="B92" s="5" t="s">
        <v>15</v>
      </c>
      <c r="C92" s="6">
        <v>42818</v>
      </c>
      <c r="D92" s="36">
        <f t="shared" si="18"/>
        <v>3</v>
      </c>
      <c r="E92" s="36">
        <f t="shared" si="19"/>
        <v>12</v>
      </c>
      <c r="F92" s="61">
        <v>19.77</v>
      </c>
      <c r="G92" s="60">
        <v>56300</v>
      </c>
      <c r="H92" s="36">
        <f t="shared" si="15"/>
        <v>1113051</v>
      </c>
      <c r="I92" s="36">
        <v>0</v>
      </c>
      <c r="J92" s="60">
        <v>0</v>
      </c>
      <c r="K92" s="60">
        <v>0</v>
      </c>
      <c r="L92" s="60">
        <v>0</v>
      </c>
      <c r="M92" s="36">
        <f t="shared" si="16"/>
        <v>1113051</v>
      </c>
      <c r="N92" s="36">
        <v>0</v>
      </c>
      <c r="O92" s="60">
        <v>0</v>
      </c>
      <c r="P92" s="36">
        <f t="shared" si="17"/>
        <v>1113051</v>
      </c>
      <c r="Q92" s="61">
        <v>19.77</v>
      </c>
    </row>
    <row r="93" spans="1:17" x14ac:dyDescent="0.25">
      <c r="A93" s="5" t="s">
        <v>24</v>
      </c>
      <c r="B93" s="5" t="s">
        <v>15</v>
      </c>
      <c r="C93" s="6">
        <v>42818</v>
      </c>
      <c r="D93" s="36">
        <f t="shared" si="18"/>
        <v>3</v>
      </c>
      <c r="E93" s="36">
        <f t="shared" si="19"/>
        <v>12</v>
      </c>
      <c r="F93" s="61">
        <v>19.47</v>
      </c>
      <c r="G93" s="60">
        <v>56428.29</v>
      </c>
      <c r="H93" s="36">
        <f t="shared" si="15"/>
        <v>1098658.8063000001</v>
      </c>
      <c r="I93" s="36">
        <v>0</v>
      </c>
      <c r="J93" s="60">
        <v>0</v>
      </c>
      <c r="K93" s="60">
        <v>0</v>
      </c>
      <c r="L93" s="60">
        <v>0</v>
      </c>
      <c r="M93" s="36">
        <f t="shared" si="16"/>
        <v>1098658.8063000001</v>
      </c>
      <c r="N93" s="36">
        <v>0</v>
      </c>
      <c r="O93" s="60">
        <v>0</v>
      </c>
      <c r="P93" s="36">
        <f t="shared" si="17"/>
        <v>1098658.8063000001</v>
      </c>
      <c r="Q93" s="61">
        <v>19.47</v>
      </c>
    </row>
    <row r="94" spans="1:17" x14ac:dyDescent="0.25">
      <c r="A94" s="5" t="s">
        <v>21</v>
      </c>
      <c r="B94" s="5" t="s">
        <v>15</v>
      </c>
      <c r="C94" s="6">
        <v>42818</v>
      </c>
      <c r="D94" s="36">
        <f t="shared" si="18"/>
        <v>3</v>
      </c>
      <c r="E94" s="36">
        <f t="shared" si="19"/>
        <v>12</v>
      </c>
      <c r="F94" s="61">
        <v>20.62</v>
      </c>
      <c r="G94" s="60">
        <v>57100</v>
      </c>
      <c r="H94" s="36">
        <f t="shared" si="15"/>
        <v>1177402</v>
      </c>
      <c r="I94" s="36">
        <v>0</v>
      </c>
      <c r="J94" s="60">
        <v>0</v>
      </c>
      <c r="K94" s="60">
        <v>0</v>
      </c>
      <c r="L94" s="60">
        <v>0</v>
      </c>
      <c r="M94" s="36">
        <f t="shared" si="16"/>
        <v>1177402</v>
      </c>
      <c r="N94" s="36">
        <v>0</v>
      </c>
      <c r="O94" s="60">
        <v>0</v>
      </c>
      <c r="P94" s="36">
        <f t="shared" si="17"/>
        <v>1177402</v>
      </c>
      <c r="Q94" s="61">
        <v>20.62</v>
      </c>
    </row>
    <row r="95" spans="1:17" x14ac:dyDescent="0.25">
      <c r="A95" s="5" t="s">
        <v>21</v>
      </c>
      <c r="B95" s="5" t="s">
        <v>15</v>
      </c>
      <c r="C95" s="6">
        <v>42819</v>
      </c>
      <c r="D95" s="36">
        <f t="shared" si="18"/>
        <v>3</v>
      </c>
      <c r="E95" s="36">
        <f t="shared" si="19"/>
        <v>12</v>
      </c>
      <c r="F95" s="61">
        <v>27.96</v>
      </c>
      <c r="G95" s="60">
        <v>56365.9</v>
      </c>
      <c r="H95" s="36">
        <f t="shared" si="15"/>
        <v>1575990.564</v>
      </c>
      <c r="I95" s="36">
        <v>0</v>
      </c>
      <c r="J95" s="60">
        <v>0</v>
      </c>
      <c r="K95" s="60">
        <v>0</v>
      </c>
      <c r="L95" s="60">
        <v>0</v>
      </c>
      <c r="M95" s="36">
        <f t="shared" si="16"/>
        <v>1575990.564</v>
      </c>
      <c r="N95" s="36">
        <v>0</v>
      </c>
      <c r="O95" s="60">
        <v>0</v>
      </c>
      <c r="P95" s="36">
        <f t="shared" si="17"/>
        <v>1575990.564</v>
      </c>
      <c r="Q95" s="61">
        <v>27.96</v>
      </c>
    </row>
    <row r="96" spans="1:17" x14ac:dyDescent="0.25">
      <c r="A96" s="5" t="s">
        <v>24</v>
      </c>
      <c r="B96" s="5" t="s">
        <v>15</v>
      </c>
      <c r="C96" s="6">
        <v>42819</v>
      </c>
      <c r="D96" s="36">
        <f t="shared" si="18"/>
        <v>3</v>
      </c>
      <c r="E96" s="36">
        <f t="shared" si="19"/>
        <v>12</v>
      </c>
      <c r="F96" s="61">
        <v>28.5</v>
      </c>
      <c r="G96" s="60">
        <v>57100</v>
      </c>
      <c r="H96" s="36">
        <f t="shared" si="15"/>
        <v>1627350</v>
      </c>
      <c r="I96" s="36">
        <v>0</v>
      </c>
      <c r="J96" s="60">
        <v>0</v>
      </c>
      <c r="K96" s="60">
        <v>0</v>
      </c>
      <c r="L96" s="60">
        <v>0</v>
      </c>
      <c r="M96" s="36">
        <f t="shared" si="16"/>
        <v>1627350</v>
      </c>
      <c r="N96" s="36">
        <v>0</v>
      </c>
      <c r="O96" s="60">
        <v>0</v>
      </c>
      <c r="P96" s="36">
        <f t="shared" si="17"/>
        <v>1627350</v>
      </c>
      <c r="Q96" s="61">
        <v>28.5</v>
      </c>
    </row>
    <row r="97" spans="1:17" x14ac:dyDescent="0.25">
      <c r="A97" s="5" t="s">
        <v>67</v>
      </c>
      <c r="B97" s="5" t="s">
        <v>15</v>
      </c>
      <c r="C97" s="6">
        <v>42819</v>
      </c>
      <c r="D97" s="36">
        <f t="shared" si="18"/>
        <v>3</v>
      </c>
      <c r="E97" s="36">
        <f t="shared" si="19"/>
        <v>12</v>
      </c>
      <c r="F97" s="61">
        <v>34.04</v>
      </c>
      <c r="G97" s="60">
        <v>55190.05</v>
      </c>
      <c r="H97" s="36">
        <f t="shared" si="15"/>
        <v>1878669.3020000001</v>
      </c>
      <c r="I97" s="36">
        <v>0</v>
      </c>
      <c r="J97" s="60">
        <v>0</v>
      </c>
      <c r="K97" s="60">
        <v>0</v>
      </c>
      <c r="L97" s="60">
        <v>0</v>
      </c>
      <c r="M97" s="36">
        <f t="shared" si="16"/>
        <v>1878669.3020000001</v>
      </c>
      <c r="N97" s="36">
        <v>0</v>
      </c>
      <c r="O97" s="60">
        <v>0</v>
      </c>
      <c r="P97" s="36">
        <f t="shared" si="17"/>
        <v>1878669.3020000001</v>
      </c>
      <c r="Q97" s="61">
        <v>34.04</v>
      </c>
    </row>
    <row r="98" spans="1:17" x14ac:dyDescent="0.25">
      <c r="A98" s="5" t="s">
        <v>162</v>
      </c>
      <c r="B98" s="5" t="s">
        <v>15</v>
      </c>
      <c r="C98" s="6">
        <v>42819</v>
      </c>
      <c r="D98" s="36">
        <f t="shared" si="18"/>
        <v>3</v>
      </c>
      <c r="E98" s="36">
        <f t="shared" si="19"/>
        <v>12</v>
      </c>
      <c r="F98" s="61">
        <v>34.700000000000003</v>
      </c>
      <c r="G98" s="60">
        <v>56300</v>
      </c>
      <c r="H98" s="36">
        <f t="shared" si="15"/>
        <v>1953610.0000000002</v>
      </c>
      <c r="I98" s="36">
        <v>0</v>
      </c>
      <c r="J98" s="60">
        <v>0</v>
      </c>
      <c r="K98" s="60">
        <v>0</v>
      </c>
      <c r="L98" s="60">
        <v>0</v>
      </c>
      <c r="M98" s="36">
        <f t="shared" si="16"/>
        <v>1953610.0000000002</v>
      </c>
      <c r="N98" s="36">
        <v>0</v>
      </c>
      <c r="O98" s="60">
        <v>0</v>
      </c>
      <c r="P98" s="36">
        <f t="shared" si="17"/>
        <v>1953610.0000000002</v>
      </c>
      <c r="Q98" s="61">
        <v>34.700000000000003</v>
      </c>
    </row>
    <row r="99" spans="1:17" x14ac:dyDescent="0.25">
      <c r="A99" s="5" t="s">
        <v>162</v>
      </c>
      <c r="B99" s="5" t="s">
        <v>15</v>
      </c>
      <c r="C99" s="6">
        <v>42819</v>
      </c>
      <c r="D99" s="36">
        <f t="shared" si="18"/>
        <v>3</v>
      </c>
      <c r="E99" s="36">
        <f t="shared" si="19"/>
        <v>12</v>
      </c>
      <c r="F99" s="61">
        <v>34.93</v>
      </c>
      <c r="G99" s="60">
        <v>56061.04</v>
      </c>
      <c r="H99" s="36">
        <f t="shared" si="15"/>
        <v>1958212.1272</v>
      </c>
      <c r="I99" s="36">
        <v>0</v>
      </c>
      <c r="J99" s="60">
        <v>0</v>
      </c>
      <c r="K99" s="60">
        <v>0</v>
      </c>
      <c r="L99" s="60">
        <v>0</v>
      </c>
      <c r="M99" s="36">
        <f t="shared" si="16"/>
        <v>1958212.1272</v>
      </c>
      <c r="N99" s="36">
        <v>0</v>
      </c>
      <c r="O99" s="60">
        <v>0</v>
      </c>
      <c r="P99" s="36">
        <f t="shared" si="17"/>
        <v>1958212.1272</v>
      </c>
      <c r="Q99" s="61">
        <v>34.93</v>
      </c>
    </row>
    <row r="100" spans="1:17" x14ac:dyDescent="0.25">
      <c r="A100" s="5" t="s">
        <v>24</v>
      </c>
      <c r="B100" s="5" t="s">
        <v>15</v>
      </c>
      <c r="C100" s="6">
        <v>42819</v>
      </c>
      <c r="D100" s="36">
        <f t="shared" si="18"/>
        <v>3</v>
      </c>
      <c r="E100" s="36">
        <f t="shared" si="19"/>
        <v>12</v>
      </c>
      <c r="F100" s="61">
        <v>20</v>
      </c>
      <c r="G100" s="60">
        <v>56136.56</v>
      </c>
      <c r="H100" s="36">
        <f t="shared" si="15"/>
        <v>1122731.2</v>
      </c>
      <c r="I100" s="36">
        <v>0</v>
      </c>
      <c r="J100" s="60">
        <v>0</v>
      </c>
      <c r="K100" s="60">
        <v>0</v>
      </c>
      <c r="L100" s="60">
        <v>0</v>
      </c>
      <c r="M100" s="36">
        <f t="shared" si="16"/>
        <v>1122731.2</v>
      </c>
      <c r="N100" s="36">
        <v>0</v>
      </c>
      <c r="O100" s="60">
        <v>0</v>
      </c>
      <c r="P100" s="36">
        <f t="shared" si="17"/>
        <v>1122731.2</v>
      </c>
      <c r="Q100" s="61">
        <v>20</v>
      </c>
    </row>
    <row r="101" spans="1:17" x14ac:dyDescent="0.25">
      <c r="A101" s="5" t="s">
        <v>24</v>
      </c>
      <c r="B101" s="5" t="s">
        <v>15</v>
      </c>
      <c r="C101" s="6">
        <v>42819</v>
      </c>
      <c r="D101" s="36">
        <f t="shared" si="18"/>
        <v>3</v>
      </c>
      <c r="E101" s="36">
        <f t="shared" si="19"/>
        <v>12</v>
      </c>
      <c r="F101" s="61">
        <v>20.350000000000001</v>
      </c>
      <c r="G101" s="60">
        <v>56300</v>
      </c>
      <c r="H101" s="36">
        <f t="shared" si="15"/>
        <v>1145705</v>
      </c>
      <c r="I101" s="36">
        <v>0</v>
      </c>
      <c r="J101" s="60">
        <v>0</v>
      </c>
      <c r="K101" s="60">
        <v>0</v>
      </c>
      <c r="L101" s="60">
        <v>0</v>
      </c>
      <c r="M101" s="36">
        <f t="shared" si="16"/>
        <v>1145705</v>
      </c>
      <c r="N101" s="36">
        <v>0</v>
      </c>
      <c r="O101" s="60">
        <v>0</v>
      </c>
      <c r="P101" s="36">
        <f t="shared" si="17"/>
        <v>1145705</v>
      </c>
      <c r="Q101" s="61">
        <v>20.350000000000001</v>
      </c>
    </row>
    <row r="102" spans="1:17" x14ac:dyDescent="0.25">
      <c r="A102" s="5" t="s">
        <v>21</v>
      </c>
      <c r="B102" s="5" t="s">
        <v>15</v>
      </c>
      <c r="C102" s="6">
        <v>42822</v>
      </c>
      <c r="D102" s="36">
        <f t="shared" si="18"/>
        <v>3</v>
      </c>
      <c r="E102" s="36">
        <f t="shared" si="19"/>
        <v>13</v>
      </c>
      <c r="F102" s="61">
        <v>27.29</v>
      </c>
      <c r="G102" s="60">
        <v>56300</v>
      </c>
      <c r="H102" s="36">
        <f t="shared" si="15"/>
        <v>1536427</v>
      </c>
      <c r="I102" s="36">
        <v>0</v>
      </c>
      <c r="J102" s="60">
        <v>0</v>
      </c>
      <c r="K102" s="60">
        <v>0</v>
      </c>
      <c r="L102" s="60">
        <v>0</v>
      </c>
      <c r="M102" s="36">
        <f t="shared" si="16"/>
        <v>1536427</v>
      </c>
      <c r="N102" s="36">
        <v>0</v>
      </c>
      <c r="O102" s="60">
        <v>0</v>
      </c>
      <c r="P102" s="36">
        <f t="shared" si="17"/>
        <v>1536427</v>
      </c>
      <c r="Q102" s="61">
        <v>27.29</v>
      </c>
    </row>
    <row r="103" spans="1:17" x14ac:dyDescent="0.25">
      <c r="A103" s="5" t="s">
        <v>16</v>
      </c>
      <c r="B103" s="5" t="s">
        <v>15</v>
      </c>
      <c r="C103" s="6">
        <v>42822</v>
      </c>
      <c r="D103" s="36">
        <f t="shared" si="18"/>
        <v>3</v>
      </c>
      <c r="E103" s="36">
        <f t="shared" si="19"/>
        <v>13</v>
      </c>
      <c r="F103" s="61">
        <v>26.92</v>
      </c>
      <c r="G103" s="60">
        <v>58400</v>
      </c>
      <c r="H103" s="36">
        <f t="shared" si="15"/>
        <v>1572128</v>
      </c>
      <c r="I103" s="36">
        <v>0</v>
      </c>
      <c r="J103" s="60">
        <v>0</v>
      </c>
      <c r="K103" s="60">
        <v>0</v>
      </c>
      <c r="L103" s="60">
        <v>0</v>
      </c>
      <c r="M103" s="36">
        <f t="shared" si="16"/>
        <v>1572128</v>
      </c>
      <c r="N103" s="36">
        <v>0</v>
      </c>
      <c r="O103" s="60">
        <v>0</v>
      </c>
      <c r="P103" s="36">
        <f t="shared" si="17"/>
        <v>1572128</v>
      </c>
      <c r="Q103" s="61">
        <v>26.92</v>
      </c>
    </row>
    <row r="104" spans="1:17" x14ac:dyDescent="0.25">
      <c r="A104" s="5" t="s">
        <v>16</v>
      </c>
      <c r="B104" s="5" t="s">
        <v>15</v>
      </c>
      <c r="C104" s="6">
        <v>42822</v>
      </c>
      <c r="D104" s="36">
        <f t="shared" si="18"/>
        <v>3</v>
      </c>
      <c r="E104" s="36">
        <f t="shared" si="19"/>
        <v>13</v>
      </c>
      <c r="F104" s="61">
        <v>27.82</v>
      </c>
      <c r="G104" s="60">
        <v>58400</v>
      </c>
      <c r="H104" s="36">
        <f t="shared" si="15"/>
        <v>1624688</v>
      </c>
      <c r="I104" s="36">
        <v>0</v>
      </c>
      <c r="J104" s="60">
        <v>0</v>
      </c>
      <c r="K104" s="60">
        <v>0</v>
      </c>
      <c r="L104" s="60">
        <v>0</v>
      </c>
      <c r="M104" s="36">
        <f t="shared" si="16"/>
        <v>1624688</v>
      </c>
      <c r="N104" s="36">
        <v>0</v>
      </c>
      <c r="O104" s="60">
        <v>0</v>
      </c>
      <c r="P104" s="36">
        <f t="shared" si="17"/>
        <v>1624688</v>
      </c>
      <c r="Q104" s="61">
        <v>27.82</v>
      </c>
    </row>
    <row r="105" spans="1:17" x14ac:dyDescent="0.25">
      <c r="A105" s="5" t="s">
        <v>68</v>
      </c>
      <c r="B105" s="5" t="s">
        <v>18</v>
      </c>
      <c r="C105" s="6">
        <v>42822</v>
      </c>
      <c r="D105" s="36">
        <f t="shared" si="18"/>
        <v>3</v>
      </c>
      <c r="E105" s="36">
        <f t="shared" si="19"/>
        <v>13</v>
      </c>
      <c r="F105" s="61">
        <v>28.73</v>
      </c>
      <c r="G105" s="60">
        <v>56350</v>
      </c>
      <c r="H105" s="36">
        <f t="shared" si="15"/>
        <v>1618935.5</v>
      </c>
      <c r="I105" s="36">
        <v>0</v>
      </c>
      <c r="J105" s="60">
        <v>0</v>
      </c>
      <c r="K105" s="60">
        <v>0</v>
      </c>
      <c r="L105" s="60">
        <v>0</v>
      </c>
      <c r="M105" s="36">
        <f t="shared" si="16"/>
        <v>1618935.5</v>
      </c>
      <c r="N105" s="36">
        <v>0</v>
      </c>
      <c r="O105" s="60">
        <v>0</v>
      </c>
      <c r="P105" s="36">
        <f t="shared" si="17"/>
        <v>1618935.5</v>
      </c>
      <c r="Q105" s="61">
        <v>28.73</v>
      </c>
    </row>
    <row r="106" spans="1:17" x14ac:dyDescent="0.25">
      <c r="A106" s="5" t="s">
        <v>172</v>
      </c>
      <c r="B106" s="5" t="s">
        <v>20</v>
      </c>
      <c r="C106" s="6">
        <v>42823</v>
      </c>
      <c r="D106" s="36">
        <f t="shared" si="18"/>
        <v>3</v>
      </c>
      <c r="E106" s="36">
        <f t="shared" si="19"/>
        <v>13</v>
      </c>
      <c r="F106" s="61">
        <v>20.12</v>
      </c>
      <c r="G106" s="60">
        <v>108823</v>
      </c>
      <c r="H106" s="36">
        <f t="shared" si="15"/>
        <v>2189518.7600000002</v>
      </c>
      <c r="I106" s="36">
        <v>0</v>
      </c>
      <c r="J106" s="60">
        <v>0</v>
      </c>
      <c r="K106" s="60">
        <v>0</v>
      </c>
      <c r="L106" s="60">
        <v>0</v>
      </c>
      <c r="M106" s="36">
        <f t="shared" si="16"/>
        <v>2189518.7600000002</v>
      </c>
      <c r="N106" s="36">
        <f t="shared" ref="N106" si="21">M106*2%</f>
        <v>43790.375200000002</v>
      </c>
      <c r="O106" s="60">
        <v>0</v>
      </c>
      <c r="P106" s="36">
        <f t="shared" si="17"/>
        <v>2233309.1352000004</v>
      </c>
      <c r="Q106" s="61">
        <v>20.12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1"/>
  <sheetViews>
    <sheetView topLeftCell="C54" workbookViewId="0">
      <selection activeCell="K80" sqref="K80"/>
    </sheetView>
  </sheetViews>
  <sheetFormatPr defaultRowHeight="12.75" x14ac:dyDescent="0.2"/>
  <cols>
    <col min="1" max="1" width="13" style="14" customWidth="1"/>
    <col min="2" max="2" width="15.140625" style="14" customWidth="1"/>
    <col min="3" max="3" width="17.7109375" style="14" customWidth="1"/>
    <col min="4" max="4" width="17.28515625" style="14" customWidth="1"/>
    <col min="5" max="5" width="19.7109375" style="14" customWidth="1"/>
    <col min="6" max="6" width="14.28515625" style="14" customWidth="1"/>
    <col min="7" max="7" width="16.42578125" style="14" customWidth="1"/>
    <col min="8" max="8" width="18" style="14" customWidth="1"/>
    <col min="9" max="9" width="18.28515625" style="14" customWidth="1"/>
    <col min="10" max="10" width="16.42578125" style="14" bestFit="1" customWidth="1"/>
    <col min="11" max="16384" width="9.140625" style="14"/>
  </cols>
  <sheetData>
    <row r="3" spans="1:10" x14ac:dyDescent="0.2">
      <c r="A3" s="17" t="s">
        <v>38</v>
      </c>
      <c r="B3" s="14" t="s">
        <v>56</v>
      </c>
      <c r="C3" s="14" t="s">
        <v>57</v>
      </c>
      <c r="D3" s="14" t="s">
        <v>60</v>
      </c>
      <c r="E3" s="14" t="s">
        <v>63</v>
      </c>
      <c r="F3" s="14" t="s">
        <v>58</v>
      </c>
      <c r="G3" s="14" t="s">
        <v>59</v>
      </c>
      <c r="H3" s="14" t="s">
        <v>61</v>
      </c>
      <c r="I3" s="14" t="s">
        <v>62</v>
      </c>
      <c r="J3" s="14" t="s">
        <v>72</v>
      </c>
    </row>
    <row r="4" spans="1:10" x14ac:dyDescent="0.2">
      <c r="A4" s="15">
        <v>1</v>
      </c>
      <c r="B4" s="34">
        <v>567.5</v>
      </c>
      <c r="C4" s="34">
        <v>567.5</v>
      </c>
      <c r="D4" s="34">
        <v>658.82187499999998</v>
      </c>
      <c r="E4" s="34">
        <v>568.45624999999995</v>
      </c>
      <c r="F4" s="34">
        <v>642.25</v>
      </c>
      <c r="G4" s="34">
        <v>520</v>
      </c>
      <c r="H4" s="34">
        <v>120707.01490204636</v>
      </c>
      <c r="I4" s="34">
        <v>133519.06700000001</v>
      </c>
      <c r="J4" s="34">
        <v>111906.99459499998</v>
      </c>
    </row>
    <row r="5" spans="1:10" x14ac:dyDescent="0.2">
      <c r="A5" s="15">
        <v>2</v>
      </c>
      <c r="B5" s="34">
        <v>568</v>
      </c>
      <c r="C5" s="34">
        <v>568</v>
      </c>
      <c r="D5" s="34">
        <v>658.53499999999997</v>
      </c>
      <c r="E5" s="34">
        <v>565.58749999999998</v>
      </c>
      <c r="F5" s="34">
        <v>652</v>
      </c>
      <c r="G5" s="34">
        <v>523</v>
      </c>
      <c r="H5" s="34">
        <v>123317.70005737594</v>
      </c>
      <c r="I5" s="34">
        <v>137401.60579999996</v>
      </c>
      <c r="J5" s="34">
        <v>115905.50929699998</v>
      </c>
    </row>
    <row r="6" spans="1:10" x14ac:dyDescent="0.2">
      <c r="A6" s="15">
        <v>3</v>
      </c>
      <c r="B6" s="34">
        <v>576.4</v>
      </c>
      <c r="C6" s="34">
        <v>570</v>
      </c>
      <c r="D6" s="34">
        <v>675.74749999999995</v>
      </c>
      <c r="E6" s="34">
        <v>569.03</v>
      </c>
      <c r="F6" s="34">
        <v>654</v>
      </c>
      <c r="G6" s="34">
        <v>527</v>
      </c>
      <c r="H6" s="34">
        <v>131901.09256079182</v>
      </c>
      <c r="I6" s="34">
        <v>144616.66609999997</v>
      </c>
      <c r="J6" s="34">
        <v>123442.99206799999</v>
      </c>
    </row>
    <row r="7" spans="1:10" x14ac:dyDescent="0.2">
      <c r="A7" s="15">
        <v>4</v>
      </c>
      <c r="B7" s="34">
        <v>592.5</v>
      </c>
      <c r="C7" s="34">
        <v>582.5</v>
      </c>
      <c r="D7" s="34">
        <v>686.07499999999993</v>
      </c>
      <c r="E7" s="34">
        <v>575.62812499999995</v>
      </c>
      <c r="F7" s="34">
        <v>652.25</v>
      </c>
      <c r="G7" s="34">
        <v>528.75</v>
      </c>
      <c r="H7" s="34">
        <v>146180.71726649915</v>
      </c>
      <c r="I7" s="34">
        <v>148361.31115624998</v>
      </c>
      <c r="J7" s="34">
        <v>127334.08024624999</v>
      </c>
    </row>
    <row r="8" spans="1:10" x14ac:dyDescent="0.2">
      <c r="A8" s="15">
        <v>5</v>
      </c>
      <c r="B8" s="34">
        <v>592</v>
      </c>
      <c r="C8" s="34">
        <v>582</v>
      </c>
      <c r="D8" s="34">
        <v>681.4849999999999</v>
      </c>
      <c r="E8" s="34">
        <v>572.47250000000008</v>
      </c>
      <c r="F8" s="34">
        <v>647</v>
      </c>
      <c r="G8" s="34">
        <v>527</v>
      </c>
      <c r="H8" s="34">
        <v>151317.66768531257</v>
      </c>
      <c r="I8" s="34">
        <v>148147.77987499998</v>
      </c>
      <c r="J8" s="34">
        <v>127315.12469600001</v>
      </c>
    </row>
    <row r="9" spans="1:10" x14ac:dyDescent="0.2">
      <c r="A9" s="15">
        <v>6</v>
      </c>
      <c r="B9" s="34">
        <v>409</v>
      </c>
      <c r="C9" s="34">
        <v>434</v>
      </c>
      <c r="D9" s="34">
        <v>433.625</v>
      </c>
      <c r="E9" s="34">
        <v>427.88749999999999</v>
      </c>
      <c r="F9" s="34">
        <v>517.6</v>
      </c>
      <c r="G9" s="34">
        <v>432</v>
      </c>
      <c r="H9" s="34">
        <v>83660.33669627225</v>
      </c>
      <c r="I9" s="34">
        <v>77737.348174999992</v>
      </c>
      <c r="J9" s="34">
        <v>53999.399759000007</v>
      </c>
    </row>
    <row r="10" spans="1:10" x14ac:dyDescent="0.2">
      <c r="A10" s="15">
        <v>7</v>
      </c>
      <c r="B10" s="34">
        <v>436</v>
      </c>
      <c r="C10" s="34">
        <v>458</v>
      </c>
      <c r="D10" s="34">
        <v>461.16499999999996</v>
      </c>
      <c r="E10" s="34">
        <v>454.28000000000003</v>
      </c>
      <c r="F10" s="34">
        <v>538</v>
      </c>
      <c r="G10" s="34">
        <v>437</v>
      </c>
      <c r="H10" s="34">
        <v>85733.106742749951</v>
      </c>
      <c r="I10" s="34">
        <v>81904.117512499986</v>
      </c>
      <c r="J10" s="34">
        <v>58243.963900999996</v>
      </c>
    </row>
    <row r="11" spans="1:10" x14ac:dyDescent="0.2">
      <c r="A11" s="15">
        <v>8</v>
      </c>
      <c r="B11" s="34">
        <v>461.25</v>
      </c>
      <c r="C11" s="34">
        <v>500</v>
      </c>
      <c r="D11" s="34">
        <v>489.56562500000001</v>
      </c>
      <c r="E11" s="34">
        <v>482.39375000000001</v>
      </c>
      <c r="F11" s="34">
        <v>541.5</v>
      </c>
      <c r="G11" s="34">
        <v>440</v>
      </c>
      <c r="H11" s="34">
        <v>86973.973326517938</v>
      </c>
      <c r="I11" s="34">
        <v>84807.318950000015</v>
      </c>
      <c r="J11" s="34">
        <v>61138.631085499997</v>
      </c>
    </row>
    <row r="12" spans="1:10" x14ac:dyDescent="0.2">
      <c r="A12" s="15">
        <v>9</v>
      </c>
      <c r="B12" s="34">
        <v>475</v>
      </c>
      <c r="C12" s="34">
        <v>494</v>
      </c>
      <c r="D12" s="34">
        <v>493.29499999999996</v>
      </c>
      <c r="E12" s="34">
        <v>492.14750000000004</v>
      </c>
      <c r="F12" s="34">
        <v>539</v>
      </c>
      <c r="G12" s="34">
        <v>445</v>
      </c>
      <c r="H12" s="34">
        <v>90841.522032121051</v>
      </c>
      <c r="I12" s="34">
        <v>86185.161500000002</v>
      </c>
      <c r="J12" s="34">
        <v>62473.666469000003</v>
      </c>
    </row>
    <row r="13" spans="1:10" x14ac:dyDescent="0.2">
      <c r="A13" s="15">
        <v>10</v>
      </c>
      <c r="B13" s="34">
        <v>460.4</v>
      </c>
      <c r="C13" s="34">
        <v>480</v>
      </c>
      <c r="D13" s="34">
        <v>480.67250000000001</v>
      </c>
      <c r="E13" s="34">
        <v>472.41050000000007</v>
      </c>
      <c r="F13" s="34">
        <v>537</v>
      </c>
      <c r="G13" s="34">
        <v>445</v>
      </c>
      <c r="H13" s="34">
        <v>86008.50975591832</v>
      </c>
      <c r="I13" s="34">
        <v>89412.618950000004</v>
      </c>
      <c r="J13" s="34">
        <v>66129.883669999996</v>
      </c>
    </row>
    <row r="14" spans="1:10" x14ac:dyDescent="0.2">
      <c r="A14" s="15">
        <v>11</v>
      </c>
      <c r="B14" s="34">
        <v>470</v>
      </c>
      <c r="C14" s="34">
        <v>485</v>
      </c>
      <c r="D14" s="34">
        <v>475.22187500000001</v>
      </c>
      <c r="E14" s="34">
        <v>491</v>
      </c>
      <c r="F14" s="34">
        <v>558</v>
      </c>
      <c r="G14" s="34">
        <v>452.5</v>
      </c>
      <c r="H14" s="34">
        <v>81452.971192231067</v>
      </c>
      <c r="I14" s="34">
        <v>91977.48321875</v>
      </c>
      <c r="J14" s="34">
        <v>69062.594018749995</v>
      </c>
    </row>
    <row r="15" spans="1:10" x14ac:dyDescent="0.2">
      <c r="A15" s="15">
        <v>12</v>
      </c>
      <c r="B15" s="34">
        <v>490</v>
      </c>
      <c r="C15" s="34">
        <v>501.25</v>
      </c>
      <c r="D15" s="34">
        <v>518.25312499999995</v>
      </c>
      <c r="E15" s="34">
        <v>491</v>
      </c>
      <c r="F15" s="34">
        <v>576.25</v>
      </c>
      <c r="G15" s="34">
        <v>465</v>
      </c>
      <c r="H15" s="34">
        <v>80417.621518665779</v>
      </c>
      <c r="I15" s="34">
        <v>98664.212328124995</v>
      </c>
      <c r="J15" s="34">
        <v>76131.819818749995</v>
      </c>
    </row>
    <row r="16" spans="1:10" x14ac:dyDescent="0.2">
      <c r="A16" s="15">
        <v>13</v>
      </c>
      <c r="B16" s="34">
        <v>525</v>
      </c>
      <c r="C16" s="34">
        <v>530</v>
      </c>
      <c r="D16" s="34">
        <v>541.203125</v>
      </c>
      <c r="E16" s="34">
        <v>518.25312499999995</v>
      </c>
      <c r="F16" s="34">
        <v>590</v>
      </c>
      <c r="G16" s="34">
        <v>478.75</v>
      </c>
      <c r="H16" s="34">
        <v>80759.286910942334</v>
      </c>
      <c r="I16" s="34">
        <v>104189.01147851562</v>
      </c>
      <c r="J16" s="34">
        <v>81932.666845156258</v>
      </c>
    </row>
    <row r="17" spans="1:10" x14ac:dyDescent="0.2">
      <c r="A17" s="15">
        <v>14</v>
      </c>
      <c r="B17" s="34">
        <v>544</v>
      </c>
      <c r="C17" s="34">
        <v>552</v>
      </c>
      <c r="D17" s="34">
        <v>559.85</v>
      </c>
      <c r="E17" s="34">
        <v>539.19500000000005</v>
      </c>
      <c r="F17" s="34">
        <v>617</v>
      </c>
      <c r="G17" s="34">
        <v>506</v>
      </c>
      <c r="H17" s="34">
        <v>84420.28335666917</v>
      </c>
      <c r="I17" s="34">
        <v>102385.3553984375</v>
      </c>
      <c r="J17" s="34">
        <v>80183.09985837499</v>
      </c>
    </row>
    <row r="18" spans="1:10" x14ac:dyDescent="0.2">
      <c r="A18" s="15">
        <v>15</v>
      </c>
      <c r="B18" s="34">
        <v>557.5</v>
      </c>
      <c r="C18" s="34">
        <v>557.5</v>
      </c>
      <c r="D18" s="34">
        <v>600.01250000000005</v>
      </c>
      <c r="E18" s="34">
        <v>559.85</v>
      </c>
      <c r="F18" s="34">
        <v>629.75</v>
      </c>
      <c r="G18" s="34">
        <v>520</v>
      </c>
      <c r="H18" s="34">
        <v>87491.648163300575</v>
      </c>
      <c r="I18" s="34">
        <v>109624.95331249999</v>
      </c>
      <c r="J18" s="34">
        <v>87740.399528749986</v>
      </c>
    </row>
    <row r="19" spans="1:10" x14ac:dyDescent="0.2">
      <c r="A19" s="15">
        <v>16</v>
      </c>
      <c r="B19" s="34">
        <v>546.66666666666663</v>
      </c>
      <c r="C19" s="34">
        <v>543.33333333333337</v>
      </c>
      <c r="D19" s="34">
        <v>605.75</v>
      </c>
      <c r="E19" s="34">
        <v>544.55000000000007</v>
      </c>
      <c r="F19" s="34">
        <v>624</v>
      </c>
      <c r="G19" s="34">
        <v>518.33333333333337</v>
      </c>
      <c r="H19" s="34">
        <v>88124.074255570027</v>
      </c>
      <c r="I19" s="34">
        <v>106479.03299999998</v>
      </c>
      <c r="J19" s="34">
        <v>84411.947925</v>
      </c>
    </row>
    <row r="20" spans="1:10" x14ac:dyDescent="0.2">
      <c r="A20" s="15">
        <v>17</v>
      </c>
      <c r="B20" s="34">
        <v>556</v>
      </c>
      <c r="C20" s="34">
        <v>531.20000000000005</v>
      </c>
      <c r="D20" s="34">
        <v>605.75</v>
      </c>
      <c r="E20" s="34">
        <v>523.12999999999988</v>
      </c>
      <c r="F20" s="34">
        <v>624</v>
      </c>
      <c r="G20" s="34">
        <v>511</v>
      </c>
      <c r="H20" s="34">
        <v>93117.220614617545</v>
      </c>
      <c r="I20" s="34">
        <v>105271.88378749997</v>
      </c>
      <c r="J20" s="34">
        <v>83177.224252999993</v>
      </c>
    </row>
    <row r="21" spans="1:10" x14ac:dyDescent="0.2">
      <c r="A21" s="15">
        <v>18</v>
      </c>
      <c r="B21" s="34">
        <v>561.4</v>
      </c>
      <c r="C21" s="34">
        <v>533.4</v>
      </c>
      <c r="D21" s="34">
        <v>598.86500000000001</v>
      </c>
      <c r="E21" s="34">
        <v>521.98249999999996</v>
      </c>
      <c r="F21" s="34">
        <v>619.4</v>
      </c>
      <c r="G21" s="34">
        <v>513</v>
      </c>
      <c r="H21" s="34">
        <v>92705.151444538569</v>
      </c>
      <c r="I21" s="34">
        <v>104550.95116249999</v>
      </c>
      <c r="J21" s="34">
        <v>82400.712880999985</v>
      </c>
    </row>
    <row r="22" spans="1:10" x14ac:dyDescent="0.2">
      <c r="A22" s="15">
        <v>19</v>
      </c>
      <c r="B22" s="34">
        <v>548.4</v>
      </c>
      <c r="C22" s="34">
        <v>517.20000000000005</v>
      </c>
      <c r="D22" s="34">
        <v>585.09500000000003</v>
      </c>
      <c r="E22" s="34">
        <v>516.24500000000012</v>
      </c>
      <c r="F22" s="34">
        <v>608</v>
      </c>
      <c r="G22" s="34">
        <v>510</v>
      </c>
      <c r="H22" s="34">
        <v>87733.402312078077</v>
      </c>
      <c r="I22" s="34">
        <v>102892.54651249999</v>
      </c>
      <c r="J22" s="34">
        <v>80677.545071</v>
      </c>
    </row>
    <row r="23" spans="1:10" x14ac:dyDescent="0.2">
      <c r="A23" s="15">
        <v>20</v>
      </c>
      <c r="B23" s="34">
        <v>551</v>
      </c>
      <c r="C23" s="34">
        <v>522</v>
      </c>
      <c r="D23" s="34">
        <v>580.50500000000011</v>
      </c>
      <c r="E23" s="34">
        <v>514.17949999999996</v>
      </c>
      <c r="F23" s="34">
        <v>605</v>
      </c>
      <c r="G23" s="34">
        <v>515</v>
      </c>
      <c r="H23" s="34">
        <v>86147.246612176052</v>
      </c>
      <c r="I23" s="34">
        <v>101511.0468125</v>
      </c>
      <c r="J23" s="34">
        <v>79188.089011999997</v>
      </c>
    </row>
    <row r="24" spans="1:10" x14ac:dyDescent="0.2">
      <c r="A24" s="15">
        <v>21</v>
      </c>
      <c r="B24" s="34">
        <v>539</v>
      </c>
      <c r="C24" s="34">
        <v>500</v>
      </c>
      <c r="D24" s="34">
        <v>569.03</v>
      </c>
      <c r="E24" s="34">
        <v>496.73750000000001</v>
      </c>
      <c r="F24" s="34">
        <v>600</v>
      </c>
      <c r="G24" s="34">
        <v>506</v>
      </c>
      <c r="H24" s="34">
        <v>85940.176677462994</v>
      </c>
      <c r="I24" s="34">
        <v>99947.965100000001</v>
      </c>
      <c r="J24" s="34">
        <v>77391.810709999991</v>
      </c>
    </row>
    <row r="25" spans="1:10" x14ac:dyDescent="0.2">
      <c r="A25" s="15">
        <v>22</v>
      </c>
      <c r="B25" s="34">
        <v>532</v>
      </c>
      <c r="C25" s="34">
        <v>488</v>
      </c>
      <c r="D25" s="34">
        <v>564.44000000000005</v>
      </c>
      <c r="E25" s="34">
        <v>489.85250000000008</v>
      </c>
      <c r="F25" s="34">
        <v>608.4</v>
      </c>
      <c r="G25" s="34">
        <v>502</v>
      </c>
      <c r="H25" s="34">
        <v>82904.531434569595</v>
      </c>
      <c r="I25" s="34">
        <v>100345.46569999999</v>
      </c>
      <c r="J25" s="34">
        <v>77695.099513999987</v>
      </c>
    </row>
    <row r="26" spans="1:10" x14ac:dyDescent="0.2">
      <c r="A26" s="15">
        <v>23</v>
      </c>
      <c r="B26" s="34">
        <v>531</v>
      </c>
      <c r="C26" s="34">
        <v>501</v>
      </c>
      <c r="D26" s="34">
        <v>571.32500000000005</v>
      </c>
      <c r="E26" s="34">
        <v>502.47500000000002</v>
      </c>
      <c r="F26" s="34">
        <v>619.4</v>
      </c>
      <c r="G26" s="34">
        <v>510</v>
      </c>
      <c r="H26" s="34">
        <v>84699.827768531788</v>
      </c>
      <c r="I26" s="34">
        <v>101930.3548625</v>
      </c>
      <c r="J26" s="34">
        <v>79367.766145999994</v>
      </c>
    </row>
    <row r="27" spans="1:10" x14ac:dyDescent="0.2">
      <c r="A27" s="15">
        <v>24</v>
      </c>
      <c r="B27" s="34">
        <v>535</v>
      </c>
      <c r="C27" s="34">
        <v>513</v>
      </c>
      <c r="D27" s="34">
        <v>575.91499999999996</v>
      </c>
      <c r="E27" s="34">
        <v>516.24500000000012</v>
      </c>
      <c r="F27" s="34">
        <v>625.79999999999995</v>
      </c>
      <c r="G27" s="34">
        <v>522</v>
      </c>
      <c r="H27" s="34">
        <v>85109.826239263653</v>
      </c>
      <c r="I27" s="34">
        <v>106445.87408749999</v>
      </c>
      <c r="J27" s="34">
        <v>84269.97254599999</v>
      </c>
    </row>
    <row r="28" spans="1:10" x14ac:dyDescent="0.2">
      <c r="A28" s="15">
        <v>25</v>
      </c>
      <c r="B28" s="34">
        <v>519.79999999999995</v>
      </c>
      <c r="C28" s="34">
        <v>503</v>
      </c>
      <c r="D28" s="34">
        <v>564.43999999999994</v>
      </c>
      <c r="E28" s="34">
        <v>505.91750000000002</v>
      </c>
      <c r="F28" s="34">
        <v>602.4</v>
      </c>
      <c r="G28" s="34">
        <v>531</v>
      </c>
      <c r="H28" s="34">
        <v>87114.263207286029</v>
      </c>
      <c r="I28" s="34">
        <v>108580.25003749998</v>
      </c>
      <c r="J28" s="34">
        <v>86330.847907999996</v>
      </c>
    </row>
    <row r="29" spans="1:10" x14ac:dyDescent="0.2">
      <c r="A29" s="15">
        <v>26</v>
      </c>
      <c r="B29" s="34">
        <v>515</v>
      </c>
      <c r="C29" s="34">
        <v>500</v>
      </c>
      <c r="D29" s="34">
        <v>565.58749999999998</v>
      </c>
      <c r="E29" s="34">
        <v>502.47500000000002</v>
      </c>
      <c r="F29" s="34">
        <v>595</v>
      </c>
      <c r="G29" s="34">
        <v>530</v>
      </c>
      <c r="H29" s="34">
        <v>85249.253328637104</v>
      </c>
      <c r="I29" s="34">
        <v>108170.073575</v>
      </c>
      <c r="J29" s="34">
        <v>85776.062767999989</v>
      </c>
    </row>
    <row r="30" spans="1:10" x14ac:dyDescent="0.2">
      <c r="A30" s="15">
        <v>27</v>
      </c>
      <c r="B30" s="34">
        <v>511</v>
      </c>
      <c r="C30" s="34">
        <v>508</v>
      </c>
      <c r="D30" s="34">
        <v>564.43999999999994</v>
      </c>
      <c r="E30" s="34">
        <v>511.65500000000003</v>
      </c>
      <c r="F30" s="34">
        <v>594</v>
      </c>
      <c r="G30" s="34">
        <v>538</v>
      </c>
      <c r="H30" s="34">
        <v>83385.6239162196</v>
      </c>
      <c r="I30" s="34">
        <v>107616.8619125</v>
      </c>
      <c r="J30" s="34">
        <v>85127.57693000001</v>
      </c>
    </row>
    <row r="31" spans="1:10" x14ac:dyDescent="0.2">
      <c r="A31" s="15">
        <v>28</v>
      </c>
      <c r="B31" s="34">
        <v>510</v>
      </c>
      <c r="C31" s="34">
        <v>525</v>
      </c>
      <c r="D31" s="34">
        <v>556.02500000000009</v>
      </c>
      <c r="E31" s="34">
        <v>515.86250000000007</v>
      </c>
      <c r="F31" s="34">
        <v>591.66666666666663</v>
      </c>
      <c r="G31" s="34">
        <v>550</v>
      </c>
      <c r="H31" s="34">
        <v>81452.971192231053</v>
      </c>
      <c r="I31" s="34">
        <v>106064.1045</v>
      </c>
      <c r="J31" s="34">
        <v>83566.192104999995</v>
      </c>
    </row>
    <row r="32" spans="1:10" x14ac:dyDescent="0.2">
      <c r="A32" s="15">
        <v>29</v>
      </c>
      <c r="B32" s="34">
        <v>501</v>
      </c>
      <c r="C32" s="34">
        <v>515</v>
      </c>
      <c r="D32" s="34">
        <v>551.81750000000011</v>
      </c>
      <c r="E32" s="34">
        <v>515.09750000000008</v>
      </c>
      <c r="F32" s="34">
        <v>594</v>
      </c>
      <c r="G32" s="34">
        <v>549</v>
      </c>
      <c r="H32" s="34">
        <v>82557.344177367369</v>
      </c>
      <c r="I32" s="34">
        <v>103489.0796</v>
      </c>
      <c r="J32" s="34">
        <v>81079.288868000003</v>
      </c>
    </row>
    <row r="33" spans="1:10" x14ac:dyDescent="0.2">
      <c r="A33" s="15">
        <v>30</v>
      </c>
      <c r="B33" s="34">
        <v>506</v>
      </c>
      <c r="C33" s="34">
        <v>517</v>
      </c>
      <c r="D33" s="34">
        <v>560.99750000000006</v>
      </c>
      <c r="E33" s="34">
        <v>517.39250000000004</v>
      </c>
      <c r="F33" s="34">
        <v>595</v>
      </c>
      <c r="G33" s="34">
        <v>550</v>
      </c>
      <c r="H33" s="34">
        <v>82971.484046793499</v>
      </c>
      <c r="I33" s="34">
        <v>106233.00312499997</v>
      </c>
      <c r="J33" s="34">
        <v>83908.587430999993</v>
      </c>
    </row>
    <row r="34" spans="1:10" x14ac:dyDescent="0.2">
      <c r="A34" s="15">
        <v>31</v>
      </c>
      <c r="B34" s="34">
        <v>515</v>
      </c>
      <c r="C34" s="34">
        <v>520</v>
      </c>
      <c r="D34" s="34">
        <v>559.85</v>
      </c>
      <c r="E34" s="34">
        <v>519.6875</v>
      </c>
      <c r="F34" s="34">
        <v>585</v>
      </c>
      <c r="G34" s="34">
        <v>550</v>
      </c>
      <c r="H34" s="34">
        <v>85732.416509634248</v>
      </c>
      <c r="I34" s="34">
        <v>108737.02212499999</v>
      </c>
      <c r="J34" s="34">
        <v>86492.317852999986</v>
      </c>
    </row>
    <row r="35" spans="1:10" x14ac:dyDescent="0.2">
      <c r="A35" s="15">
        <v>32</v>
      </c>
      <c r="B35" s="34">
        <v>521</v>
      </c>
      <c r="C35" s="34">
        <v>525</v>
      </c>
      <c r="D35" s="34">
        <v>572.47250000000008</v>
      </c>
      <c r="E35" s="34">
        <v>536.9</v>
      </c>
      <c r="F35" s="34">
        <v>600</v>
      </c>
      <c r="G35" s="34">
        <v>552</v>
      </c>
      <c r="H35" s="34">
        <v>88907.488841901111</v>
      </c>
      <c r="I35" s="34">
        <v>109581.14652499999</v>
      </c>
      <c r="J35" s="34">
        <v>87500.768386999989</v>
      </c>
    </row>
    <row r="36" spans="1:10" x14ac:dyDescent="0.2">
      <c r="A36" s="15">
        <v>33</v>
      </c>
      <c r="B36" s="34">
        <v>544</v>
      </c>
      <c r="C36" s="34">
        <v>544</v>
      </c>
      <c r="D36" s="34">
        <v>586.24250000000006</v>
      </c>
      <c r="E36" s="34">
        <v>540.34249999999997</v>
      </c>
      <c r="F36" s="34">
        <v>610</v>
      </c>
      <c r="G36" s="34">
        <v>553</v>
      </c>
      <c r="H36" s="34">
        <v>90978.188189031673</v>
      </c>
      <c r="I36" s="34">
        <v>110278.28510000001</v>
      </c>
      <c r="J36" s="34">
        <v>88239.949739000003</v>
      </c>
    </row>
    <row r="37" spans="1:10" x14ac:dyDescent="0.2">
      <c r="A37" s="15">
        <v>34</v>
      </c>
      <c r="B37" s="34">
        <v>570</v>
      </c>
      <c r="C37" s="34">
        <v>570</v>
      </c>
      <c r="D37" s="34">
        <v>617.22500000000002</v>
      </c>
      <c r="E37" s="34">
        <v>571.32500000000005</v>
      </c>
      <c r="F37" s="34">
        <v>625</v>
      </c>
      <c r="G37" s="34">
        <v>555</v>
      </c>
      <c r="H37" s="34">
        <v>103536.97972937854</v>
      </c>
      <c r="I37" s="34">
        <v>118220.66675</v>
      </c>
      <c r="J37" s="34">
        <v>96468.566135000001</v>
      </c>
    </row>
    <row r="38" spans="1:10" x14ac:dyDescent="0.2">
      <c r="A38" s="15">
        <v>35</v>
      </c>
      <c r="B38" s="34">
        <v>567</v>
      </c>
      <c r="C38" s="34">
        <v>559.6</v>
      </c>
      <c r="D38" s="34">
        <v>618.14300000000003</v>
      </c>
      <c r="E38" s="34">
        <v>562.83349999999996</v>
      </c>
      <c r="F38" s="34">
        <v>640.20000000000005</v>
      </c>
      <c r="G38" s="34">
        <v>553</v>
      </c>
      <c r="H38" s="34">
        <v>100089.26531640618</v>
      </c>
      <c r="I38" s="34">
        <v>119058.425</v>
      </c>
      <c r="J38" s="34">
        <v>97259.610389000009</v>
      </c>
    </row>
    <row r="39" spans="1:10" x14ac:dyDescent="0.2">
      <c r="A39" s="15">
        <v>36</v>
      </c>
      <c r="B39" s="34">
        <v>573</v>
      </c>
      <c r="C39" s="34">
        <v>564</v>
      </c>
      <c r="D39" s="34">
        <v>618.37249999999995</v>
      </c>
      <c r="E39" s="34">
        <v>555.26</v>
      </c>
      <c r="F39" s="34">
        <v>635.20000000000005</v>
      </c>
      <c r="G39" s="34">
        <v>555</v>
      </c>
      <c r="H39" s="34">
        <v>96639.480204086634</v>
      </c>
      <c r="I39" s="34">
        <v>119502.74614999999</v>
      </c>
      <c r="J39" s="34">
        <v>97758.670495999992</v>
      </c>
    </row>
    <row r="40" spans="1:10" x14ac:dyDescent="0.2">
      <c r="A40" s="15">
        <v>37</v>
      </c>
      <c r="B40" s="34">
        <v>580</v>
      </c>
      <c r="C40" s="34">
        <v>570</v>
      </c>
      <c r="D40" s="34">
        <v>621.52812500000005</v>
      </c>
      <c r="E40" s="34">
        <v>565.58750000000009</v>
      </c>
      <c r="F40" s="34">
        <v>643.5</v>
      </c>
      <c r="G40" s="34">
        <v>555</v>
      </c>
      <c r="H40" s="34">
        <v>95950.454996328932</v>
      </c>
      <c r="I40" s="34">
        <v>119624.30970312501</v>
      </c>
      <c r="J40" s="34">
        <v>98080.741700000013</v>
      </c>
    </row>
    <row r="41" spans="1:10" x14ac:dyDescent="0.2">
      <c r="A41" s="15">
        <v>38</v>
      </c>
      <c r="B41" s="34">
        <v>575</v>
      </c>
      <c r="C41" s="34">
        <v>566.25</v>
      </c>
      <c r="D41" s="34">
        <v>611.48750000000007</v>
      </c>
      <c r="E41" s="34">
        <v>555.54687500000011</v>
      </c>
      <c r="F41" s="34">
        <v>636</v>
      </c>
      <c r="G41" s="34">
        <v>555</v>
      </c>
      <c r="H41" s="34">
        <v>100951.19391964926</v>
      </c>
      <c r="I41" s="34">
        <v>118612.93559375001</v>
      </c>
      <c r="J41" s="34">
        <v>96850.964059999998</v>
      </c>
    </row>
    <row r="42" spans="1:10" x14ac:dyDescent="0.2">
      <c r="A42" s="15">
        <v>39</v>
      </c>
      <c r="B42" s="34">
        <v>593</v>
      </c>
      <c r="C42" s="34">
        <v>577</v>
      </c>
      <c r="D42" s="34">
        <v>645.91249999999991</v>
      </c>
      <c r="E42" s="34">
        <v>567.88250000000005</v>
      </c>
      <c r="F42" s="34">
        <v>654</v>
      </c>
      <c r="G42" s="34">
        <v>555</v>
      </c>
      <c r="H42" s="34">
        <v>103054.50678149713</v>
      </c>
      <c r="I42" s="34">
        <v>118974.24282499999</v>
      </c>
      <c r="J42" s="34">
        <v>97260.936895999985</v>
      </c>
    </row>
    <row r="43" spans="1:10" x14ac:dyDescent="0.2">
      <c r="A43" s="15">
        <v>40</v>
      </c>
      <c r="B43" s="34">
        <v>578</v>
      </c>
      <c r="C43" s="34">
        <v>560</v>
      </c>
      <c r="D43" s="34">
        <v>635.58500000000004</v>
      </c>
      <c r="E43" s="34">
        <v>549.52250000000004</v>
      </c>
      <c r="F43" s="34">
        <v>647</v>
      </c>
      <c r="G43" s="34">
        <v>543</v>
      </c>
      <c r="H43" s="34">
        <v>100917.54505525839</v>
      </c>
      <c r="I43" s="34">
        <v>113582.33952499999</v>
      </c>
      <c r="J43" s="34">
        <v>91787.851186999993</v>
      </c>
    </row>
    <row r="44" spans="1:10" x14ac:dyDescent="0.2">
      <c r="A44" s="15">
        <v>41</v>
      </c>
      <c r="B44" s="34">
        <v>566</v>
      </c>
      <c r="C44" s="34">
        <v>545</v>
      </c>
      <c r="D44" s="34">
        <v>619.5200000000001</v>
      </c>
      <c r="E44" s="34">
        <v>544.93250000000012</v>
      </c>
      <c r="F44" s="34">
        <v>639</v>
      </c>
      <c r="G44" s="34">
        <v>536</v>
      </c>
      <c r="H44" s="34">
        <v>99126.390119990479</v>
      </c>
      <c r="I44" s="34">
        <v>108296.56129999999</v>
      </c>
      <c r="J44" s="34">
        <v>86259.967825999993</v>
      </c>
    </row>
    <row r="45" spans="1:10" x14ac:dyDescent="0.2">
      <c r="A45" s="15">
        <v>42</v>
      </c>
      <c r="B45" s="34">
        <v>562.5</v>
      </c>
      <c r="C45" s="34">
        <v>538.25</v>
      </c>
      <c r="D45" s="34">
        <v>615.79062500000009</v>
      </c>
      <c r="E45" s="34">
        <v>536.9</v>
      </c>
      <c r="F45" s="34">
        <v>605.25</v>
      </c>
      <c r="G45" s="34">
        <v>528.75</v>
      </c>
      <c r="H45" s="34">
        <v>98883.082946702634</v>
      </c>
      <c r="I45" s="34">
        <v>106568.94734375001</v>
      </c>
      <c r="J45" s="34">
        <v>84409.766427499999</v>
      </c>
    </row>
    <row r="46" spans="1:10" x14ac:dyDescent="0.2">
      <c r="A46" s="15">
        <v>43</v>
      </c>
      <c r="B46" s="34">
        <v>563</v>
      </c>
      <c r="C46" s="34">
        <v>546</v>
      </c>
      <c r="D46" s="34">
        <v>622.96249999999998</v>
      </c>
      <c r="E46" s="34">
        <v>552.96500000000015</v>
      </c>
      <c r="F46" s="34">
        <v>616.6</v>
      </c>
      <c r="G46" s="34">
        <v>513</v>
      </c>
      <c r="H46" s="34">
        <v>99122.248721296201</v>
      </c>
      <c r="I46" s="34">
        <v>107698.68500000001</v>
      </c>
      <c r="J46" s="34">
        <v>85561.098199999993</v>
      </c>
    </row>
    <row r="47" spans="1:10" x14ac:dyDescent="0.2">
      <c r="A47" s="15">
        <v>44</v>
      </c>
      <c r="B47" s="34">
        <v>563</v>
      </c>
      <c r="C47" s="34">
        <v>553</v>
      </c>
      <c r="D47" s="34">
        <v>613.78250000000003</v>
      </c>
      <c r="E47" s="34">
        <v>547.22749999999996</v>
      </c>
      <c r="F47" s="34">
        <v>614</v>
      </c>
      <c r="G47" s="34">
        <v>515</v>
      </c>
      <c r="H47" s="34">
        <v>100573.80896363471</v>
      </c>
      <c r="I47" s="34">
        <v>110922.86907499998</v>
      </c>
      <c r="J47" s="34">
        <v>88900.09240400001</v>
      </c>
    </row>
    <row r="48" spans="1:10" x14ac:dyDescent="0.2">
      <c r="A48" s="15">
        <v>45</v>
      </c>
      <c r="B48" s="34">
        <v>561.66666666666663</v>
      </c>
      <c r="C48" s="34">
        <v>551.66666666666663</v>
      </c>
      <c r="D48" s="34">
        <v>594.27499999999998</v>
      </c>
      <c r="E48" s="34">
        <v>542.63750000000005</v>
      </c>
      <c r="F48" s="34">
        <v>615</v>
      </c>
      <c r="G48" s="34">
        <v>506.66666666666669</v>
      </c>
      <c r="H48" s="34">
        <v>101818.2992712602</v>
      </c>
      <c r="I48" s="34">
        <v>113605.24562499998</v>
      </c>
      <c r="J48" s="34">
        <v>91734.070914999989</v>
      </c>
    </row>
    <row r="49" spans="1:10" x14ac:dyDescent="0.2">
      <c r="A49" s="15">
        <v>46</v>
      </c>
      <c r="B49" s="34">
        <v>563</v>
      </c>
      <c r="C49" s="34">
        <v>553</v>
      </c>
      <c r="D49" s="34">
        <v>603.45500000000015</v>
      </c>
      <c r="E49" s="34">
        <v>547.22750000000008</v>
      </c>
      <c r="F49" s="34">
        <v>609</v>
      </c>
      <c r="G49" s="34">
        <v>501</v>
      </c>
      <c r="H49" s="34">
        <v>100806.26516582422</v>
      </c>
      <c r="I49" s="34">
        <v>116266.03294999998</v>
      </c>
      <c r="J49" s="34">
        <v>94496.308484000008</v>
      </c>
    </row>
    <row r="50" spans="1:10" x14ac:dyDescent="0.2">
      <c r="A50" s="15">
        <v>47</v>
      </c>
      <c r="B50" s="34">
        <v>558</v>
      </c>
      <c r="C50" s="34">
        <v>545</v>
      </c>
      <c r="D50" s="34">
        <v>606.89750000000004</v>
      </c>
      <c r="E50" s="34">
        <v>533.4575000000001</v>
      </c>
      <c r="F50" s="34">
        <v>607</v>
      </c>
      <c r="G50" s="34">
        <v>500</v>
      </c>
      <c r="H50" s="34">
        <v>106148.80455324808</v>
      </c>
      <c r="I50" s="34">
        <v>120655.83199999998</v>
      </c>
      <c r="J50" s="34">
        <v>98659.00483999998</v>
      </c>
    </row>
    <row r="51" spans="1:10" x14ac:dyDescent="0.2">
      <c r="A51" s="15">
        <v>48</v>
      </c>
      <c r="B51" s="34">
        <v>564.4</v>
      </c>
      <c r="C51" s="34">
        <v>559</v>
      </c>
      <c r="D51" s="34">
        <v>618.37249999999995</v>
      </c>
      <c r="E51" s="34">
        <v>555.26</v>
      </c>
      <c r="F51" s="34">
        <v>623.79999999999995</v>
      </c>
      <c r="G51" s="34">
        <v>503</v>
      </c>
      <c r="H51" s="34">
        <v>108685.62230321261</v>
      </c>
      <c r="I51" s="34">
        <v>125821.89499999999</v>
      </c>
      <c r="J51" s="34">
        <v>103768.22850499999</v>
      </c>
    </row>
    <row r="52" spans="1:10" x14ac:dyDescent="0.2">
      <c r="A52" s="15">
        <v>49</v>
      </c>
      <c r="B52" s="34">
        <v>576</v>
      </c>
      <c r="C52" s="34">
        <v>566</v>
      </c>
      <c r="D52" s="34">
        <v>636.73250000000007</v>
      </c>
      <c r="E52" s="34">
        <v>567.88249999999994</v>
      </c>
      <c r="F52" s="34">
        <v>638</v>
      </c>
      <c r="G52" s="34">
        <v>512</v>
      </c>
      <c r="H52" s="34">
        <v>107558.61674707197</v>
      </c>
      <c r="I52" s="34">
        <v>127580.1263</v>
      </c>
      <c r="J52" s="34">
        <v>105583.41833599999</v>
      </c>
    </row>
    <row r="53" spans="1:10" x14ac:dyDescent="0.2">
      <c r="A53" s="15">
        <v>50</v>
      </c>
      <c r="B53" s="34">
        <v>585</v>
      </c>
      <c r="C53" s="34">
        <v>575</v>
      </c>
      <c r="D53" s="34">
        <v>647.06000000000006</v>
      </c>
      <c r="E53" s="34">
        <v>573.62000000000012</v>
      </c>
      <c r="F53" s="34">
        <v>640</v>
      </c>
      <c r="G53" s="34">
        <v>520</v>
      </c>
      <c r="H53" s="34">
        <v>114875.71087280169</v>
      </c>
      <c r="I53" s="34">
        <v>129733.26207499998</v>
      </c>
      <c r="J53" s="34">
        <v>108119.98145600001</v>
      </c>
    </row>
    <row r="54" spans="1:10" x14ac:dyDescent="0.2">
      <c r="A54" s="15">
        <v>51</v>
      </c>
      <c r="B54" s="34">
        <v>588.75</v>
      </c>
      <c r="C54" s="34">
        <v>578.75</v>
      </c>
      <c r="D54" s="34">
        <v>655.95312499999989</v>
      </c>
      <c r="E54" s="34">
        <v>575.62812499999995</v>
      </c>
      <c r="F54" s="34">
        <v>631</v>
      </c>
      <c r="G54" s="34">
        <v>520</v>
      </c>
      <c r="H54" s="34">
        <v>121031.50386132843</v>
      </c>
      <c r="I54" s="34">
        <v>131421.21457812499</v>
      </c>
      <c r="J54" s="34">
        <v>109903.1766425</v>
      </c>
    </row>
    <row r="55" spans="1:10" x14ac:dyDescent="0.2">
      <c r="A55" s="15">
        <v>52</v>
      </c>
      <c r="B55" s="34">
        <v>583</v>
      </c>
      <c r="C55" s="34">
        <v>573</v>
      </c>
      <c r="D55" s="34">
        <v>653.94499999999994</v>
      </c>
      <c r="E55" s="34">
        <v>572.47250000000008</v>
      </c>
      <c r="F55" s="34">
        <v>633</v>
      </c>
      <c r="G55" s="34">
        <v>527</v>
      </c>
      <c r="H55" s="34">
        <v>118111.10322778978</v>
      </c>
      <c r="I55" s="34">
        <v>133683.26626249999</v>
      </c>
      <c r="J55" s="34">
        <v>112139.10984199999</v>
      </c>
    </row>
    <row r="56" spans="1:10" x14ac:dyDescent="0.2">
      <c r="A56" s="15">
        <v>53</v>
      </c>
      <c r="B56" s="34">
        <v>577.5</v>
      </c>
      <c r="C56" s="34">
        <v>567.5</v>
      </c>
      <c r="D56" s="34">
        <v>653.08437500000002</v>
      </c>
      <c r="E56" s="34">
        <v>569.890625</v>
      </c>
      <c r="F56" s="34">
        <v>646</v>
      </c>
      <c r="G56" s="34">
        <v>525</v>
      </c>
      <c r="H56" s="34">
        <v>121208.25800988043</v>
      </c>
      <c r="I56" s="34">
        <v>133606.74265625002</v>
      </c>
      <c r="J56" s="34">
        <v>112000.14356</v>
      </c>
    </row>
    <row r="57" spans="1:10" x14ac:dyDescent="0.2">
      <c r="A57" s="15" t="s">
        <v>39</v>
      </c>
      <c r="B57" s="34">
        <v>541.32786885245901</v>
      </c>
      <c r="C57" s="34">
        <v>534.56967213114751</v>
      </c>
      <c r="D57" s="34">
        <v>589.42634221311471</v>
      </c>
      <c r="E57" s="34">
        <v>531.48229508196675</v>
      </c>
      <c r="F57" s="34">
        <v>610.93442622950818</v>
      </c>
      <c r="G57" s="34">
        <v>515.47131147540983</v>
      </c>
      <c r="H57" s="34">
        <v>97541.418290448652</v>
      </c>
      <c r="I57" s="34">
        <v>111739.91904157274</v>
      </c>
      <c r="J57" s="34">
        <v>89579.505623768433</v>
      </c>
    </row>
    <row r="58" spans="1:10" ht="15" x14ac:dyDescent="0.25">
      <c r="A58"/>
      <c r="B58"/>
      <c r="C58"/>
      <c r="D58"/>
      <c r="E58"/>
      <c r="F58"/>
      <c r="G58"/>
      <c r="H58"/>
      <c r="I58"/>
      <c r="J58"/>
    </row>
    <row r="59" spans="1:10" ht="15" x14ac:dyDescent="0.25">
      <c r="A59"/>
      <c r="B59"/>
      <c r="C59"/>
      <c r="D59"/>
      <c r="E59"/>
      <c r="F59"/>
      <c r="G59"/>
      <c r="H59"/>
      <c r="I59"/>
    </row>
    <row r="60" spans="1:10" ht="15" x14ac:dyDescent="0.25">
      <c r="A60"/>
      <c r="B60"/>
      <c r="C60"/>
      <c r="D60"/>
      <c r="E60"/>
      <c r="F60"/>
      <c r="G60"/>
      <c r="H60"/>
      <c r="I60"/>
    </row>
    <row r="61" spans="1:10" x14ac:dyDescent="0.2">
      <c r="A61" s="17" t="s">
        <v>38</v>
      </c>
      <c r="B61" s="14" t="s">
        <v>56</v>
      </c>
      <c r="C61" s="14" t="s">
        <v>57</v>
      </c>
      <c r="D61" s="14" t="s">
        <v>60</v>
      </c>
      <c r="E61" s="14" t="s">
        <v>63</v>
      </c>
      <c r="F61" s="14" t="s">
        <v>58</v>
      </c>
      <c r="G61" s="14" t="s">
        <v>59</v>
      </c>
      <c r="H61" s="14" t="s">
        <v>61</v>
      </c>
      <c r="I61" s="14" t="s">
        <v>62</v>
      </c>
      <c r="J61" s="14" t="s">
        <v>72</v>
      </c>
    </row>
    <row r="62" spans="1:10" x14ac:dyDescent="0.2">
      <c r="A62" s="15">
        <v>5</v>
      </c>
      <c r="B62" s="34">
        <v>593.33333333333337</v>
      </c>
      <c r="C62" s="34">
        <v>583.33333333333337</v>
      </c>
      <c r="D62" s="34">
        <v>682.25</v>
      </c>
      <c r="E62" s="34">
        <v>573.23750000000007</v>
      </c>
      <c r="F62" s="34">
        <v>647.66666666666663</v>
      </c>
      <c r="G62" s="34">
        <v>528.33333333333337</v>
      </c>
      <c r="H62" s="34">
        <v>151224.80580428228</v>
      </c>
      <c r="I62" s="34">
        <v>147651.99525000001</v>
      </c>
      <c r="J62" s="34">
        <v>126881.83038000001</v>
      </c>
    </row>
    <row r="63" spans="1:10" x14ac:dyDescent="0.2">
      <c r="A63" s="15">
        <v>6</v>
      </c>
      <c r="B63" s="34">
        <v>590</v>
      </c>
      <c r="C63" s="34">
        <v>580</v>
      </c>
      <c r="D63" s="34">
        <v>665.42</v>
      </c>
      <c r="E63" s="34">
        <v>577.0625</v>
      </c>
      <c r="F63" s="34">
        <v>648</v>
      </c>
      <c r="G63" s="34">
        <v>525</v>
      </c>
      <c r="H63" s="34">
        <v>141890.07626343929</v>
      </c>
      <c r="I63" s="34">
        <v>145181.80864999999</v>
      </c>
      <c r="J63" s="34">
        <v>124414.55866400001</v>
      </c>
    </row>
    <row r="64" spans="1:10" x14ac:dyDescent="0.2">
      <c r="A64" s="15">
        <v>7</v>
      </c>
      <c r="B64" s="34">
        <v>584</v>
      </c>
      <c r="C64" s="34">
        <v>581</v>
      </c>
      <c r="D64" s="34">
        <v>657.38749999999993</v>
      </c>
      <c r="E64" s="34">
        <v>573.62000000000012</v>
      </c>
      <c r="F64" s="34">
        <v>641</v>
      </c>
      <c r="G64" s="34">
        <v>523</v>
      </c>
      <c r="H64" s="34">
        <v>135558.58437500859</v>
      </c>
      <c r="I64" s="34">
        <v>134995.60744999998</v>
      </c>
      <c r="J64" s="34">
        <v>113720.23575200001</v>
      </c>
    </row>
    <row r="65" spans="1:10" x14ac:dyDescent="0.2">
      <c r="A65" s="15">
        <v>8</v>
      </c>
      <c r="B65" s="34">
        <v>565</v>
      </c>
      <c r="C65" s="34">
        <v>566</v>
      </c>
      <c r="D65" s="34">
        <v>652.7974999999999</v>
      </c>
      <c r="E65" s="34">
        <v>563.98099999999999</v>
      </c>
      <c r="F65" s="34">
        <v>622.79999999999995</v>
      </c>
      <c r="G65" s="34">
        <v>519</v>
      </c>
      <c r="H65" s="34">
        <v>129788.48476735211</v>
      </c>
      <c r="I65" s="34">
        <v>123550.601675</v>
      </c>
      <c r="J65" s="34">
        <v>102010.12543099998</v>
      </c>
    </row>
    <row r="66" spans="1:10" x14ac:dyDescent="0.2">
      <c r="A66" s="15">
        <v>9</v>
      </c>
      <c r="B66" s="34">
        <v>552.20000000000005</v>
      </c>
      <c r="C66" s="34">
        <v>552.20000000000005</v>
      </c>
      <c r="D66" s="34">
        <v>636.73249999999996</v>
      </c>
      <c r="E66" s="34">
        <v>556.86649999999997</v>
      </c>
      <c r="F66" s="34">
        <v>609.6</v>
      </c>
      <c r="G66" s="34">
        <v>510</v>
      </c>
      <c r="H66" s="34">
        <v>131759.68924195017</v>
      </c>
      <c r="I66" s="34">
        <v>113183.23610000001</v>
      </c>
      <c r="J66" s="34">
        <v>91287.840220999991</v>
      </c>
    </row>
    <row r="67" spans="1:10" x14ac:dyDescent="0.2">
      <c r="A67" s="15">
        <v>10</v>
      </c>
      <c r="B67" s="34">
        <v>550</v>
      </c>
      <c r="C67" s="34">
        <v>550</v>
      </c>
      <c r="D67" s="34">
        <v>632.52499999999998</v>
      </c>
      <c r="E67" s="34">
        <v>559.08500000000004</v>
      </c>
      <c r="F67" s="34">
        <v>606.66666666666663</v>
      </c>
      <c r="G67" s="34">
        <v>510</v>
      </c>
      <c r="H67" s="34">
        <v>129416.33374413212</v>
      </c>
      <c r="I67" s="34">
        <v>110761.09662499999</v>
      </c>
      <c r="J67" s="34">
        <v>88797.129635000005</v>
      </c>
    </row>
    <row r="68" spans="1:10" x14ac:dyDescent="0.2">
      <c r="A68" s="15">
        <v>11</v>
      </c>
      <c r="B68" s="34">
        <v>551.25</v>
      </c>
      <c r="C68" s="34">
        <v>552.5</v>
      </c>
      <c r="D68" s="34">
        <v>611.48750000000007</v>
      </c>
      <c r="E68" s="34">
        <v>556.40750000000003</v>
      </c>
      <c r="F68" s="34">
        <v>603.5</v>
      </c>
      <c r="G68" s="34">
        <v>510</v>
      </c>
      <c r="H68" s="34">
        <v>129476.13116752286</v>
      </c>
      <c r="I68" s="34">
        <v>105105.29721875</v>
      </c>
      <c r="J68" s="34">
        <v>83334.899566249995</v>
      </c>
    </row>
    <row r="69" spans="1:10" x14ac:dyDescent="0.2">
      <c r="A69" s="15">
        <v>12</v>
      </c>
      <c r="B69" s="34">
        <v>555</v>
      </c>
      <c r="C69" s="34">
        <v>560.20000000000005</v>
      </c>
      <c r="D69" s="34">
        <v>608.04500000000007</v>
      </c>
      <c r="E69" s="34">
        <v>564.43999999999994</v>
      </c>
      <c r="F69" s="34">
        <v>612</v>
      </c>
      <c r="G69" s="34">
        <v>535</v>
      </c>
      <c r="H69" s="34">
        <v>134712.27495925501</v>
      </c>
      <c r="I69" s="34">
        <v>104951.78157499999</v>
      </c>
      <c r="J69" s="34">
        <v>83252.518198999998</v>
      </c>
    </row>
    <row r="70" spans="1:10" x14ac:dyDescent="0.2">
      <c r="A70" s="15">
        <v>13</v>
      </c>
      <c r="B70" s="34">
        <v>548.75</v>
      </c>
      <c r="C70" s="34">
        <v>555.75</v>
      </c>
      <c r="D70" s="34">
        <v>597.14374999999995</v>
      </c>
      <c r="E70" s="34">
        <v>558.989375</v>
      </c>
      <c r="F70" s="34">
        <v>592</v>
      </c>
      <c r="G70" s="34">
        <v>520</v>
      </c>
      <c r="H70" s="34">
        <v>135981.73908288538</v>
      </c>
      <c r="I70" s="34">
        <v>96732.286156249989</v>
      </c>
      <c r="J70" s="34">
        <v>74895.365622499987</v>
      </c>
    </row>
    <row r="71" spans="1:10" x14ac:dyDescent="0.2">
      <c r="A71" s="15" t="s">
        <v>39</v>
      </c>
      <c r="B71" s="34">
        <v>565.66666666666663</v>
      </c>
      <c r="C71" s="34">
        <v>564.87179487179492</v>
      </c>
      <c r="D71" s="34">
        <v>637.96826923076924</v>
      </c>
      <c r="E71" s="34">
        <v>565.08730769230749</v>
      </c>
      <c r="F71" s="34">
        <v>620.82051282051282</v>
      </c>
      <c r="G71" s="34">
        <v>520.38461538461536</v>
      </c>
      <c r="H71" s="34">
        <v>135187.19096620264</v>
      </c>
      <c r="I71" s="34">
        <v>120305.25093269229</v>
      </c>
      <c r="J71" s="34">
        <v>98804.726465</v>
      </c>
    </row>
    <row r="72" spans="1:10" ht="15" x14ac:dyDescent="0.25">
      <c r="A72"/>
      <c r="B72"/>
      <c r="C72"/>
      <c r="D72"/>
      <c r="E72"/>
      <c r="F72"/>
      <c r="G72"/>
      <c r="H72"/>
      <c r="I72"/>
      <c r="J72"/>
    </row>
    <row r="73" spans="1:10" ht="15" x14ac:dyDescent="0.25">
      <c r="A73"/>
      <c r="B73"/>
      <c r="C73"/>
      <c r="D73"/>
      <c r="E73"/>
      <c r="F73"/>
      <c r="G73"/>
      <c r="H73"/>
      <c r="I73"/>
      <c r="J73"/>
    </row>
    <row r="74" spans="1:10" ht="15" x14ac:dyDescent="0.25">
      <c r="A74"/>
      <c r="B74"/>
      <c r="C74"/>
      <c r="D74"/>
      <c r="E74"/>
      <c r="F74"/>
      <c r="G74"/>
      <c r="H74"/>
      <c r="I74"/>
      <c r="J74"/>
    </row>
    <row r="75" spans="1:10" ht="15" x14ac:dyDescent="0.25">
      <c r="A75"/>
      <c r="B75"/>
      <c r="C75"/>
      <c r="D75"/>
      <c r="E75"/>
      <c r="F75"/>
      <c r="G75"/>
      <c r="H75"/>
      <c r="I75"/>
      <c r="J75"/>
    </row>
    <row r="76" spans="1:10" ht="15" x14ac:dyDescent="0.25">
      <c r="A76"/>
      <c r="B76"/>
      <c r="C76"/>
      <c r="D76"/>
      <c r="E76"/>
      <c r="F76"/>
      <c r="G76"/>
      <c r="H76"/>
      <c r="I76"/>
      <c r="J76"/>
    </row>
    <row r="77" spans="1:10" ht="15" x14ac:dyDescent="0.25">
      <c r="A77"/>
      <c r="B77"/>
      <c r="C77"/>
      <c r="D77"/>
      <c r="E77"/>
      <c r="F77"/>
      <c r="G77"/>
      <c r="H77"/>
      <c r="I77"/>
      <c r="J77"/>
    </row>
    <row r="78" spans="1:10" ht="15" x14ac:dyDescent="0.25">
      <c r="A78"/>
      <c r="B78"/>
      <c r="C78"/>
      <c r="D78"/>
      <c r="E78"/>
      <c r="F78"/>
      <c r="G78"/>
      <c r="H78"/>
      <c r="I78"/>
      <c r="J78"/>
    </row>
    <row r="79" spans="1:10" ht="15" x14ac:dyDescent="0.25">
      <c r="A79"/>
      <c r="B79"/>
      <c r="C79"/>
      <c r="D79"/>
      <c r="E79"/>
      <c r="F79"/>
      <c r="G79"/>
      <c r="H79"/>
      <c r="I79"/>
      <c r="J79"/>
    </row>
    <row r="80" spans="1:10" ht="15" x14ac:dyDescent="0.25">
      <c r="A80"/>
      <c r="B80"/>
      <c r="C80"/>
      <c r="D80"/>
      <c r="E80"/>
      <c r="F80"/>
      <c r="G80"/>
      <c r="H80"/>
      <c r="I80"/>
      <c r="J80"/>
    </row>
    <row r="81" spans="1:10" ht="15" x14ac:dyDescent="0.25">
      <c r="A81"/>
      <c r="B81"/>
      <c r="C81"/>
      <c r="D81"/>
      <c r="E81"/>
      <c r="F81"/>
      <c r="G81"/>
      <c r="H81"/>
      <c r="I81"/>
      <c r="J81"/>
    </row>
    <row r="82" spans="1:10" ht="15" x14ac:dyDescent="0.25">
      <c r="A82"/>
      <c r="B82"/>
      <c r="C82"/>
      <c r="D82"/>
      <c r="E82"/>
      <c r="F82"/>
      <c r="G82"/>
      <c r="H82"/>
      <c r="I82"/>
      <c r="J82"/>
    </row>
    <row r="83" spans="1:10" ht="15" x14ac:dyDescent="0.25">
      <c r="A83"/>
      <c r="B83"/>
      <c r="C83"/>
      <c r="D83"/>
      <c r="E83"/>
      <c r="F83"/>
      <c r="G83"/>
      <c r="H83"/>
      <c r="I83"/>
      <c r="J83"/>
    </row>
    <row r="84" spans="1:10" ht="15" x14ac:dyDescent="0.25">
      <c r="A84"/>
      <c r="B84"/>
      <c r="C84"/>
      <c r="D84"/>
      <c r="E84"/>
      <c r="F84"/>
      <c r="G84"/>
      <c r="H84"/>
      <c r="I84"/>
      <c r="J84"/>
    </row>
    <row r="85" spans="1:10" ht="15" x14ac:dyDescent="0.25">
      <c r="A85"/>
      <c r="B85"/>
      <c r="C85"/>
      <c r="D85"/>
      <c r="E85"/>
      <c r="F85"/>
      <c r="G85"/>
      <c r="H85"/>
      <c r="I85"/>
      <c r="J85"/>
    </row>
    <row r="86" spans="1:10" ht="15" x14ac:dyDescent="0.25">
      <c r="A86"/>
      <c r="B86"/>
      <c r="C86"/>
      <c r="D86"/>
      <c r="E86"/>
      <c r="F86"/>
      <c r="G86"/>
      <c r="H86"/>
      <c r="I86"/>
      <c r="J86"/>
    </row>
    <row r="87" spans="1:10" ht="15" x14ac:dyDescent="0.25">
      <c r="A87"/>
      <c r="B87"/>
      <c r="C87"/>
      <c r="D87"/>
      <c r="E87"/>
      <c r="F87"/>
      <c r="G87"/>
      <c r="H87"/>
      <c r="I87"/>
      <c r="J87"/>
    </row>
    <row r="88" spans="1:10" ht="15" x14ac:dyDescent="0.25">
      <c r="A88"/>
      <c r="B88"/>
      <c r="C88"/>
      <c r="D88"/>
      <c r="E88"/>
      <c r="F88"/>
      <c r="G88"/>
      <c r="H88"/>
      <c r="I88"/>
      <c r="J88"/>
    </row>
    <row r="89" spans="1:10" ht="15" x14ac:dyDescent="0.25">
      <c r="A89"/>
      <c r="B89"/>
      <c r="C89"/>
      <c r="D89"/>
      <c r="E89"/>
      <c r="F89"/>
      <c r="G89"/>
      <c r="H89"/>
      <c r="I89"/>
      <c r="J89"/>
    </row>
    <row r="90" spans="1:10" ht="15" x14ac:dyDescent="0.25">
      <c r="A90"/>
      <c r="B90"/>
      <c r="C90"/>
      <c r="D90"/>
      <c r="E90"/>
      <c r="F90"/>
      <c r="G90"/>
      <c r="H90"/>
      <c r="I90"/>
      <c r="J90"/>
    </row>
    <row r="91" spans="1:10" ht="15" x14ac:dyDescent="0.25">
      <c r="A91"/>
      <c r="B91"/>
      <c r="C91"/>
      <c r="D91"/>
      <c r="E91"/>
      <c r="F91"/>
      <c r="G91"/>
      <c r="H91"/>
      <c r="I91"/>
      <c r="J91"/>
    </row>
    <row r="92" spans="1:10" ht="15" x14ac:dyDescent="0.25">
      <c r="A92"/>
      <c r="B92"/>
      <c r="C92"/>
      <c r="D92"/>
      <c r="E92"/>
      <c r="F92"/>
      <c r="G92"/>
      <c r="H92"/>
      <c r="I92"/>
      <c r="J92"/>
    </row>
    <row r="93" spans="1:10" ht="15" x14ac:dyDescent="0.25">
      <c r="A93"/>
      <c r="B93"/>
      <c r="C93"/>
      <c r="D93"/>
      <c r="E93"/>
      <c r="F93"/>
      <c r="G93"/>
      <c r="H93"/>
      <c r="I93"/>
      <c r="J93"/>
    </row>
    <row r="94" spans="1:10" ht="15" x14ac:dyDescent="0.25">
      <c r="A94"/>
      <c r="B94"/>
      <c r="C94"/>
      <c r="D94"/>
      <c r="E94"/>
      <c r="F94"/>
      <c r="G94"/>
      <c r="H94"/>
      <c r="I94"/>
      <c r="J94"/>
    </row>
    <row r="95" spans="1:10" ht="15" x14ac:dyDescent="0.25">
      <c r="A95"/>
      <c r="B95"/>
      <c r="C95"/>
      <c r="D95"/>
      <c r="E95"/>
      <c r="F95"/>
      <c r="G95"/>
      <c r="H95"/>
      <c r="I95"/>
      <c r="J95"/>
    </row>
    <row r="96" spans="1:10" ht="15" x14ac:dyDescent="0.25">
      <c r="A96"/>
      <c r="B96"/>
      <c r="C96"/>
      <c r="D96"/>
      <c r="E96"/>
      <c r="F96"/>
      <c r="G96"/>
      <c r="H96"/>
      <c r="I96"/>
      <c r="J96"/>
    </row>
    <row r="97" spans="1:10" ht="15" x14ac:dyDescent="0.25">
      <c r="A97"/>
      <c r="B97"/>
      <c r="C97"/>
      <c r="D97"/>
      <c r="E97"/>
      <c r="F97"/>
      <c r="G97"/>
      <c r="H97"/>
      <c r="I97"/>
      <c r="J97"/>
    </row>
    <row r="98" spans="1:10" ht="15" x14ac:dyDescent="0.25">
      <c r="A98"/>
      <c r="B98"/>
      <c r="C98"/>
      <c r="D98"/>
      <c r="E98"/>
      <c r="F98"/>
      <c r="G98"/>
      <c r="H98"/>
      <c r="I98"/>
      <c r="J98"/>
    </row>
    <row r="99" spans="1:10" ht="15" x14ac:dyDescent="0.25">
      <c r="A99"/>
      <c r="B99"/>
      <c r="C99"/>
      <c r="D99"/>
      <c r="E99"/>
      <c r="F99"/>
      <c r="G99"/>
      <c r="H99"/>
      <c r="I99"/>
      <c r="J99"/>
    </row>
    <row r="100" spans="1:10" ht="15" x14ac:dyDescent="0.25">
      <c r="A100"/>
      <c r="B100"/>
      <c r="C100"/>
      <c r="D100"/>
      <c r="E100"/>
      <c r="F100"/>
      <c r="G100"/>
      <c r="H100"/>
      <c r="I100"/>
      <c r="J100"/>
    </row>
    <row r="101" spans="1:10" ht="15" x14ac:dyDescent="0.25">
      <c r="A101"/>
      <c r="B101"/>
      <c r="C101"/>
      <c r="D101"/>
      <c r="E101"/>
      <c r="F101"/>
      <c r="G101"/>
      <c r="H101"/>
      <c r="I101"/>
      <c r="J101"/>
    </row>
    <row r="102" spans="1:10" ht="15" x14ac:dyDescent="0.25">
      <c r="A102"/>
      <c r="B102"/>
      <c r="C102"/>
      <c r="D102"/>
      <c r="E102"/>
      <c r="F102"/>
      <c r="G102"/>
      <c r="H102"/>
      <c r="I102"/>
      <c r="J102"/>
    </row>
    <row r="103" spans="1:10" ht="15" x14ac:dyDescent="0.25">
      <c r="A103"/>
      <c r="B103"/>
      <c r="C103"/>
      <c r="D103"/>
      <c r="E103"/>
      <c r="F103"/>
      <c r="G103"/>
      <c r="H103"/>
      <c r="I103"/>
      <c r="J103"/>
    </row>
    <row r="104" spans="1:10" ht="15" x14ac:dyDescent="0.25">
      <c r="A104"/>
      <c r="B104"/>
      <c r="C104"/>
      <c r="D104"/>
      <c r="E104"/>
      <c r="F104"/>
      <c r="G104"/>
      <c r="H104"/>
      <c r="I104"/>
      <c r="J104"/>
    </row>
    <row r="105" spans="1:10" ht="15" x14ac:dyDescent="0.25">
      <c r="A105"/>
      <c r="B105"/>
      <c r="C105"/>
      <c r="D105"/>
      <c r="E105"/>
      <c r="F105"/>
      <c r="G105"/>
      <c r="H105"/>
      <c r="I105"/>
      <c r="J105"/>
    </row>
    <row r="106" spans="1:10" ht="15" x14ac:dyDescent="0.25">
      <c r="A106"/>
      <c r="B106"/>
      <c r="C106"/>
      <c r="D106"/>
      <c r="E106"/>
      <c r="F106"/>
      <c r="G106"/>
      <c r="H106"/>
      <c r="I106"/>
      <c r="J106"/>
    </row>
    <row r="107" spans="1:10" ht="15" x14ac:dyDescent="0.25">
      <c r="A107"/>
      <c r="B107"/>
      <c r="C107"/>
      <c r="D107"/>
      <c r="E107"/>
      <c r="F107"/>
      <c r="G107"/>
      <c r="H107"/>
      <c r="I107"/>
      <c r="J107"/>
    </row>
    <row r="108" spans="1:10" ht="15" x14ac:dyDescent="0.25">
      <c r="A108"/>
      <c r="B108"/>
      <c r="C108"/>
      <c r="D108"/>
      <c r="E108"/>
      <c r="F108"/>
      <c r="G108"/>
      <c r="H108"/>
      <c r="I108"/>
      <c r="J108"/>
    </row>
    <row r="109" spans="1:10" ht="15" x14ac:dyDescent="0.25">
      <c r="A109"/>
      <c r="B109"/>
      <c r="C109"/>
      <c r="D109"/>
      <c r="E109"/>
      <c r="F109"/>
      <c r="G109"/>
      <c r="H109"/>
      <c r="I109"/>
      <c r="J109"/>
    </row>
    <row r="110" spans="1:10" ht="15" x14ac:dyDescent="0.25">
      <c r="A110"/>
      <c r="B110"/>
      <c r="C110"/>
      <c r="D110"/>
      <c r="E110"/>
      <c r="F110"/>
      <c r="G110"/>
      <c r="H110"/>
      <c r="I110"/>
      <c r="J110"/>
    </row>
    <row r="111" spans="1:10" ht="15" x14ac:dyDescent="0.25">
      <c r="A111"/>
      <c r="B111"/>
      <c r="C111"/>
      <c r="D111"/>
      <c r="E111"/>
      <c r="F111"/>
      <c r="G111"/>
      <c r="H111"/>
      <c r="I111"/>
      <c r="J111"/>
    </row>
    <row r="112" spans="1:10" ht="15" x14ac:dyDescent="0.25">
      <c r="A112"/>
      <c r="B112"/>
      <c r="C112"/>
      <c r="D112"/>
      <c r="E112"/>
      <c r="F112"/>
      <c r="G112"/>
      <c r="H112"/>
      <c r="I112"/>
      <c r="J112"/>
    </row>
    <row r="113" spans="1:10" ht="15" x14ac:dyDescent="0.25">
      <c r="A113"/>
      <c r="B113"/>
      <c r="C113"/>
      <c r="D113"/>
      <c r="E113"/>
      <c r="F113"/>
      <c r="G113"/>
      <c r="H113"/>
      <c r="I113"/>
      <c r="J113"/>
    </row>
    <row r="114" spans="1:10" ht="15" x14ac:dyDescent="0.25">
      <c r="A114"/>
      <c r="B114"/>
      <c r="C114"/>
      <c r="D114"/>
      <c r="E114"/>
      <c r="F114"/>
      <c r="G114"/>
      <c r="H114"/>
      <c r="I114"/>
      <c r="J114"/>
    </row>
    <row r="115" spans="1:10" ht="15" x14ac:dyDescent="0.25">
      <c r="A115"/>
      <c r="B115"/>
      <c r="C115"/>
      <c r="D115"/>
      <c r="E115"/>
      <c r="F115"/>
      <c r="G115"/>
      <c r="H115"/>
      <c r="I115"/>
      <c r="J115"/>
    </row>
    <row r="116" spans="1:10" ht="15" x14ac:dyDescent="0.25">
      <c r="A116"/>
      <c r="B116"/>
      <c r="C116"/>
      <c r="D116"/>
      <c r="E116"/>
      <c r="F116"/>
      <c r="G116"/>
      <c r="H116"/>
      <c r="I116"/>
    </row>
    <row r="117" spans="1:10" ht="15" x14ac:dyDescent="0.25">
      <c r="A117"/>
      <c r="B117"/>
      <c r="C117"/>
      <c r="D117"/>
      <c r="E117"/>
      <c r="F117"/>
      <c r="G117"/>
      <c r="H117"/>
      <c r="I117"/>
    </row>
    <row r="118" spans="1:10" ht="15" x14ac:dyDescent="0.25">
      <c r="A118"/>
      <c r="B118"/>
      <c r="C118"/>
      <c r="D118"/>
      <c r="E118"/>
      <c r="F118"/>
      <c r="G118"/>
      <c r="H118"/>
      <c r="I118"/>
    </row>
    <row r="119" spans="1:10" ht="15" x14ac:dyDescent="0.25">
      <c r="A119"/>
      <c r="B119"/>
      <c r="C119"/>
      <c r="D119"/>
      <c r="E119"/>
      <c r="F119"/>
      <c r="G119"/>
      <c r="H119"/>
      <c r="I119"/>
    </row>
    <row r="120" spans="1:10" ht="15" x14ac:dyDescent="0.25">
      <c r="A120"/>
      <c r="B120"/>
      <c r="C120"/>
      <c r="D120"/>
      <c r="E120"/>
      <c r="F120"/>
      <c r="G120"/>
      <c r="H120"/>
      <c r="I120"/>
    </row>
    <row r="121" spans="1:10" ht="15" x14ac:dyDescent="0.25">
      <c r="A121"/>
      <c r="B121"/>
      <c r="C121"/>
      <c r="D121"/>
      <c r="E121"/>
      <c r="F121"/>
      <c r="G121"/>
      <c r="H121"/>
      <c r="I121"/>
    </row>
    <row r="122" spans="1:10" ht="15" x14ac:dyDescent="0.25">
      <c r="A122"/>
      <c r="B122"/>
      <c r="C122"/>
      <c r="D122"/>
      <c r="E122"/>
      <c r="F122"/>
      <c r="G122"/>
      <c r="H122"/>
      <c r="I122"/>
    </row>
    <row r="123" spans="1:10" ht="15" x14ac:dyDescent="0.25">
      <c r="A123"/>
      <c r="B123"/>
      <c r="C123"/>
      <c r="D123"/>
      <c r="E123"/>
      <c r="F123"/>
      <c r="G123"/>
      <c r="H123"/>
      <c r="I123"/>
    </row>
    <row r="124" spans="1:10" ht="15" x14ac:dyDescent="0.25">
      <c r="A124"/>
      <c r="B124"/>
      <c r="C124"/>
      <c r="D124"/>
      <c r="E124"/>
      <c r="F124"/>
      <c r="G124"/>
      <c r="H124"/>
      <c r="I124"/>
    </row>
    <row r="125" spans="1:10" ht="15" x14ac:dyDescent="0.25">
      <c r="A125"/>
      <c r="B125"/>
      <c r="C125"/>
      <c r="D125"/>
      <c r="E125"/>
      <c r="F125"/>
      <c r="G125"/>
      <c r="H125"/>
      <c r="I125"/>
    </row>
    <row r="126" spans="1:10" ht="15" x14ac:dyDescent="0.25">
      <c r="A126"/>
      <c r="B126"/>
      <c r="C126"/>
      <c r="D126"/>
      <c r="E126"/>
      <c r="F126"/>
      <c r="G126"/>
      <c r="H126"/>
      <c r="I126"/>
    </row>
    <row r="127" spans="1:10" ht="15" x14ac:dyDescent="0.25">
      <c r="A127"/>
      <c r="B127"/>
      <c r="C127"/>
      <c r="D127"/>
      <c r="E127"/>
      <c r="F127"/>
      <c r="G127"/>
      <c r="H127"/>
      <c r="I127"/>
    </row>
    <row r="128" spans="1:10" ht="15" x14ac:dyDescent="0.25">
      <c r="A128"/>
      <c r="B128"/>
      <c r="C128"/>
      <c r="D128"/>
      <c r="E128"/>
      <c r="F128"/>
      <c r="G128"/>
      <c r="H128"/>
      <c r="I128"/>
    </row>
    <row r="129" spans="1:9" ht="15" x14ac:dyDescent="0.25">
      <c r="A129"/>
      <c r="B129"/>
      <c r="C129"/>
      <c r="D129"/>
      <c r="E129"/>
      <c r="F129"/>
      <c r="G129"/>
      <c r="H129"/>
      <c r="I129"/>
    </row>
    <row r="130" spans="1:9" ht="15" x14ac:dyDescent="0.25">
      <c r="A130"/>
      <c r="B130"/>
      <c r="C130"/>
      <c r="D130"/>
      <c r="E130"/>
      <c r="F130"/>
      <c r="G130"/>
      <c r="H130"/>
      <c r="I130"/>
    </row>
    <row r="131" spans="1:9" ht="15" x14ac:dyDescent="0.25">
      <c r="A131"/>
      <c r="B131"/>
      <c r="C131"/>
      <c r="D131"/>
      <c r="E131"/>
      <c r="F131"/>
      <c r="G131"/>
      <c r="H131"/>
      <c r="I131"/>
    </row>
    <row r="132" spans="1:9" ht="15" x14ac:dyDescent="0.25">
      <c r="A132"/>
      <c r="B132"/>
      <c r="C132"/>
      <c r="D132"/>
      <c r="E132"/>
      <c r="F132"/>
      <c r="G132"/>
      <c r="H132"/>
      <c r="I132"/>
    </row>
    <row r="133" spans="1:9" ht="15" x14ac:dyDescent="0.25">
      <c r="A133"/>
      <c r="B133"/>
      <c r="C133"/>
      <c r="D133"/>
      <c r="E133"/>
      <c r="F133"/>
      <c r="G133"/>
      <c r="H133"/>
      <c r="I133"/>
    </row>
    <row r="134" spans="1:9" ht="15" x14ac:dyDescent="0.25">
      <c r="A134"/>
      <c r="B134"/>
      <c r="C134"/>
      <c r="D134"/>
      <c r="E134"/>
      <c r="F134"/>
      <c r="G134"/>
      <c r="H134"/>
      <c r="I134"/>
    </row>
    <row r="135" spans="1:9" ht="15" x14ac:dyDescent="0.25">
      <c r="A135"/>
      <c r="B135"/>
      <c r="C135"/>
      <c r="D135"/>
      <c r="E135"/>
      <c r="F135"/>
      <c r="G135"/>
      <c r="H135"/>
      <c r="I135"/>
    </row>
    <row r="136" spans="1:9" ht="15" x14ac:dyDescent="0.25">
      <c r="A136"/>
      <c r="B136"/>
      <c r="C136"/>
      <c r="D136"/>
      <c r="E136"/>
      <c r="F136"/>
      <c r="G136"/>
      <c r="H136"/>
      <c r="I136"/>
    </row>
    <row r="137" spans="1:9" ht="15" x14ac:dyDescent="0.25">
      <c r="A137"/>
      <c r="B137"/>
      <c r="C137"/>
      <c r="D137"/>
      <c r="E137"/>
      <c r="F137"/>
      <c r="G137"/>
      <c r="H137"/>
      <c r="I137"/>
    </row>
    <row r="138" spans="1:9" ht="15" x14ac:dyDescent="0.25">
      <c r="A138"/>
      <c r="B138"/>
      <c r="C138"/>
      <c r="D138"/>
      <c r="E138"/>
      <c r="F138"/>
      <c r="G138"/>
      <c r="H138"/>
      <c r="I138"/>
    </row>
    <row r="139" spans="1:9" ht="15" x14ac:dyDescent="0.25">
      <c r="A139"/>
      <c r="B139"/>
      <c r="C139"/>
      <c r="D139"/>
      <c r="E139"/>
      <c r="F139"/>
      <c r="G139"/>
      <c r="H139"/>
      <c r="I139"/>
    </row>
    <row r="140" spans="1:9" ht="15" x14ac:dyDescent="0.25">
      <c r="A140"/>
      <c r="B140"/>
      <c r="C140"/>
      <c r="D140"/>
      <c r="E140"/>
      <c r="F140"/>
      <c r="G140"/>
      <c r="H140"/>
      <c r="I140"/>
    </row>
    <row r="141" spans="1:9" ht="15" x14ac:dyDescent="0.25">
      <c r="A141"/>
      <c r="B141"/>
      <c r="C141"/>
      <c r="D141"/>
      <c r="E141"/>
      <c r="F141"/>
      <c r="G141"/>
      <c r="H141"/>
      <c r="I1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5" customHeight="1" x14ac:dyDescent="0.25"/>
  <cols>
    <col min="1" max="1" width="10.85546875" style="16" bestFit="1" customWidth="1"/>
    <col min="2" max="3" width="9.140625" style="16"/>
    <col min="4" max="13" width="9.42578125" style="16" bestFit="1" customWidth="1"/>
    <col min="14" max="14" width="11.140625" style="16" bestFit="1" customWidth="1"/>
    <col min="15" max="15" width="9.140625" style="16"/>
    <col min="16" max="16" width="10" style="28" customWidth="1"/>
    <col min="17" max="17" width="9.140625" style="28"/>
    <col min="18" max="22" width="9.140625" style="16"/>
    <col min="23" max="23" width="10.42578125" style="16" bestFit="1" customWidth="1"/>
    <col min="24" max="24" width="9.7109375" style="16" bestFit="1" customWidth="1"/>
    <col min="25" max="16384" width="9.140625" style="16"/>
  </cols>
  <sheetData>
    <row r="1" spans="1:24" ht="15" customHeight="1" x14ac:dyDescent="0.25">
      <c r="A1" s="22" t="s">
        <v>55</v>
      </c>
      <c r="B1" s="18" t="s">
        <v>36</v>
      </c>
      <c r="C1" s="19" t="s">
        <v>35</v>
      </c>
      <c r="D1" s="20" t="s">
        <v>44</v>
      </c>
      <c r="E1" s="19" t="s">
        <v>45</v>
      </c>
      <c r="F1" s="20" t="s">
        <v>46</v>
      </c>
      <c r="G1" s="19" t="s">
        <v>47</v>
      </c>
      <c r="H1" s="19" t="s">
        <v>48</v>
      </c>
      <c r="I1" s="21" t="s">
        <v>49</v>
      </c>
      <c r="J1" s="21" t="s">
        <v>50</v>
      </c>
      <c r="K1" s="19" t="s">
        <v>45</v>
      </c>
      <c r="L1" s="20" t="s">
        <v>46</v>
      </c>
      <c r="M1" s="19" t="s">
        <v>51</v>
      </c>
      <c r="N1" s="22" t="s">
        <v>52</v>
      </c>
      <c r="O1" s="22" t="s">
        <v>53</v>
      </c>
      <c r="P1" s="22" t="s">
        <v>54</v>
      </c>
      <c r="Q1" s="22" t="s">
        <v>71</v>
      </c>
      <c r="S1" s="16">
        <f>7567*0.985</f>
        <v>7453.4949999999999</v>
      </c>
    </row>
    <row r="2" spans="1:24" ht="15" customHeight="1" x14ac:dyDescent="0.25">
      <c r="A2" s="23">
        <v>42401</v>
      </c>
      <c r="B2" s="22">
        <f t="shared" ref="B2:B65" si="0">WEEKNUM(A2)</f>
        <v>6</v>
      </c>
      <c r="C2" s="22">
        <f t="shared" ref="C2:C65" si="1">MONTH(A2)</f>
        <v>2</v>
      </c>
      <c r="D2" s="27">
        <v>67.849999999999994</v>
      </c>
      <c r="E2" s="24">
        <v>340</v>
      </c>
      <c r="F2" s="25">
        <v>340</v>
      </c>
      <c r="G2" s="25">
        <v>400</v>
      </c>
      <c r="H2" s="25">
        <v>430</v>
      </c>
      <c r="I2" s="25">
        <v>430</v>
      </c>
      <c r="J2" s="25">
        <v>513</v>
      </c>
      <c r="K2" s="26">
        <f t="shared" ref="K2:K65" si="2">E2*1.02*1.125+32</f>
        <v>422.15000000000003</v>
      </c>
      <c r="L2" s="26">
        <f t="shared" ref="L2:L65" si="3">F2*1.02*1.125+32</f>
        <v>422.15000000000003</v>
      </c>
      <c r="M2" s="26">
        <v>880</v>
      </c>
      <c r="N2" s="26">
        <f t="shared" ref="N2:N65" si="4">(M2+25+45)*D2*(1+12.5%*1.03)+4400</f>
        <v>77156.403124999983</v>
      </c>
      <c r="O2" s="26">
        <f t="shared" ref="O2:O33" si="5">VLOOKUP(A2,$W$2:$X$502,2,FALSE)</f>
        <v>7433</v>
      </c>
      <c r="P2" s="26">
        <f t="shared" ref="P2:P65" si="6">((0.985*O2*(1+$R$2)*(1+$R$3)+$R$4*10)*(1+$R$5)*(1+$R$6)+$R$7)*(1+$R$9)*10+$S$8</f>
        <v>84900.685605203471</v>
      </c>
      <c r="Q2" s="26">
        <f t="shared" ref="Q2:Q65" si="7">(M2-300+35)*D2*1.1739+4400</f>
        <v>53384.205725</v>
      </c>
      <c r="R2" s="29">
        <v>0.01</v>
      </c>
      <c r="S2" s="32">
        <f>S1*R2</f>
        <v>74.534949999999995</v>
      </c>
      <c r="W2" s="23">
        <v>42370</v>
      </c>
      <c r="X2" s="32">
        <v>8167</v>
      </c>
    </row>
    <row r="3" spans="1:24" ht="15" customHeight="1" x14ac:dyDescent="0.25">
      <c r="A3" s="23">
        <v>42402</v>
      </c>
      <c r="B3" s="22">
        <f t="shared" si="0"/>
        <v>6</v>
      </c>
      <c r="C3" s="22">
        <f t="shared" si="1"/>
        <v>2</v>
      </c>
      <c r="D3" s="27">
        <v>67.98</v>
      </c>
      <c r="E3" s="24">
        <v>345</v>
      </c>
      <c r="F3" s="25">
        <v>340</v>
      </c>
      <c r="G3" s="25">
        <v>405</v>
      </c>
      <c r="H3" s="25">
        <v>430</v>
      </c>
      <c r="I3" s="25">
        <v>430</v>
      </c>
      <c r="J3" s="25">
        <v>519</v>
      </c>
      <c r="K3" s="26">
        <f t="shared" si="2"/>
        <v>427.88750000000005</v>
      </c>
      <c r="L3" s="26">
        <f t="shared" si="3"/>
        <v>422.15000000000003</v>
      </c>
      <c r="M3" s="26">
        <v>880</v>
      </c>
      <c r="N3" s="26">
        <f t="shared" si="4"/>
        <v>77295.803750000006</v>
      </c>
      <c r="O3" s="26">
        <f t="shared" si="5"/>
        <v>7300</v>
      </c>
      <c r="P3" s="26">
        <f t="shared" si="6"/>
        <v>83523.670539361628</v>
      </c>
      <c r="Q3" s="26">
        <f t="shared" si="7"/>
        <v>53478.059030000004</v>
      </c>
      <c r="R3" s="29">
        <v>0.02</v>
      </c>
      <c r="S3" s="16">
        <f>(S2+S1)*R3</f>
        <v>150.560599</v>
      </c>
      <c r="W3" s="23">
        <v>42371</v>
      </c>
      <c r="X3" s="32">
        <v>7967</v>
      </c>
    </row>
    <row r="4" spans="1:24" ht="15" customHeight="1" x14ac:dyDescent="0.25">
      <c r="A4" s="23">
        <v>42403</v>
      </c>
      <c r="B4" s="22">
        <f t="shared" si="0"/>
        <v>6</v>
      </c>
      <c r="C4" s="22">
        <f t="shared" si="1"/>
        <v>2</v>
      </c>
      <c r="D4" s="27">
        <v>68.08</v>
      </c>
      <c r="E4" s="24">
        <v>350</v>
      </c>
      <c r="F4" s="25">
        <v>345</v>
      </c>
      <c r="G4" s="25">
        <v>410</v>
      </c>
      <c r="H4" s="25">
        <v>440</v>
      </c>
      <c r="I4" s="25">
        <v>430</v>
      </c>
      <c r="J4" s="25">
        <v>513</v>
      </c>
      <c r="K4" s="26">
        <f t="shared" si="2"/>
        <v>433.625</v>
      </c>
      <c r="L4" s="26">
        <f t="shared" si="3"/>
        <v>427.88750000000005</v>
      </c>
      <c r="M4" s="26">
        <v>880</v>
      </c>
      <c r="N4" s="26">
        <f t="shared" si="4"/>
        <v>77403.034999999989</v>
      </c>
      <c r="O4" s="26">
        <f t="shared" si="5"/>
        <v>7233</v>
      </c>
      <c r="P4" s="26">
        <f t="shared" si="6"/>
        <v>82829.98625807291</v>
      </c>
      <c r="Q4" s="26">
        <f t="shared" si="7"/>
        <v>53550.253879999997</v>
      </c>
      <c r="R4" s="16">
        <v>68</v>
      </c>
      <c r="S4" s="32">
        <f>S1+S3+S2+R4*10</f>
        <v>8358.5905490000005</v>
      </c>
      <c r="W4" s="23">
        <v>42372</v>
      </c>
      <c r="X4" s="32">
        <v>7967</v>
      </c>
    </row>
    <row r="5" spans="1:24" ht="15" customHeight="1" x14ac:dyDescent="0.25">
      <c r="A5" s="23">
        <v>42404</v>
      </c>
      <c r="B5" s="22">
        <f t="shared" si="0"/>
        <v>6</v>
      </c>
      <c r="C5" s="22">
        <f t="shared" si="1"/>
        <v>2</v>
      </c>
      <c r="D5" s="27">
        <v>67.540000000000006</v>
      </c>
      <c r="E5" s="24">
        <v>355</v>
      </c>
      <c r="F5" s="25">
        <v>350</v>
      </c>
      <c r="G5" s="25">
        <v>405</v>
      </c>
      <c r="H5" s="25">
        <v>430</v>
      </c>
      <c r="I5" s="25">
        <v>435</v>
      </c>
      <c r="J5" s="25">
        <v>519</v>
      </c>
      <c r="K5" s="26">
        <f t="shared" si="2"/>
        <v>439.36250000000001</v>
      </c>
      <c r="L5" s="26">
        <f t="shared" si="3"/>
        <v>433.625</v>
      </c>
      <c r="M5" s="26">
        <v>880</v>
      </c>
      <c r="N5" s="26">
        <f t="shared" si="4"/>
        <v>76823.986250000002</v>
      </c>
      <c r="O5" s="26">
        <f t="shared" si="5"/>
        <v>7233</v>
      </c>
      <c r="P5" s="26">
        <f t="shared" si="6"/>
        <v>82829.98625807291</v>
      </c>
      <c r="Q5" s="26">
        <f t="shared" si="7"/>
        <v>53160.401690000006</v>
      </c>
      <c r="R5" s="30">
        <v>8.0000000000000004E-4</v>
      </c>
      <c r="S5" s="32">
        <f>S4*R5</f>
        <v>6.686872439200001</v>
      </c>
      <c r="W5" s="23">
        <v>42373</v>
      </c>
      <c r="X5" s="32">
        <v>7567</v>
      </c>
    </row>
    <row r="6" spans="1:24" ht="15" customHeight="1" x14ac:dyDescent="0.25">
      <c r="A6" s="23">
        <v>42405</v>
      </c>
      <c r="B6" s="22">
        <f t="shared" si="0"/>
        <v>6</v>
      </c>
      <c r="C6" s="22">
        <f t="shared" si="1"/>
        <v>2</v>
      </c>
      <c r="D6" s="27">
        <v>67.66</v>
      </c>
      <c r="E6" s="24">
        <v>360</v>
      </c>
      <c r="F6" s="25">
        <v>350</v>
      </c>
      <c r="G6" s="25">
        <v>425</v>
      </c>
      <c r="H6" s="25">
        <v>440</v>
      </c>
      <c r="I6" s="25">
        <v>435</v>
      </c>
      <c r="J6" s="25">
        <v>524</v>
      </c>
      <c r="K6" s="26">
        <f t="shared" si="2"/>
        <v>445.09999999999997</v>
      </c>
      <c r="L6" s="26">
        <f t="shared" si="3"/>
        <v>433.625</v>
      </c>
      <c r="M6" s="26">
        <v>920</v>
      </c>
      <c r="N6" s="26">
        <f t="shared" si="4"/>
        <v>80007.512749999994</v>
      </c>
      <c r="O6" s="26">
        <f t="shared" si="5"/>
        <v>7367</v>
      </c>
      <c r="P6" s="26">
        <f t="shared" si="6"/>
        <v>84217.354820650362</v>
      </c>
      <c r="Q6" s="26">
        <f t="shared" si="7"/>
        <v>56424.078469999993</v>
      </c>
      <c r="R6" s="30">
        <v>3.0000000000000001E-3</v>
      </c>
      <c r="S6" s="16">
        <f>(S4+S5)*R6</f>
        <v>25.095832264317604</v>
      </c>
      <c r="W6" s="23">
        <v>42374</v>
      </c>
      <c r="X6" s="32">
        <v>7567</v>
      </c>
    </row>
    <row r="7" spans="1:24" ht="15" customHeight="1" x14ac:dyDescent="0.25">
      <c r="A7" s="23">
        <v>42408</v>
      </c>
      <c r="B7" s="22">
        <f t="shared" si="0"/>
        <v>7</v>
      </c>
      <c r="C7" s="22">
        <f t="shared" si="1"/>
        <v>2</v>
      </c>
      <c r="D7" s="27">
        <v>67.94</v>
      </c>
      <c r="E7" s="24">
        <v>365</v>
      </c>
      <c r="F7" s="25">
        <v>365</v>
      </c>
      <c r="G7" s="25">
        <v>425</v>
      </c>
      <c r="H7" s="25">
        <v>440</v>
      </c>
      <c r="I7" s="25">
        <v>435</v>
      </c>
      <c r="J7" s="25">
        <v>524</v>
      </c>
      <c r="K7" s="26">
        <f t="shared" si="2"/>
        <v>450.83750000000003</v>
      </c>
      <c r="L7" s="26">
        <f t="shared" si="3"/>
        <v>450.83750000000003</v>
      </c>
      <c r="M7" s="26">
        <v>920</v>
      </c>
      <c r="N7" s="26">
        <f t="shared" si="4"/>
        <v>80320.402249999985</v>
      </c>
      <c r="O7" s="26">
        <f t="shared" si="5"/>
        <v>7300</v>
      </c>
      <c r="P7" s="26">
        <f t="shared" si="6"/>
        <v>83523.670539361628</v>
      </c>
      <c r="Q7" s="26">
        <f t="shared" si="7"/>
        <v>56639.371729999992</v>
      </c>
      <c r="R7" s="16">
        <v>0.5</v>
      </c>
      <c r="S7" s="16">
        <f>R7</f>
        <v>0.5</v>
      </c>
      <c r="W7" s="23">
        <v>42375</v>
      </c>
      <c r="X7" s="32">
        <v>7700</v>
      </c>
    </row>
    <row r="8" spans="1:24" ht="15" customHeight="1" x14ac:dyDescent="0.25">
      <c r="A8" s="23">
        <v>42409</v>
      </c>
      <c r="B8" s="22">
        <f t="shared" si="0"/>
        <v>7</v>
      </c>
      <c r="C8" s="22">
        <f t="shared" si="1"/>
        <v>2</v>
      </c>
      <c r="D8" s="27">
        <v>67.91</v>
      </c>
      <c r="E8" s="24">
        <v>360</v>
      </c>
      <c r="F8" s="25">
        <v>360</v>
      </c>
      <c r="G8" s="25">
        <v>435</v>
      </c>
      <c r="H8" s="25">
        <v>450</v>
      </c>
      <c r="I8" s="25">
        <v>435</v>
      </c>
      <c r="J8" s="25">
        <v>534</v>
      </c>
      <c r="K8" s="26">
        <f t="shared" si="2"/>
        <v>445.09999999999997</v>
      </c>
      <c r="L8" s="26">
        <f t="shared" si="3"/>
        <v>445.09999999999997</v>
      </c>
      <c r="M8" s="26">
        <v>925</v>
      </c>
      <c r="N8" s="26">
        <f t="shared" si="4"/>
        <v>80670.145437499988</v>
      </c>
      <c r="O8" s="26">
        <f t="shared" si="5"/>
        <v>7433</v>
      </c>
      <c r="P8" s="26">
        <f t="shared" si="6"/>
        <v>84900.685605203471</v>
      </c>
      <c r="Q8" s="26">
        <f t="shared" si="7"/>
        <v>57014.902339999993</v>
      </c>
      <c r="R8" s="33">
        <v>1000</v>
      </c>
      <c r="S8" s="32">
        <f>R8</f>
        <v>1000</v>
      </c>
      <c r="W8" s="23">
        <v>42376</v>
      </c>
      <c r="X8" s="32">
        <v>7967</v>
      </c>
    </row>
    <row r="9" spans="1:24" ht="15" customHeight="1" x14ac:dyDescent="0.25">
      <c r="A9" s="23">
        <v>42410</v>
      </c>
      <c r="B9" s="22">
        <f t="shared" si="0"/>
        <v>7</v>
      </c>
      <c r="C9" s="22">
        <f t="shared" si="1"/>
        <v>2</v>
      </c>
      <c r="D9" s="27">
        <v>67.849999999999994</v>
      </c>
      <c r="E9" s="24">
        <v>360</v>
      </c>
      <c r="F9" s="25">
        <v>360</v>
      </c>
      <c r="G9" s="25">
        <v>435</v>
      </c>
      <c r="H9" s="25">
        <v>450</v>
      </c>
      <c r="I9" s="25">
        <v>435</v>
      </c>
      <c r="J9" s="25">
        <v>534</v>
      </c>
      <c r="K9" s="26">
        <f t="shared" si="2"/>
        <v>445.09999999999997</v>
      </c>
      <c r="L9" s="26">
        <f t="shared" si="3"/>
        <v>445.09999999999997</v>
      </c>
      <c r="M9" s="26">
        <v>925</v>
      </c>
      <c r="N9" s="26">
        <f t="shared" si="4"/>
        <v>80602.759062500001</v>
      </c>
      <c r="O9" s="26">
        <f t="shared" si="5"/>
        <v>7500</v>
      </c>
      <c r="P9" s="26">
        <f t="shared" si="6"/>
        <v>85594.369886492204</v>
      </c>
      <c r="Q9" s="26">
        <f t="shared" si="7"/>
        <v>56968.415899999985</v>
      </c>
      <c r="R9" s="16">
        <f>40*15%/365</f>
        <v>1.643835616438356E-2</v>
      </c>
      <c r="S9" s="32">
        <f>SUM(S4:S8)*R9</f>
        <v>154.37051923896195</v>
      </c>
      <c r="W9" s="23">
        <v>42377</v>
      </c>
      <c r="X9" s="32">
        <v>7967</v>
      </c>
    </row>
    <row r="10" spans="1:24" ht="15" customHeight="1" x14ac:dyDescent="0.25">
      <c r="A10" s="23">
        <v>42411</v>
      </c>
      <c r="B10" s="22">
        <f t="shared" si="0"/>
        <v>7</v>
      </c>
      <c r="C10" s="22">
        <f t="shared" si="1"/>
        <v>2</v>
      </c>
      <c r="D10" s="27">
        <v>68.31</v>
      </c>
      <c r="E10" s="24">
        <v>385</v>
      </c>
      <c r="F10" s="25">
        <v>370</v>
      </c>
      <c r="G10" s="25">
        <v>435</v>
      </c>
      <c r="H10" s="25">
        <v>455</v>
      </c>
      <c r="I10" s="25">
        <v>440</v>
      </c>
      <c r="J10" s="25">
        <v>544</v>
      </c>
      <c r="K10" s="26">
        <f t="shared" si="2"/>
        <v>473.78749999999997</v>
      </c>
      <c r="L10" s="26">
        <f t="shared" si="3"/>
        <v>456.57500000000005</v>
      </c>
      <c r="M10" s="26">
        <v>950</v>
      </c>
      <c r="N10" s="26">
        <f t="shared" si="4"/>
        <v>83047.010749999987</v>
      </c>
      <c r="O10" s="26">
        <f t="shared" si="5"/>
        <v>7767</v>
      </c>
      <c r="P10" s="26">
        <f t="shared" si="6"/>
        <v>88358.753514911528</v>
      </c>
      <c r="Q10" s="26">
        <f t="shared" si="7"/>
        <v>59329.539664999997</v>
      </c>
      <c r="S10" s="32">
        <f>SUM(S4:S9)</f>
        <v>9545.2437729424819</v>
      </c>
      <c r="W10" s="23">
        <v>42378</v>
      </c>
      <c r="X10" s="32">
        <v>7967</v>
      </c>
    </row>
    <row r="11" spans="1:24" ht="15" customHeight="1" x14ac:dyDescent="0.25">
      <c r="A11" s="23">
        <v>42412</v>
      </c>
      <c r="B11" s="22">
        <f t="shared" si="0"/>
        <v>7</v>
      </c>
      <c r="C11" s="22">
        <f t="shared" si="1"/>
        <v>2</v>
      </c>
      <c r="D11" s="27">
        <v>68.23</v>
      </c>
      <c r="E11" s="24">
        <v>400</v>
      </c>
      <c r="F11" s="25">
        <v>385</v>
      </c>
      <c r="G11" s="25">
        <v>450</v>
      </c>
      <c r="H11" s="25">
        <v>495</v>
      </c>
      <c r="I11" s="25">
        <v>440</v>
      </c>
      <c r="J11" s="25">
        <v>554</v>
      </c>
      <c r="K11" s="26">
        <f t="shared" si="2"/>
        <v>491</v>
      </c>
      <c r="L11" s="26">
        <f t="shared" si="3"/>
        <v>473.78749999999997</v>
      </c>
      <c r="M11" s="26">
        <v>975</v>
      </c>
      <c r="N11" s="26">
        <f t="shared" si="4"/>
        <v>84880.2700625</v>
      </c>
      <c r="O11" s="26">
        <f t="shared" si="5"/>
        <v>7567</v>
      </c>
      <c r="P11" s="26">
        <f t="shared" si="6"/>
        <v>86288.054167780938</v>
      </c>
      <c r="Q11" s="26">
        <f t="shared" si="7"/>
        <v>61267.589870000003</v>
      </c>
      <c r="W11" s="23">
        <v>42379</v>
      </c>
      <c r="X11" s="32">
        <v>7967</v>
      </c>
    </row>
    <row r="12" spans="1:24" ht="15" customHeight="1" x14ac:dyDescent="0.25">
      <c r="A12" s="23">
        <v>42415</v>
      </c>
      <c r="B12" s="22">
        <f t="shared" si="0"/>
        <v>8</v>
      </c>
      <c r="C12" s="22">
        <f t="shared" si="1"/>
        <v>2</v>
      </c>
      <c r="D12" s="27">
        <v>68.06</v>
      </c>
      <c r="E12" s="24">
        <v>395</v>
      </c>
      <c r="F12" s="25">
        <v>380</v>
      </c>
      <c r="G12" s="25">
        <v>450</v>
      </c>
      <c r="H12" s="25">
        <v>495</v>
      </c>
      <c r="I12" s="25">
        <v>440</v>
      </c>
      <c r="J12" s="25">
        <v>534</v>
      </c>
      <c r="K12" s="26">
        <f t="shared" si="2"/>
        <v>485.26250000000005</v>
      </c>
      <c r="L12" s="26">
        <f t="shared" si="3"/>
        <v>468.05</v>
      </c>
      <c r="M12" s="26">
        <v>978</v>
      </c>
      <c r="N12" s="26">
        <f t="shared" si="4"/>
        <v>84910.215800000005</v>
      </c>
      <c r="O12" s="26">
        <f t="shared" si="5"/>
        <v>7500</v>
      </c>
      <c r="P12" s="26">
        <f t="shared" si="6"/>
        <v>85594.369886492204</v>
      </c>
      <c r="Q12" s="26">
        <f t="shared" si="7"/>
        <v>61365.587041999999</v>
      </c>
      <c r="W12" s="23">
        <v>42380</v>
      </c>
      <c r="X12" s="32">
        <v>7900</v>
      </c>
    </row>
    <row r="13" spans="1:24" ht="15" customHeight="1" x14ac:dyDescent="0.25">
      <c r="A13" s="23">
        <v>42417</v>
      </c>
      <c r="B13" s="22">
        <f t="shared" si="0"/>
        <v>8</v>
      </c>
      <c r="C13" s="22">
        <f t="shared" si="1"/>
        <v>2</v>
      </c>
      <c r="D13" s="27">
        <v>68.47</v>
      </c>
      <c r="E13" s="24">
        <v>400</v>
      </c>
      <c r="F13" s="25">
        <v>390</v>
      </c>
      <c r="G13" s="25">
        <v>460</v>
      </c>
      <c r="H13" s="25">
        <v>500</v>
      </c>
      <c r="I13" s="25">
        <v>440</v>
      </c>
      <c r="J13" s="25">
        <v>544</v>
      </c>
      <c r="K13" s="26">
        <f t="shared" si="2"/>
        <v>491</v>
      </c>
      <c r="L13" s="26">
        <f t="shared" si="3"/>
        <v>479.52500000000003</v>
      </c>
      <c r="M13" s="26">
        <v>970</v>
      </c>
      <c r="N13" s="26">
        <f t="shared" si="4"/>
        <v>84776.933000000005</v>
      </c>
      <c r="O13" s="26">
        <f t="shared" si="5"/>
        <v>7567</v>
      </c>
      <c r="P13" s="26">
        <f t="shared" si="6"/>
        <v>86288.054167780938</v>
      </c>
      <c r="Q13" s="26">
        <f t="shared" si="7"/>
        <v>61065.737764999998</v>
      </c>
      <c r="W13" s="23">
        <v>42381</v>
      </c>
      <c r="X13" s="32">
        <v>7900</v>
      </c>
    </row>
    <row r="14" spans="1:24" ht="15" customHeight="1" x14ac:dyDescent="0.25">
      <c r="A14" s="23">
        <v>42418</v>
      </c>
      <c r="B14" s="22">
        <f t="shared" si="0"/>
        <v>8</v>
      </c>
      <c r="C14" s="22">
        <f t="shared" si="1"/>
        <v>2</v>
      </c>
      <c r="D14" s="27">
        <v>68.47</v>
      </c>
      <c r="E14" s="24">
        <v>400</v>
      </c>
      <c r="F14" s="25">
        <v>400</v>
      </c>
      <c r="G14" s="25">
        <v>460</v>
      </c>
      <c r="H14" s="25">
        <v>500</v>
      </c>
      <c r="I14" s="25">
        <v>440</v>
      </c>
      <c r="J14" s="25">
        <v>544</v>
      </c>
      <c r="K14" s="26">
        <f t="shared" si="2"/>
        <v>491</v>
      </c>
      <c r="L14" s="26">
        <f t="shared" si="3"/>
        <v>491</v>
      </c>
      <c r="M14" s="26">
        <v>970</v>
      </c>
      <c r="N14" s="26">
        <f t="shared" si="4"/>
        <v>84776.933000000005</v>
      </c>
      <c r="O14" s="26">
        <f t="shared" si="5"/>
        <v>7633</v>
      </c>
      <c r="P14" s="26">
        <f t="shared" si="6"/>
        <v>86971.384952334032</v>
      </c>
      <c r="Q14" s="26">
        <f t="shared" si="7"/>
        <v>61065.737764999998</v>
      </c>
      <c r="W14" s="23">
        <v>42382</v>
      </c>
      <c r="X14" s="32">
        <v>7900</v>
      </c>
    </row>
    <row r="15" spans="1:24" ht="15" customHeight="1" x14ac:dyDescent="0.25">
      <c r="A15" s="23">
        <v>42419</v>
      </c>
      <c r="B15" s="22">
        <f t="shared" si="0"/>
        <v>8</v>
      </c>
      <c r="C15" s="22">
        <f t="shared" si="1"/>
        <v>2</v>
      </c>
      <c r="D15" s="27">
        <v>68.459999999999994</v>
      </c>
      <c r="E15" s="24">
        <v>400</v>
      </c>
      <c r="F15" s="25">
        <v>400</v>
      </c>
      <c r="G15" s="25">
        <v>475</v>
      </c>
      <c r="H15" s="25">
        <v>505</v>
      </c>
      <c r="I15" s="25">
        <v>440</v>
      </c>
      <c r="J15" s="25">
        <v>544</v>
      </c>
      <c r="K15" s="26">
        <f t="shared" si="2"/>
        <v>491</v>
      </c>
      <c r="L15" s="26">
        <f t="shared" si="3"/>
        <v>491</v>
      </c>
      <c r="M15" s="26">
        <v>970</v>
      </c>
      <c r="N15" s="26">
        <f t="shared" si="4"/>
        <v>84765.193999999989</v>
      </c>
      <c r="O15" s="26">
        <f t="shared" si="5"/>
        <v>7833</v>
      </c>
      <c r="P15" s="26">
        <f t="shared" si="6"/>
        <v>89042.084299464594</v>
      </c>
      <c r="Q15" s="26">
        <f t="shared" si="7"/>
        <v>61057.461769999994</v>
      </c>
      <c r="W15" s="23">
        <v>42383</v>
      </c>
      <c r="X15" s="32">
        <v>8033</v>
      </c>
    </row>
    <row r="16" spans="1:24" ht="15" customHeight="1" x14ac:dyDescent="0.25">
      <c r="A16" s="23">
        <v>42422</v>
      </c>
      <c r="B16" s="22">
        <f t="shared" si="0"/>
        <v>9</v>
      </c>
      <c r="C16" s="22">
        <f t="shared" si="1"/>
        <v>2</v>
      </c>
      <c r="D16" s="27">
        <v>68.61</v>
      </c>
      <c r="E16" s="24">
        <v>410</v>
      </c>
      <c r="F16" s="25">
        <v>400</v>
      </c>
      <c r="G16" s="25">
        <v>480</v>
      </c>
      <c r="H16" s="25">
        <v>505</v>
      </c>
      <c r="I16" s="25">
        <v>445</v>
      </c>
      <c r="J16" s="25">
        <v>539</v>
      </c>
      <c r="K16" s="26">
        <f t="shared" si="2"/>
        <v>502.47499999999997</v>
      </c>
      <c r="L16" s="26">
        <f t="shared" si="3"/>
        <v>491</v>
      </c>
      <c r="M16" s="26">
        <v>970</v>
      </c>
      <c r="N16" s="26">
        <f t="shared" si="4"/>
        <v>84941.278999999995</v>
      </c>
      <c r="O16" s="26">
        <f t="shared" si="5"/>
        <v>7833</v>
      </c>
      <c r="P16" s="26">
        <f t="shared" si="6"/>
        <v>89042.084299464594</v>
      </c>
      <c r="Q16" s="26">
        <f t="shared" si="7"/>
        <v>61181.601694999998</v>
      </c>
      <c r="W16" s="23">
        <v>42384</v>
      </c>
      <c r="X16" s="32">
        <v>8033</v>
      </c>
    </row>
    <row r="17" spans="1:24" ht="15" customHeight="1" x14ac:dyDescent="0.25">
      <c r="A17" s="23">
        <v>42423</v>
      </c>
      <c r="B17" s="22">
        <f t="shared" si="0"/>
        <v>9</v>
      </c>
      <c r="C17" s="22">
        <f t="shared" si="1"/>
        <v>2</v>
      </c>
      <c r="D17" s="27">
        <v>68.569999999999993</v>
      </c>
      <c r="E17" s="24">
        <v>415</v>
      </c>
      <c r="F17" s="25">
        <v>415</v>
      </c>
      <c r="G17" s="25">
        <v>470</v>
      </c>
      <c r="H17" s="25">
        <v>495</v>
      </c>
      <c r="I17" s="25">
        <v>445</v>
      </c>
      <c r="J17" s="25">
        <v>539</v>
      </c>
      <c r="K17" s="26">
        <f t="shared" si="2"/>
        <v>508.21250000000003</v>
      </c>
      <c r="L17" s="26">
        <f t="shared" si="3"/>
        <v>508.21250000000003</v>
      </c>
      <c r="M17" s="26">
        <v>990</v>
      </c>
      <c r="N17" s="26">
        <f t="shared" si="4"/>
        <v>86442.290749999986</v>
      </c>
      <c r="O17" s="26">
        <f t="shared" si="5"/>
        <v>7967</v>
      </c>
      <c r="P17" s="26">
        <f t="shared" si="6"/>
        <v>90429.452862042075</v>
      </c>
      <c r="Q17" s="26">
        <f t="shared" si="7"/>
        <v>62758.384174999992</v>
      </c>
      <c r="W17" s="23">
        <v>42385</v>
      </c>
      <c r="X17" s="32">
        <v>8033</v>
      </c>
    </row>
    <row r="18" spans="1:24" ht="15" customHeight="1" x14ac:dyDescent="0.25">
      <c r="A18" s="23">
        <v>42424</v>
      </c>
      <c r="B18" s="22">
        <f t="shared" si="0"/>
        <v>9</v>
      </c>
      <c r="C18" s="22">
        <f t="shared" si="1"/>
        <v>2</v>
      </c>
      <c r="D18" s="27">
        <v>68.56</v>
      </c>
      <c r="E18" s="24">
        <v>395</v>
      </c>
      <c r="F18" s="25">
        <v>400</v>
      </c>
      <c r="G18" s="25">
        <v>475</v>
      </c>
      <c r="H18" s="25">
        <v>490</v>
      </c>
      <c r="I18" s="25">
        <v>445</v>
      </c>
      <c r="J18" s="25">
        <v>539</v>
      </c>
      <c r="K18" s="26">
        <f t="shared" si="2"/>
        <v>485.26250000000005</v>
      </c>
      <c r="L18" s="26">
        <f t="shared" si="3"/>
        <v>491</v>
      </c>
      <c r="M18" s="26">
        <v>990</v>
      </c>
      <c r="N18" s="26">
        <f t="shared" si="4"/>
        <v>86430.326000000001</v>
      </c>
      <c r="O18" s="26">
        <f t="shared" si="5"/>
        <v>8167</v>
      </c>
      <c r="P18" s="26">
        <f t="shared" si="6"/>
        <v>92500.152209172637</v>
      </c>
      <c r="Q18" s="26">
        <f t="shared" si="7"/>
        <v>62749.873399999997</v>
      </c>
      <c r="W18" s="23">
        <v>42386</v>
      </c>
      <c r="X18" s="32">
        <v>8033</v>
      </c>
    </row>
    <row r="19" spans="1:24" ht="15" customHeight="1" x14ac:dyDescent="0.25">
      <c r="A19" s="23">
        <v>42425</v>
      </c>
      <c r="B19" s="22">
        <f t="shared" si="0"/>
        <v>9</v>
      </c>
      <c r="C19" s="22">
        <f t="shared" si="1"/>
        <v>2</v>
      </c>
      <c r="D19" s="27">
        <v>68.709999999999994</v>
      </c>
      <c r="E19" s="24">
        <v>400</v>
      </c>
      <c r="F19" s="25">
        <v>400</v>
      </c>
      <c r="G19" s="25">
        <v>475</v>
      </c>
      <c r="H19" s="25">
        <v>490</v>
      </c>
      <c r="I19" s="25">
        <v>445</v>
      </c>
      <c r="J19" s="25">
        <v>539</v>
      </c>
      <c r="K19" s="26">
        <f t="shared" si="2"/>
        <v>491</v>
      </c>
      <c r="L19" s="26">
        <f t="shared" si="3"/>
        <v>491</v>
      </c>
      <c r="M19" s="26">
        <v>990</v>
      </c>
      <c r="N19" s="26">
        <f t="shared" si="4"/>
        <v>86609.797249999989</v>
      </c>
      <c r="O19" s="26">
        <f t="shared" si="5"/>
        <v>8100</v>
      </c>
      <c r="P19" s="26">
        <f t="shared" si="6"/>
        <v>91806.467927883903</v>
      </c>
      <c r="Q19" s="26">
        <f t="shared" si="7"/>
        <v>62877.53502499999</v>
      </c>
      <c r="W19" s="23">
        <v>42387</v>
      </c>
      <c r="X19" s="32">
        <v>8100</v>
      </c>
    </row>
    <row r="20" spans="1:24" ht="15" customHeight="1" x14ac:dyDescent="0.25">
      <c r="A20" s="23">
        <v>42426</v>
      </c>
      <c r="B20" s="22">
        <f t="shared" si="0"/>
        <v>9</v>
      </c>
      <c r="C20" s="22">
        <f t="shared" si="1"/>
        <v>2</v>
      </c>
      <c r="D20" s="27">
        <v>68.62</v>
      </c>
      <c r="E20" s="24">
        <v>390</v>
      </c>
      <c r="F20" s="25">
        <v>390</v>
      </c>
      <c r="G20" s="25">
        <v>475</v>
      </c>
      <c r="H20" s="25">
        <v>490</v>
      </c>
      <c r="I20" s="25">
        <v>445</v>
      </c>
      <c r="J20" s="25">
        <v>539</v>
      </c>
      <c r="K20" s="26">
        <f t="shared" si="2"/>
        <v>479.52500000000003</v>
      </c>
      <c r="L20" s="26">
        <f t="shared" si="3"/>
        <v>479.52500000000003</v>
      </c>
      <c r="M20" s="26">
        <v>990</v>
      </c>
      <c r="N20" s="26">
        <f t="shared" si="4"/>
        <v>86502.114500000011</v>
      </c>
      <c r="O20" s="26">
        <f t="shared" si="5"/>
        <v>7967</v>
      </c>
      <c r="P20" s="26">
        <f t="shared" si="6"/>
        <v>90429.452862042075</v>
      </c>
      <c r="Q20" s="26">
        <f t="shared" si="7"/>
        <v>62800.938049999997</v>
      </c>
      <c r="W20" s="23">
        <v>42388</v>
      </c>
      <c r="X20" s="32">
        <v>8100</v>
      </c>
    </row>
    <row r="21" spans="1:24" ht="15" customHeight="1" x14ac:dyDescent="0.25">
      <c r="A21" s="23">
        <v>42429</v>
      </c>
      <c r="B21" s="22">
        <f t="shared" si="0"/>
        <v>10</v>
      </c>
      <c r="C21" s="22">
        <f t="shared" si="1"/>
        <v>2</v>
      </c>
      <c r="D21" s="27">
        <v>68.430000000000007</v>
      </c>
      <c r="E21" s="24">
        <v>390</v>
      </c>
      <c r="F21" s="25">
        <v>390</v>
      </c>
      <c r="G21" s="25">
        <v>465</v>
      </c>
      <c r="H21" s="25">
        <v>485</v>
      </c>
      <c r="I21" s="25">
        <v>445</v>
      </c>
      <c r="J21" s="25">
        <v>539</v>
      </c>
      <c r="K21" s="26">
        <f t="shared" si="2"/>
        <v>479.52500000000003</v>
      </c>
      <c r="L21" s="26">
        <f t="shared" si="3"/>
        <v>479.52500000000003</v>
      </c>
      <c r="M21" s="26">
        <v>1040</v>
      </c>
      <c r="N21" s="26">
        <f t="shared" si="4"/>
        <v>90136.802374999999</v>
      </c>
      <c r="O21" s="26">
        <f t="shared" si="5"/>
        <v>7500</v>
      </c>
      <c r="P21" s="26">
        <f t="shared" si="6"/>
        <v>85594.369886492204</v>
      </c>
      <c r="Q21" s="26">
        <f t="shared" si="7"/>
        <v>66655.732175000012</v>
      </c>
      <c r="W21" s="23">
        <v>42389</v>
      </c>
      <c r="X21" s="32">
        <v>7967</v>
      </c>
    </row>
    <row r="22" spans="1:24" ht="15" customHeight="1" x14ac:dyDescent="0.25">
      <c r="A22" s="23">
        <v>42430</v>
      </c>
      <c r="B22" s="22">
        <f t="shared" si="0"/>
        <v>10</v>
      </c>
      <c r="C22" s="22">
        <f t="shared" si="1"/>
        <v>3</v>
      </c>
      <c r="D22" s="27">
        <v>68.86</v>
      </c>
      <c r="E22" s="24">
        <v>390</v>
      </c>
      <c r="F22" s="25">
        <v>385</v>
      </c>
      <c r="G22" s="25">
        <v>462</v>
      </c>
      <c r="H22" s="25">
        <v>480</v>
      </c>
      <c r="I22" s="25">
        <v>445</v>
      </c>
      <c r="J22" s="25">
        <v>534</v>
      </c>
      <c r="K22" s="26">
        <f t="shared" si="2"/>
        <v>479.52500000000003</v>
      </c>
      <c r="L22" s="26">
        <f t="shared" si="3"/>
        <v>473.78749999999997</v>
      </c>
      <c r="M22" s="26">
        <v>1040</v>
      </c>
      <c r="N22" s="26">
        <f t="shared" si="4"/>
        <v>90675.554749999996</v>
      </c>
      <c r="O22" s="26">
        <f t="shared" si="5"/>
        <v>7500</v>
      </c>
      <c r="P22" s="26">
        <f t="shared" si="6"/>
        <v>85594.369886492204</v>
      </c>
      <c r="Q22" s="26">
        <f t="shared" si="7"/>
        <v>67046.934349999996</v>
      </c>
      <c r="W22" s="23">
        <v>42390</v>
      </c>
      <c r="X22" s="32">
        <v>7900</v>
      </c>
    </row>
    <row r="23" spans="1:24" ht="15" customHeight="1" x14ac:dyDescent="0.25">
      <c r="A23" s="23">
        <v>42431</v>
      </c>
      <c r="B23" s="22">
        <f t="shared" si="0"/>
        <v>10</v>
      </c>
      <c r="C23" s="22">
        <f t="shared" si="1"/>
        <v>3</v>
      </c>
      <c r="D23" s="27">
        <v>67.55</v>
      </c>
      <c r="E23" s="24">
        <v>390</v>
      </c>
      <c r="F23" s="25">
        <v>380</v>
      </c>
      <c r="G23" s="25">
        <v>460</v>
      </c>
      <c r="H23" s="25">
        <v>480</v>
      </c>
      <c r="I23" s="25">
        <v>445</v>
      </c>
      <c r="J23" s="25">
        <v>534</v>
      </c>
      <c r="K23" s="26">
        <f t="shared" si="2"/>
        <v>479.52500000000003</v>
      </c>
      <c r="L23" s="26">
        <f t="shared" si="3"/>
        <v>468.05</v>
      </c>
      <c r="M23" s="26">
        <v>1040</v>
      </c>
      <c r="N23" s="26">
        <f t="shared" si="4"/>
        <v>89034.23937499999</v>
      </c>
      <c r="O23" s="26">
        <f t="shared" si="5"/>
        <v>7567</v>
      </c>
      <c r="P23" s="26">
        <f t="shared" si="6"/>
        <v>86288.054167780938</v>
      </c>
      <c r="Q23" s="26">
        <f t="shared" si="7"/>
        <v>65855.132374999986</v>
      </c>
      <c r="W23" s="23">
        <v>42391</v>
      </c>
      <c r="X23" s="32">
        <v>7900</v>
      </c>
    </row>
    <row r="24" spans="1:24" ht="15" customHeight="1" x14ac:dyDescent="0.25">
      <c r="A24" s="23">
        <v>42432</v>
      </c>
      <c r="B24" s="22">
        <f t="shared" si="0"/>
        <v>10</v>
      </c>
      <c r="C24" s="22">
        <f t="shared" si="1"/>
        <v>3</v>
      </c>
      <c r="D24" s="27">
        <v>67.34</v>
      </c>
      <c r="E24" s="24">
        <v>395</v>
      </c>
      <c r="F24" s="25">
        <v>384</v>
      </c>
      <c r="G24" s="25">
        <v>460</v>
      </c>
      <c r="H24" s="25">
        <v>480</v>
      </c>
      <c r="I24" s="25">
        <v>445</v>
      </c>
      <c r="J24" s="25">
        <v>539</v>
      </c>
      <c r="K24" s="26">
        <f t="shared" si="2"/>
        <v>485.26250000000005</v>
      </c>
      <c r="L24" s="26">
        <f t="shared" si="3"/>
        <v>472.64</v>
      </c>
      <c r="M24" s="26">
        <v>1040</v>
      </c>
      <c r="N24" s="26">
        <f t="shared" si="4"/>
        <v>88771.12775</v>
      </c>
      <c r="O24" s="26">
        <f t="shared" si="5"/>
        <v>7633</v>
      </c>
      <c r="P24" s="26">
        <f t="shared" si="6"/>
        <v>86971.384952334032</v>
      </c>
      <c r="Q24" s="26">
        <f t="shared" si="7"/>
        <v>65664.080149999994</v>
      </c>
      <c r="W24" s="23">
        <v>42392</v>
      </c>
      <c r="X24" s="32">
        <v>7833</v>
      </c>
    </row>
    <row r="25" spans="1:24" ht="15" customHeight="1" x14ac:dyDescent="0.25">
      <c r="A25" s="23">
        <v>42433</v>
      </c>
      <c r="B25" s="22">
        <f t="shared" si="0"/>
        <v>10</v>
      </c>
      <c r="C25" s="22">
        <f t="shared" si="1"/>
        <v>3</v>
      </c>
      <c r="D25" s="27">
        <v>67.08</v>
      </c>
      <c r="E25" s="24">
        <v>390</v>
      </c>
      <c r="F25" s="25">
        <v>380</v>
      </c>
      <c r="G25" s="25">
        <v>455</v>
      </c>
      <c r="H25" s="25">
        <v>475</v>
      </c>
      <c r="I25" s="25">
        <v>445</v>
      </c>
      <c r="J25" s="25">
        <v>539</v>
      </c>
      <c r="K25" s="26">
        <f t="shared" si="2"/>
        <v>479.52500000000003</v>
      </c>
      <c r="L25" s="26">
        <f t="shared" si="3"/>
        <v>468.05</v>
      </c>
      <c r="M25" s="26">
        <v>1040</v>
      </c>
      <c r="N25" s="26">
        <f t="shared" si="4"/>
        <v>88445.370500000005</v>
      </c>
      <c r="O25" s="26">
        <f t="shared" si="5"/>
        <v>7500</v>
      </c>
      <c r="P25" s="26">
        <f t="shared" si="6"/>
        <v>85594.369886492204</v>
      </c>
      <c r="Q25" s="26">
        <f t="shared" si="7"/>
        <v>65427.539299999997</v>
      </c>
      <c r="W25" s="23">
        <v>42393</v>
      </c>
      <c r="X25" s="32">
        <v>7833</v>
      </c>
    </row>
    <row r="26" spans="1:24" ht="15" customHeight="1" x14ac:dyDescent="0.25">
      <c r="A26" s="23">
        <v>42437</v>
      </c>
      <c r="B26" s="22">
        <f t="shared" si="0"/>
        <v>11</v>
      </c>
      <c r="C26" s="22">
        <f t="shared" si="1"/>
        <v>3</v>
      </c>
      <c r="D26" s="27">
        <v>67.349999999999994</v>
      </c>
      <c r="E26" s="24">
        <v>375</v>
      </c>
      <c r="F26" s="25">
        <v>400</v>
      </c>
      <c r="G26" s="25">
        <v>460</v>
      </c>
      <c r="H26" s="25">
        <v>480</v>
      </c>
      <c r="I26" s="25">
        <v>445</v>
      </c>
      <c r="J26" s="25">
        <v>544</v>
      </c>
      <c r="K26" s="26">
        <f t="shared" si="2"/>
        <v>462.3125</v>
      </c>
      <c r="L26" s="26">
        <f t="shared" si="3"/>
        <v>491</v>
      </c>
      <c r="M26" s="26">
        <v>1055</v>
      </c>
      <c r="N26" s="26">
        <f t="shared" si="4"/>
        <v>89923.9765625</v>
      </c>
      <c r="O26" s="26">
        <f t="shared" si="5"/>
        <v>7167</v>
      </c>
      <c r="P26" s="26">
        <f t="shared" si="6"/>
        <v>82146.655473519801</v>
      </c>
      <c r="Q26" s="26">
        <f t="shared" si="7"/>
        <v>66859.110349999988</v>
      </c>
      <c r="W26" s="23">
        <v>42394</v>
      </c>
      <c r="X26" s="32">
        <v>7633</v>
      </c>
    </row>
    <row r="27" spans="1:24" ht="15" customHeight="1" x14ac:dyDescent="0.25">
      <c r="A27" s="23">
        <v>42438</v>
      </c>
      <c r="B27" s="22">
        <f t="shared" si="0"/>
        <v>11</v>
      </c>
      <c r="C27" s="22">
        <f t="shared" si="1"/>
        <v>3</v>
      </c>
      <c r="D27" s="27">
        <v>67.209999999999994</v>
      </c>
      <c r="E27" s="24">
        <v>375</v>
      </c>
      <c r="F27" s="25">
        <v>400</v>
      </c>
      <c r="G27" s="25">
        <v>460</v>
      </c>
      <c r="H27" s="25">
        <v>480</v>
      </c>
      <c r="I27" s="25">
        <v>445</v>
      </c>
      <c r="J27" s="25">
        <v>549</v>
      </c>
      <c r="K27" s="26">
        <f t="shared" si="2"/>
        <v>462.3125</v>
      </c>
      <c r="L27" s="26">
        <f t="shared" si="3"/>
        <v>491</v>
      </c>
      <c r="M27" s="26">
        <v>1075</v>
      </c>
      <c r="N27" s="26">
        <f t="shared" si="4"/>
        <v>91263.464187499994</v>
      </c>
      <c r="O27" s="26">
        <f t="shared" si="5"/>
        <v>7100</v>
      </c>
      <c r="P27" s="26">
        <f t="shared" si="6"/>
        <v>81452.971192231067</v>
      </c>
      <c r="Q27" s="26">
        <f t="shared" si="7"/>
        <v>68307.233389999994</v>
      </c>
      <c r="W27" s="23">
        <v>42395</v>
      </c>
      <c r="X27" s="32">
        <v>7633</v>
      </c>
    </row>
    <row r="28" spans="1:24" ht="15" customHeight="1" x14ac:dyDescent="0.25">
      <c r="A28" s="23">
        <v>42439</v>
      </c>
      <c r="B28" s="22">
        <f t="shared" si="0"/>
        <v>11</v>
      </c>
      <c r="C28" s="22">
        <f t="shared" si="1"/>
        <v>3</v>
      </c>
      <c r="D28" s="27">
        <v>67.02</v>
      </c>
      <c r="E28" s="24">
        <v>380</v>
      </c>
      <c r="F28" s="25">
        <v>405</v>
      </c>
      <c r="G28" s="25">
        <v>480</v>
      </c>
      <c r="H28" s="25">
        <v>490</v>
      </c>
      <c r="I28" s="25">
        <v>460</v>
      </c>
      <c r="J28" s="25">
        <v>564</v>
      </c>
      <c r="K28" s="26">
        <f t="shared" si="2"/>
        <v>468.05</v>
      </c>
      <c r="L28" s="26">
        <f t="shared" si="3"/>
        <v>496.73750000000001</v>
      </c>
      <c r="M28" s="26">
        <v>1090</v>
      </c>
      <c r="N28" s="26">
        <f t="shared" si="4"/>
        <v>92152.636999999988</v>
      </c>
      <c r="O28" s="26">
        <f t="shared" si="5"/>
        <v>7100</v>
      </c>
      <c r="P28" s="26">
        <f t="shared" si="6"/>
        <v>81452.971192231067</v>
      </c>
      <c r="Q28" s="26">
        <f t="shared" si="7"/>
        <v>69306.691850000003</v>
      </c>
      <c r="W28" s="23">
        <v>42396</v>
      </c>
      <c r="X28" s="32">
        <v>7500</v>
      </c>
    </row>
    <row r="29" spans="1:24" ht="15" customHeight="1" x14ac:dyDescent="0.25">
      <c r="A29" s="23">
        <v>42440</v>
      </c>
      <c r="B29" s="22">
        <f t="shared" si="0"/>
        <v>11</v>
      </c>
      <c r="C29" s="22">
        <f t="shared" si="1"/>
        <v>3</v>
      </c>
      <c r="D29" s="27">
        <v>67.13</v>
      </c>
      <c r="E29" s="24">
        <v>415</v>
      </c>
      <c r="F29" s="25">
        <v>395</v>
      </c>
      <c r="G29" s="25">
        <v>480</v>
      </c>
      <c r="H29" s="25">
        <v>490</v>
      </c>
      <c r="I29" s="25">
        <v>460</v>
      </c>
      <c r="J29" s="25">
        <v>575</v>
      </c>
      <c r="K29" s="26">
        <f t="shared" si="2"/>
        <v>508.21250000000003</v>
      </c>
      <c r="L29" s="26">
        <f t="shared" si="3"/>
        <v>485.26250000000005</v>
      </c>
      <c r="M29" s="26">
        <v>1120</v>
      </c>
      <c r="N29" s="26">
        <f t="shared" si="4"/>
        <v>94569.855124999987</v>
      </c>
      <c r="O29" s="26">
        <f t="shared" si="5"/>
        <v>7033</v>
      </c>
      <c r="P29" s="26">
        <f t="shared" si="6"/>
        <v>80759.286910942334</v>
      </c>
      <c r="Q29" s="26">
        <f t="shared" si="7"/>
        <v>71777.340484999993</v>
      </c>
      <c r="W29" s="23">
        <v>42397</v>
      </c>
      <c r="X29" s="32">
        <v>7367</v>
      </c>
    </row>
    <row r="30" spans="1:24" ht="15" customHeight="1" x14ac:dyDescent="0.25">
      <c r="A30" s="23">
        <v>42443</v>
      </c>
      <c r="B30" s="22">
        <f t="shared" si="0"/>
        <v>12</v>
      </c>
      <c r="C30" s="22">
        <f t="shared" si="1"/>
        <v>3</v>
      </c>
      <c r="D30" s="27">
        <v>67.05</v>
      </c>
      <c r="E30" s="24">
        <v>410</v>
      </c>
      <c r="F30" s="25">
        <v>395</v>
      </c>
      <c r="G30" s="25">
        <v>480</v>
      </c>
      <c r="H30" s="25">
        <v>495</v>
      </c>
      <c r="I30" s="25">
        <v>460</v>
      </c>
      <c r="J30" s="25">
        <v>575</v>
      </c>
      <c r="K30" s="26">
        <f t="shared" si="2"/>
        <v>502.47499999999997</v>
      </c>
      <c r="L30" s="26">
        <f t="shared" si="3"/>
        <v>485.26250000000005</v>
      </c>
      <c r="M30" s="26">
        <v>1135</v>
      </c>
      <c r="N30" s="26">
        <f t="shared" si="4"/>
        <v>95597.638437499991</v>
      </c>
      <c r="O30" s="26">
        <f t="shared" si="5"/>
        <v>6967</v>
      </c>
      <c r="P30" s="26">
        <f t="shared" si="6"/>
        <v>80075.956126389239</v>
      </c>
      <c r="Q30" s="26">
        <f t="shared" si="7"/>
        <v>72877.695649999994</v>
      </c>
      <c r="W30" s="23">
        <v>42398</v>
      </c>
      <c r="X30" s="32">
        <v>7433</v>
      </c>
    </row>
    <row r="31" spans="1:24" ht="15" customHeight="1" x14ac:dyDescent="0.25">
      <c r="A31" s="23">
        <v>42445</v>
      </c>
      <c r="B31" s="22">
        <f t="shared" si="0"/>
        <v>12</v>
      </c>
      <c r="C31" s="22">
        <f t="shared" si="1"/>
        <v>3</v>
      </c>
      <c r="D31" s="27">
        <v>67.239999999999995</v>
      </c>
      <c r="E31" s="24">
        <v>425</v>
      </c>
      <c r="F31" s="25">
        <v>395</v>
      </c>
      <c r="G31" s="25">
        <v>490</v>
      </c>
      <c r="H31" s="25">
        <v>500</v>
      </c>
      <c r="I31" s="25">
        <v>460</v>
      </c>
      <c r="J31" s="25">
        <v>575</v>
      </c>
      <c r="K31" s="26">
        <f t="shared" si="2"/>
        <v>519.6875</v>
      </c>
      <c r="L31" s="26">
        <f t="shared" si="3"/>
        <v>485.26250000000005</v>
      </c>
      <c r="M31" s="26">
        <v>1140</v>
      </c>
      <c r="N31" s="26">
        <f t="shared" si="4"/>
        <v>96235.551499999987</v>
      </c>
      <c r="O31" s="26">
        <f t="shared" si="5"/>
        <v>6900</v>
      </c>
      <c r="P31" s="26">
        <f t="shared" si="6"/>
        <v>79382.271845100506</v>
      </c>
      <c r="Q31" s="26">
        <f t="shared" si="7"/>
        <v>73466.406499999983</v>
      </c>
      <c r="W31" s="23">
        <v>42399</v>
      </c>
      <c r="X31" s="32">
        <v>7433</v>
      </c>
    </row>
    <row r="32" spans="1:24" ht="15" customHeight="1" x14ac:dyDescent="0.25">
      <c r="A32" s="23">
        <v>42446</v>
      </c>
      <c r="B32" s="22">
        <f t="shared" si="0"/>
        <v>12</v>
      </c>
      <c r="C32" s="22">
        <f t="shared" si="1"/>
        <v>3</v>
      </c>
      <c r="D32" s="27">
        <v>66.75</v>
      </c>
      <c r="E32" s="24">
        <v>430</v>
      </c>
      <c r="F32" s="25">
        <v>405</v>
      </c>
      <c r="G32" s="25">
        <v>495</v>
      </c>
      <c r="H32" s="25">
        <v>505</v>
      </c>
      <c r="I32" s="25">
        <v>470</v>
      </c>
      <c r="J32" s="25">
        <v>580</v>
      </c>
      <c r="K32" s="26">
        <f t="shared" si="2"/>
        <v>525.42499999999995</v>
      </c>
      <c r="L32" s="26">
        <f t="shared" si="3"/>
        <v>496.73750000000001</v>
      </c>
      <c r="M32" s="26">
        <v>1220</v>
      </c>
      <c r="N32" s="26">
        <f t="shared" si="4"/>
        <v>101593.840625</v>
      </c>
      <c r="O32" s="26">
        <f t="shared" si="5"/>
        <v>7033</v>
      </c>
      <c r="P32" s="26">
        <f t="shared" si="6"/>
        <v>80759.286910942334</v>
      </c>
      <c r="Q32" s="26">
        <f t="shared" si="7"/>
        <v>79231.722874999992</v>
      </c>
      <c r="W32" s="23">
        <v>42400</v>
      </c>
      <c r="X32" s="32">
        <v>7433</v>
      </c>
    </row>
    <row r="33" spans="1:24" ht="15" customHeight="1" x14ac:dyDescent="0.25">
      <c r="A33" s="23">
        <v>42447</v>
      </c>
      <c r="B33" s="22">
        <f t="shared" si="0"/>
        <v>12</v>
      </c>
      <c r="C33" s="22">
        <f t="shared" si="1"/>
        <v>3</v>
      </c>
      <c r="D33" s="27">
        <v>66.5</v>
      </c>
      <c r="E33" s="24">
        <v>430</v>
      </c>
      <c r="F33" s="25">
        <v>405</v>
      </c>
      <c r="G33" s="25">
        <v>495</v>
      </c>
      <c r="H33" s="25">
        <v>505</v>
      </c>
      <c r="I33" s="25">
        <v>470</v>
      </c>
      <c r="J33" s="25">
        <v>575</v>
      </c>
      <c r="K33" s="26">
        <f t="shared" si="2"/>
        <v>525.42499999999995</v>
      </c>
      <c r="L33" s="26">
        <f t="shared" si="3"/>
        <v>496.73750000000001</v>
      </c>
      <c r="M33" s="26">
        <v>1220</v>
      </c>
      <c r="N33" s="26">
        <f t="shared" si="4"/>
        <v>101229.81874999999</v>
      </c>
      <c r="O33" s="26">
        <f t="shared" si="5"/>
        <v>7100</v>
      </c>
      <c r="P33" s="26">
        <f t="shared" si="6"/>
        <v>81452.971192231067</v>
      </c>
      <c r="Q33" s="26">
        <f t="shared" si="7"/>
        <v>78951.454249999995</v>
      </c>
      <c r="W33" s="23">
        <v>42401</v>
      </c>
      <c r="X33" s="32">
        <v>7433</v>
      </c>
    </row>
    <row r="34" spans="1:24" ht="15" customHeight="1" x14ac:dyDescent="0.25">
      <c r="A34" s="23">
        <v>42450</v>
      </c>
      <c r="B34" s="22">
        <f t="shared" si="0"/>
        <v>13</v>
      </c>
      <c r="C34" s="22">
        <f t="shared" si="1"/>
        <v>3</v>
      </c>
      <c r="D34" s="27">
        <v>66.53</v>
      </c>
      <c r="E34" s="24">
        <v>440</v>
      </c>
      <c r="F34" s="25">
        <v>420</v>
      </c>
      <c r="G34" s="25">
        <v>515</v>
      </c>
      <c r="H34" s="25">
        <v>520</v>
      </c>
      <c r="I34" s="25">
        <v>475</v>
      </c>
      <c r="J34" s="25">
        <v>580</v>
      </c>
      <c r="K34" s="26">
        <f t="shared" si="2"/>
        <v>536.90000000000009</v>
      </c>
      <c r="L34" s="26">
        <f t="shared" si="3"/>
        <v>513.95000000000005</v>
      </c>
      <c r="M34" s="26">
        <v>1240</v>
      </c>
      <c r="N34" s="26">
        <f t="shared" si="4"/>
        <v>102775.416125</v>
      </c>
      <c r="O34" s="26">
        <f t="shared" ref="O34:O65" si="8">VLOOKUP(A34,$W$2:$X$502,2,FALSE)</f>
        <v>7033</v>
      </c>
      <c r="P34" s="26">
        <f t="shared" si="6"/>
        <v>80759.286910942334</v>
      </c>
      <c r="Q34" s="26">
        <f t="shared" si="7"/>
        <v>80547.077825</v>
      </c>
      <c r="W34" s="23">
        <v>42402</v>
      </c>
      <c r="X34" s="32">
        <v>7300</v>
      </c>
    </row>
    <row r="35" spans="1:24" ht="15" customHeight="1" x14ac:dyDescent="0.25">
      <c r="A35" s="23">
        <v>42451</v>
      </c>
      <c r="B35" s="22">
        <f t="shared" si="0"/>
        <v>13</v>
      </c>
      <c r="C35" s="22">
        <f t="shared" si="1"/>
        <v>3</v>
      </c>
      <c r="D35" s="27">
        <v>66.709999999999994</v>
      </c>
      <c r="E35" s="24">
        <v>445</v>
      </c>
      <c r="F35" s="25">
        <v>425</v>
      </c>
      <c r="G35" s="25">
        <v>525</v>
      </c>
      <c r="H35" s="25">
        <v>530</v>
      </c>
      <c r="I35" s="25">
        <v>480</v>
      </c>
      <c r="J35" s="25">
        <v>590</v>
      </c>
      <c r="K35" s="26">
        <f t="shared" si="2"/>
        <v>542.63750000000005</v>
      </c>
      <c r="L35" s="26">
        <f t="shared" si="3"/>
        <v>519.6875</v>
      </c>
      <c r="M35" s="26">
        <v>1265</v>
      </c>
      <c r="N35" s="26">
        <f t="shared" si="4"/>
        <v>104924.04818749998</v>
      </c>
      <c r="O35" s="26">
        <f t="shared" si="8"/>
        <v>7033</v>
      </c>
      <c r="P35" s="26">
        <f t="shared" si="6"/>
        <v>80759.286910942334</v>
      </c>
      <c r="Q35" s="26">
        <f t="shared" si="7"/>
        <v>82710.868999999992</v>
      </c>
      <c r="W35" s="23">
        <v>42403</v>
      </c>
      <c r="X35" s="32">
        <v>7233</v>
      </c>
    </row>
    <row r="36" spans="1:24" ht="15" customHeight="1" x14ac:dyDescent="0.25">
      <c r="A36" s="23">
        <v>42452</v>
      </c>
      <c r="B36" s="22">
        <f t="shared" si="0"/>
        <v>13</v>
      </c>
      <c r="C36" s="22">
        <f t="shared" si="1"/>
        <v>3</v>
      </c>
      <c r="D36" s="27">
        <v>66.87</v>
      </c>
      <c r="E36" s="24">
        <v>445</v>
      </c>
      <c r="F36" s="25">
        <v>425</v>
      </c>
      <c r="G36" s="25">
        <v>530</v>
      </c>
      <c r="H36" s="25">
        <v>535</v>
      </c>
      <c r="I36" s="25">
        <v>480</v>
      </c>
      <c r="J36" s="25">
        <v>595</v>
      </c>
      <c r="K36" s="26">
        <f t="shared" si="2"/>
        <v>542.63750000000005</v>
      </c>
      <c r="L36" s="26">
        <f t="shared" si="3"/>
        <v>519.6875</v>
      </c>
      <c r="M36" s="26">
        <f>M35+($M$62-$M$54)/8</f>
        <v>1259.375</v>
      </c>
      <c r="N36" s="26">
        <f t="shared" si="4"/>
        <v>104740.57692968751</v>
      </c>
      <c r="O36" s="26">
        <f t="shared" si="8"/>
        <v>7033</v>
      </c>
      <c r="P36" s="26">
        <f t="shared" si="6"/>
        <v>80759.286910942334</v>
      </c>
      <c r="Q36" s="26">
        <f t="shared" si="7"/>
        <v>82457.137851875013</v>
      </c>
      <c r="W36" s="23">
        <v>42404</v>
      </c>
      <c r="X36" s="32">
        <v>7233</v>
      </c>
    </row>
    <row r="37" spans="1:24" ht="15" customHeight="1" x14ac:dyDescent="0.25">
      <c r="A37" s="23">
        <v>42453</v>
      </c>
      <c r="B37" s="22">
        <f t="shared" si="0"/>
        <v>13</v>
      </c>
      <c r="C37" s="22">
        <f t="shared" si="1"/>
        <v>3</v>
      </c>
      <c r="D37" s="27">
        <v>66.87</v>
      </c>
      <c r="E37" s="24">
        <v>445</v>
      </c>
      <c r="F37" s="25">
        <v>425</v>
      </c>
      <c r="G37" s="25">
        <v>530</v>
      </c>
      <c r="H37" s="25">
        <v>535</v>
      </c>
      <c r="I37" s="25">
        <v>480</v>
      </c>
      <c r="J37" s="25">
        <v>595</v>
      </c>
      <c r="K37" s="26">
        <f t="shared" si="2"/>
        <v>542.63750000000005</v>
      </c>
      <c r="L37" s="26">
        <f t="shared" si="3"/>
        <v>519.6875</v>
      </c>
      <c r="M37" s="26">
        <f t="shared" ref="M37:M42" si="9">M36+($M$62-$M$54)/8</f>
        <v>1253.75</v>
      </c>
      <c r="N37" s="26">
        <f t="shared" si="4"/>
        <v>104316.00467187499</v>
      </c>
      <c r="O37" s="26">
        <f t="shared" si="8"/>
        <v>7033</v>
      </c>
      <c r="P37" s="26">
        <f t="shared" si="6"/>
        <v>80759.286910942334</v>
      </c>
      <c r="Q37" s="26">
        <f t="shared" si="7"/>
        <v>82015.582703750013</v>
      </c>
      <c r="W37" s="23">
        <v>42405</v>
      </c>
      <c r="X37" s="32">
        <v>7367</v>
      </c>
    </row>
    <row r="38" spans="1:24" ht="15" customHeight="1" x14ac:dyDescent="0.25">
      <c r="A38" s="23">
        <v>42457</v>
      </c>
      <c r="B38" s="22">
        <f t="shared" si="0"/>
        <v>14</v>
      </c>
      <c r="C38" s="22">
        <f t="shared" si="1"/>
        <v>3</v>
      </c>
      <c r="D38" s="27">
        <v>66.59</v>
      </c>
      <c r="E38" s="24">
        <v>455</v>
      </c>
      <c r="F38" s="25">
        <v>435</v>
      </c>
      <c r="G38" s="25">
        <v>535</v>
      </c>
      <c r="H38" s="25">
        <v>550</v>
      </c>
      <c r="I38" s="25">
        <v>490</v>
      </c>
      <c r="J38" s="25">
        <v>620</v>
      </c>
      <c r="K38" s="26">
        <f t="shared" si="2"/>
        <v>554.11250000000007</v>
      </c>
      <c r="L38" s="26">
        <f t="shared" si="3"/>
        <v>531.16249999999991</v>
      </c>
      <c r="M38" s="26">
        <f t="shared" si="9"/>
        <v>1248.125</v>
      </c>
      <c r="N38" s="26">
        <f t="shared" si="4"/>
        <v>103474.83900781249</v>
      </c>
      <c r="O38" s="26">
        <f t="shared" si="8"/>
        <v>7333</v>
      </c>
      <c r="P38" s="26">
        <f t="shared" si="6"/>
        <v>83865.335931638183</v>
      </c>
      <c r="Q38" s="26">
        <f t="shared" si="7"/>
        <v>81250.882233124998</v>
      </c>
      <c r="W38" s="23">
        <v>42406</v>
      </c>
      <c r="X38" s="32">
        <v>7300</v>
      </c>
    </row>
    <row r="39" spans="1:24" ht="15" customHeight="1" x14ac:dyDescent="0.25">
      <c r="A39" s="23">
        <v>42458</v>
      </c>
      <c r="B39" s="22">
        <f t="shared" si="0"/>
        <v>14</v>
      </c>
      <c r="C39" s="22">
        <f t="shared" si="1"/>
        <v>3</v>
      </c>
      <c r="D39" s="27">
        <v>66.540000000000006</v>
      </c>
      <c r="E39" s="24">
        <v>460</v>
      </c>
      <c r="F39" s="25">
        <v>445</v>
      </c>
      <c r="G39" s="25">
        <v>540</v>
      </c>
      <c r="H39" s="25">
        <v>555</v>
      </c>
      <c r="I39" s="25">
        <v>500</v>
      </c>
      <c r="J39" s="25">
        <v>630</v>
      </c>
      <c r="K39" s="26">
        <f t="shared" si="2"/>
        <v>559.85</v>
      </c>
      <c r="L39" s="26">
        <f t="shared" si="3"/>
        <v>542.63750000000005</v>
      </c>
      <c r="M39" s="26">
        <f t="shared" si="9"/>
        <v>1242.5</v>
      </c>
      <c r="N39" s="26">
        <f t="shared" si="4"/>
        <v>102977.97031250001</v>
      </c>
      <c r="O39" s="26">
        <f t="shared" si="8"/>
        <v>7400</v>
      </c>
      <c r="P39" s="26">
        <f t="shared" si="6"/>
        <v>84559.020212926916</v>
      </c>
      <c r="Q39" s="26">
        <f t="shared" si="7"/>
        <v>80753.801615000004</v>
      </c>
      <c r="W39" s="23">
        <v>42407</v>
      </c>
      <c r="X39" s="32">
        <v>7300</v>
      </c>
    </row>
    <row r="40" spans="1:24" ht="15" customHeight="1" x14ac:dyDescent="0.25">
      <c r="A40" s="23">
        <v>42459</v>
      </c>
      <c r="B40" s="22">
        <f t="shared" si="0"/>
        <v>14</v>
      </c>
      <c r="C40" s="22">
        <f t="shared" si="1"/>
        <v>3</v>
      </c>
      <c r="D40" s="27">
        <v>66.39</v>
      </c>
      <c r="E40" s="24">
        <v>455</v>
      </c>
      <c r="F40" s="25">
        <v>440</v>
      </c>
      <c r="G40" s="25">
        <v>545</v>
      </c>
      <c r="H40" s="25">
        <v>555</v>
      </c>
      <c r="I40" s="25">
        <v>500</v>
      </c>
      <c r="J40" s="25">
        <v>610</v>
      </c>
      <c r="K40" s="26">
        <f t="shared" si="2"/>
        <v>554.11250000000007</v>
      </c>
      <c r="L40" s="26">
        <f t="shared" si="3"/>
        <v>536.90000000000009</v>
      </c>
      <c r="M40" s="26">
        <f t="shared" si="9"/>
        <v>1236.875</v>
      </c>
      <c r="N40" s="26">
        <f t="shared" si="4"/>
        <v>102334.22302343749</v>
      </c>
      <c r="O40" s="26">
        <f t="shared" si="8"/>
        <v>7400</v>
      </c>
      <c r="P40" s="26">
        <f t="shared" si="6"/>
        <v>84559.020212926916</v>
      </c>
      <c r="Q40" s="26">
        <f t="shared" si="7"/>
        <v>80143.292909374999</v>
      </c>
      <c r="W40" s="23">
        <v>42408</v>
      </c>
      <c r="X40" s="32">
        <v>7300</v>
      </c>
    </row>
    <row r="41" spans="1:24" ht="15" customHeight="1" x14ac:dyDescent="0.25">
      <c r="A41" s="23">
        <v>42460</v>
      </c>
      <c r="B41" s="22">
        <f t="shared" si="0"/>
        <v>14</v>
      </c>
      <c r="C41" s="22">
        <f t="shared" si="1"/>
        <v>3</v>
      </c>
      <c r="D41" s="27">
        <v>66.25</v>
      </c>
      <c r="E41" s="24">
        <v>460</v>
      </c>
      <c r="F41" s="25">
        <v>440</v>
      </c>
      <c r="G41" s="25">
        <v>550</v>
      </c>
      <c r="H41" s="25">
        <v>550</v>
      </c>
      <c r="I41" s="25">
        <v>520</v>
      </c>
      <c r="J41" s="25">
        <v>610</v>
      </c>
      <c r="K41" s="26">
        <f t="shared" si="2"/>
        <v>559.85</v>
      </c>
      <c r="L41" s="26">
        <f t="shared" si="3"/>
        <v>536.90000000000009</v>
      </c>
      <c r="M41" s="26">
        <f t="shared" si="9"/>
        <v>1231.25</v>
      </c>
      <c r="N41" s="26">
        <f t="shared" si="4"/>
        <v>101707.068359375</v>
      </c>
      <c r="O41" s="26">
        <f t="shared" si="8"/>
        <v>7333</v>
      </c>
      <c r="P41" s="26">
        <f t="shared" si="6"/>
        <v>83865.335931638183</v>
      </c>
      <c r="Q41" s="26">
        <f t="shared" si="7"/>
        <v>79546.107968750002</v>
      </c>
      <c r="W41" s="23">
        <v>42409</v>
      </c>
      <c r="X41" s="32">
        <v>7433</v>
      </c>
    </row>
    <row r="42" spans="1:24" ht="15" customHeight="1" x14ac:dyDescent="0.25">
      <c r="A42" s="23">
        <v>42461</v>
      </c>
      <c r="B42" s="22">
        <f t="shared" si="0"/>
        <v>14</v>
      </c>
      <c r="C42" s="22">
        <f t="shared" si="1"/>
        <v>4</v>
      </c>
      <c r="D42" s="27">
        <v>66.349999999999994</v>
      </c>
      <c r="E42" s="24">
        <v>470</v>
      </c>
      <c r="F42" s="25">
        <v>450</v>
      </c>
      <c r="G42" s="25">
        <v>550</v>
      </c>
      <c r="H42" s="25">
        <v>550</v>
      </c>
      <c r="I42" s="25">
        <v>520</v>
      </c>
      <c r="J42" s="25">
        <v>615</v>
      </c>
      <c r="K42" s="26">
        <f t="shared" si="2"/>
        <v>571.32500000000005</v>
      </c>
      <c r="L42" s="26">
        <f t="shared" si="3"/>
        <v>548.375</v>
      </c>
      <c r="M42" s="26">
        <f t="shared" si="9"/>
        <v>1225.625</v>
      </c>
      <c r="N42" s="26">
        <f t="shared" si="4"/>
        <v>101432.67628906248</v>
      </c>
      <c r="O42" s="26">
        <f t="shared" si="8"/>
        <v>7467</v>
      </c>
      <c r="P42" s="26">
        <f t="shared" si="6"/>
        <v>85252.704494215635</v>
      </c>
      <c r="Q42" s="26">
        <f t="shared" si="7"/>
        <v>79221.414565624989</v>
      </c>
      <c r="W42" s="23">
        <v>42410</v>
      </c>
      <c r="X42" s="32">
        <v>7500</v>
      </c>
    </row>
    <row r="43" spans="1:24" ht="15" customHeight="1" x14ac:dyDescent="0.25">
      <c r="A43" s="23">
        <v>42464</v>
      </c>
      <c r="B43" s="22">
        <f t="shared" si="0"/>
        <v>15</v>
      </c>
      <c r="C43" s="22">
        <f t="shared" si="1"/>
        <v>4</v>
      </c>
      <c r="D43" s="27">
        <v>66.06</v>
      </c>
      <c r="E43" s="24">
        <v>485</v>
      </c>
      <c r="F43" s="25">
        <v>460</v>
      </c>
      <c r="G43" s="25">
        <v>560</v>
      </c>
      <c r="H43" s="25">
        <v>560</v>
      </c>
      <c r="I43" s="25">
        <v>520</v>
      </c>
      <c r="J43" s="25">
        <v>626</v>
      </c>
      <c r="K43" s="26">
        <f t="shared" si="2"/>
        <v>588.53750000000002</v>
      </c>
      <c r="L43" s="26">
        <f t="shared" si="3"/>
        <v>559.85</v>
      </c>
      <c r="M43" s="26">
        <v>1350</v>
      </c>
      <c r="N43" s="26">
        <f t="shared" si="4"/>
        <v>110282.61949999999</v>
      </c>
      <c r="O43" s="26">
        <f t="shared" si="8"/>
        <v>7533</v>
      </c>
      <c r="P43" s="26">
        <f t="shared" si="6"/>
        <v>85936.035278768744</v>
      </c>
      <c r="Q43" s="26">
        <f t="shared" si="7"/>
        <v>88539.399890000001</v>
      </c>
      <c r="W43" s="23">
        <v>42411</v>
      </c>
      <c r="X43" s="32">
        <v>7767</v>
      </c>
    </row>
    <row r="44" spans="1:24" ht="15" customHeight="1" x14ac:dyDescent="0.25">
      <c r="A44" s="23">
        <v>42465</v>
      </c>
      <c r="B44" s="22">
        <f t="shared" si="0"/>
        <v>15</v>
      </c>
      <c r="C44" s="22">
        <f t="shared" si="1"/>
        <v>4</v>
      </c>
      <c r="D44" s="27">
        <v>66.22</v>
      </c>
      <c r="E44" s="24">
        <v>485</v>
      </c>
      <c r="F44" s="25">
        <v>460</v>
      </c>
      <c r="G44" s="25">
        <v>560</v>
      </c>
      <c r="H44" s="25">
        <v>560</v>
      </c>
      <c r="I44" s="25">
        <v>520</v>
      </c>
      <c r="J44" s="25">
        <v>631</v>
      </c>
      <c r="K44" s="26">
        <f t="shared" si="2"/>
        <v>588.53750000000002</v>
      </c>
      <c r="L44" s="26">
        <f t="shared" si="3"/>
        <v>559.85</v>
      </c>
      <c r="M44" s="26">
        <v>1350</v>
      </c>
      <c r="N44" s="26">
        <f t="shared" si="4"/>
        <v>110539.07149999999</v>
      </c>
      <c r="O44" s="26">
        <f t="shared" si="8"/>
        <v>7667</v>
      </c>
      <c r="P44" s="26">
        <f t="shared" si="6"/>
        <v>87323.403841346211</v>
      </c>
      <c r="Q44" s="26">
        <f t="shared" si="7"/>
        <v>88743.188929999989</v>
      </c>
      <c r="W44" s="23">
        <v>42412</v>
      </c>
      <c r="X44" s="32">
        <v>7567</v>
      </c>
    </row>
    <row r="45" spans="1:24" ht="15" customHeight="1" x14ac:dyDescent="0.25">
      <c r="A45" s="23">
        <v>42466</v>
      </c>
      <c r="B45" s="22">
        <f t="shared" si="0"/>
        <v>15</v>
      </c>
      <c r="C45" s="22">
        <f t="shared" si="1"/>
        <v>4</v>
      </c>
      <c r="D45" s="27">
        <v>66.66</v>
      </c>
      <c r="E45" s="24">
        <v>500</v>
      </c>
      <c r="F45" s="25">
        <v>460</v>
      </c>
      <c r="G45" s="25">
        <v>555</v>
      </c>
      <c r="H45" s="25">
        <v>555</v>
      </c>
      <c r="I45" s="25">
        <v>520</v>
      </c>
      <c r="J45" s="25">
        <v>631</v>
      </c>
      <c r="K45" s="26">
        <f t="shared" si="2"/>
        <v>605.75</v>
      </c>
      <c r="L45" s="26">
        <f t="shared" si="3"/>
        <v>559.85</v>
      </c>
      <c r="M45" s="26">
        <v>1330</v>
      </c>
      <c r="N45" s="26">
        <f t="shared" si="4"/>
        <v>109739.465</v>
      </c>
      <c r="O45" s="26">
        <f t="shared" si="8"/>
        <v>7800</v>
      </c>
      <c r="P45" s="26">
        <f t="shared" si="6"/>
        <v>88700.418907188068</v>
      </c>
      <c r="Q45" s="26">
        <f t="shared" si="7"/>
        <v>87738.565309999991</v>
      </c>
      <c r="W45" s="23">
        <v>42413</v>
      </c>
      <c r="X45" s="32">
        <v>7567</v>
      </c>
    </row>
    <row r="46" spans="1:24" ht="15" customHeight="1" x14ac:dyDescent="0.25">
      <c r="A46" s="23">
        <v>42467</v>
      </c>
      <c r="B46" s="22">
        <f t="shared" si="0"/>
        <v>15</v>
      </c>
      <c r="C46" s="22">
        <f t="shared" si="1"/>
        <v>4</v>
      </c>
      <c r="D46" s="27">
        <v>66.47</v>
      </c>
      <c r="E46" s="24">
        <v>510</v>
      </c>
      <c r="F46" s="25">
        <v>460</v>
      </c>
      <c r="G46" s="25">
        <v>555</v>
      </c>
      <c r="H46" s="25">
        <v>555</v>
      </c>
      <c r="I46" s="25">
        <v>520</v>
      </c>
      <c r="J46" s="25">
        <v>631</v>
      </c>
      <c r="K46" s="26">
        <f t="shared" si="2"/>
        <v>617.22500000000002</v>
      </c>
      <c r="L46" s="26">
        <f t="shared" si="3"/>
        <v>559.85</v>
      </c>
      <c r="M46" s="26">
        <v>1310</v>
      </c>
      <c r="N46" s="26">
        <f t="shared" si="4"/>
        <v>107938.65724999999</v>
      </c>
      <c r="O46" s="26">
        <f t="shared" si="8"/>
        <v>7733</v>
      </c>
      <c r="P46" s="26">
        <f t="shared" si="6"/>
        <v>88006.734625899291</v>
      </c>
      <c r="Q46" s="26">
        <f t="shared" si="7"/>
        <v>85940.443984999991</v>
      </c>
      <c r="W46" s="23">
        <v>42414</v>
      </c>
      <c r="X46" s="32">
        <v>7567</v>
      </c>
    </row>
    <row r="47" spans="1:24" ht="15" customHeight="1" x14ac:dyDescent="0.25">
      <c r="A47" s="23">
        <v>42471</v>
      </c>
      <c r="B47" s="22">
        <f t="shared" si="0"/>
        <v>16</v>
      </c>
      <c r="C47" s="22">
        <f t="shared" si="1"/>
        <v>4</v>
      </c>
      <c r="D47" s="27">
        <v>66.430000000000007</v>
      </c>
      <c r="E47" s="24">
        <v>500</v>
      </c>
      <c r="F47" s="25">
        <v>450</v>
      </c>
      <c r="G47" s="25">
        <v>545</v>
      </c>
      <c r="H47" s="25">
        <v>545</v>
      </c>
      <c r="I47" s="25">
        <v>520</v>
      </c>
      <c r="J47" s="25">
        <v>626</v>
      </c>
      <c r="K47" s="26">
        <f t="shared" si="2"/>
        <v>605.75</v>
      </c>
      <c r="L47" s="26">
        <f t="shared" si="3"/>
        <v>548.375</v>
      </c>
      <c r="M47" s="26">
        <v>1290</v>
      </c>
      <c r="N47" s="26">
        <f t="shared" si="4"/>
        <v>106376.693</v>
      </c>
      <c r="O47" s="26">
        <f t="shared" si="8"/>
        <v>7833</v>
      </c>
      <c r="P47" s="26">
        <f t="shared" si="6"/>
        <v>89042.084299464594</v>
      </c>
      <c r="Q47" s="26">
        <f t="shared" si="7"/>
        <v>84331.731424999991</v>
      </c>
      <c r="W47" s="23">
        <v>42415</v>
      </c>
      <c r="X47" s="32">
        <v>7500</v>
      </c>
    </row>
    <row r="48" spans="1:24" ht="15" customHeight="1" x14ac:dyDescent="0.25">
      <c r="A48" s="23">
        <v>42472</v>
      </c>
      <c r="B48" s="22">
        <f t="shared" si="0"/>
        <v>16</v>
      </c>
      <c r="C48" s="22">
        <f t="shared" si="1"/>
        <v>4</v>
      </c>
      <c r="D48" s="27">
        <v>66.42</v>
      </c>
      <c r="E48" s="24">
        <v>495</v>
      </c>
      <c r="F48" s="25">
        <v>445</v>
      </c>
      <c r="G48" s="25">
        <v>545</v>
      </c>
      <c r="H48" s="25">
        <v>545</v>
      </c>
      <c r="I48" s="25">
        <v>515</v>
      </c>
      <c r="J48" s="25">
        <v>620</v>
      </c>
      <c r="K48" s="26">
        <f t="shared" si="2"/>
        <v>600.01250000000005</v>
      </c>
      <c r="L48" s="26">
        <f t="shared" si="3"/>
        <v>542.63750000000005</v>
      </c>
      <c r="M48" s="26">
        <v>1290</v>
      </c>
      <c r="N48" s="26">
        <f t="shared" si="4"/>
        <v>106361.34199999999</v>
      </c>
      <c r="O48" s="26">
        <f t="shared" si="8"/>
        <v>7733</v>
      </c>
      <c r="P48" s="26">
        <f t="shared" si="6"/>
        <v>88006.734625899291</v>
      </c>
      <c r="Q48" s="26">
        <f t="shared" si="7"/>
        <v>84319.698949999991</v>
      </c>
      <c r="W48" s="23">
        <v>42416</v>
      </c>
      <c r="X48" s="32">
        <v>7567</v>
      </c>
    </row>
    <row r="49" spans="1:24" ht="15" customHeight="1" x14ac:dyDescent="0.25">
      <c r="A49" s="23">
        <v>42473</v>
      </c>
      <c r="B49" s="22">
        <f t="shared" si="0"/>
        <v>16</v>
      </c>
      <c r="C49" s="22">
        <f t="shared" si="1"/>
        <v>4</v>
      </c>
      <c r="D49" s="27">
        <v>66.64</v>
      </c>
      <c r="E49" s="24">
        <v>505</v>
      </c>
      <c r="F49" s="25">
        <v>445</v>
      </c>
      <c r="G49" s="25">
        <v>550</v>
      </c>
      <c r="H49" s="25">
        <v>540</v>
      </c>
      <c r="I49" s="25">
        <v>520</v>
      </c>
      <c r="J49" s="25">
        <v>626</v>
      </c>
      <c r="K49" s="26">
        <f t="shared" si="2"/>
        <v>611.48750000000007</v>
      </c>
      <c r="L49" s="26">
        <f t="shared" si="3"/>
        <v>542.63750000000005</v>
      </c>
      <c r="M49" s="26">
        <v>1290</v>
      </c>
      <c r="N49" s="26">
        <f t="shared" si="4"/>
        <v>106699.06399999998</v>
      </c>
      <c r="O49" s="26">
        <f t="shared" si="8"/>
        <v>7667</v>
      </c>
      <c r="P49" s="26">
        <f t="shared" si="6"/>
        <v>87323.403841346211</v>
      </c>
      <c r="Q49" s="26">
        <f t="shared" si="7"/>
        <v>84584.41339999999</v>
      </c>
      <c r="W49" s="23">
        <v>42417</v>
      </c>
      <c r="X49" s="32">
        <v>7567</v>
      </c>
    </row>
    <row r="50" spans="1:24" ht="15" customHeight="1" x14ac:dyDescent="0.25">
      <c r="A50" s="23">
        <v>42478</v>
      </c>
      <c r="B50" s="22">
        <f t="shared" si="0"/>
        <v>17</v>
      </c>
      <c r="C50" s="22">
        <f t="shared" si="1"/>
        <v>4</v>
      </c>
      <c r="D50" s="27">
        <v>66.55</v>
      </c>
      <c r="E50" s="24">
        <v>505</v>
      </c>
      <c r="F50" s="25">
        <v>425</v>
      </c>
      <c r="G50" s="25">
        <v>545</v>
      </c>
      <c r="H50" s="25">
        <v>520</v>
      </c>
      <c r="I50" s="25">
        <v>510</v>
      </c>
      <c r="J50" s="25">
        <v>621</v>
      </c>
      <c r="K50" s="26">
        <f t="shared" si="2"/>
        <v>611.48750000000007</v>
      </c>
      <c r="L50" s="26">
        <f t="shared" si="3"/>
        <v>519.6875</v>
      </c>
      <c r="M50" s="26">
        <v>1250</v>
      </c>
      <c r="N50" s="26">
        <f t="shared" si="4"/>
        <v>103556.17249999999</v>
      </c>
      <c r="O50" s="26">
        <f t="shared" si="8"/>
        <v>8000</v>
      </c>
      <c r="P50" s="26">
        <f t="shared" si="6"/>
        <v>90771.118254318601</v>
      </c>
      <c r="Q50" s="26">
        <f t="shared" si="7"/>
        <v>81351.199324999994</v>
      </c>
      <c r="W50" s="23">
        <v>42418</v>
      </c>
      <c r="X50" s="32">
        <v>7633</v>
      </c>
    </row>
    <row r="51" spans="1:24" ht="15" customHeight="1" x14ac:dyDescent="0.25">
      <c r="A51" s="23">
        <v>42479</v>
      </c>
      <c r="B51" s="22">
        <f t="shared" si="0"/>
        <v>17</v>
      </c>
      <c r="C51" s="22">
        <f t="shared" si="1"/>
        <v>4</v>
      </c>
      <c r="D51" s="27">
        <v>66.489999999999995</v>
      </c>
      <c r="E51" s="24">
        <v>500</v>
      </c>
      <c r="F51" s="25">
        <v>430</v>
      </c>
      <c r="G51" s="25">
        <v>545</v>
      </c>
      <c r="H51" s="25">
        <v>519</v>
      </c>
      <c r="I51" s="25">
        <v>510</v>
      </c>
      <c r="J51" s="25">
        <v>626</v>
      </c>
      <c r="K51" s="26">
        <f t="shared" si="2"/>
        <v>605.75</v>
      </c>
      <c r="L51" s="26">
        <f t="shared" si="3"/>
        <v>525.42499999999995</v>
      </c>
      <c r="M51" s="26">
        <v>1260</v>
      </c>
      <c r="N51" s="26">
        <f t="shared" si="4"/>
        <v>104217.28137499999</v>
      </c>
      <c r="O51" s="26">
        <f t="shared" si="8"/>
        <v>8133</v>
      </c>
      <c r="P51" s="26">
        <f t="shared" si="6"/>
        <v>92148.133320160443</v>
      </c>
      <c r="Q51" s="26">
        <f t="shared" si="7"/>
        <v>82062.347944999987</v>
      </c>
      <c r="W51" s="23">
        <v>42419</v>
      </c>
      <c r="X51" s="32">
        <v>7833</v>
      </c>
    </row>
    <row r="52" spans="1:24" ht="15" customHeight="1" x14ac:dyDescent="0.25">
      <c r="A52" s="23">
        <v>42480</v>
      </c>
      <c r="B52" s="22">
        <f t="shared" si="0"/>
        <v>17</v>
      </c>
      <c r="C52" s="22">
        <f t="shared" si="1"/>
        <v>4</v>
      </c>
      <c r="D52" s="27">
        <v>66.3</v>
      </c>
      <c r="E52" s="24">
        <v>495</v>
      </c>
      <c r="F52" s="25">
        <v>425</v>
      </c>
      <c r="G52" s="25">
        <v>555</v>
      </c>
      <c r="H52" s="25">
        <v>535</v>
      </c>
      <c r="I52" s="25">
        <v>510</v>
      </c>
      <c r="J52" s="25">
        <v>621</v>
      </c>
      <c r="K52" s="26">
        <f t="shared" si="2"/>
        <v>600.01250000000005</v>
      </c>
      <c r="L52" s="26">
        <f t="shared" si="3"/>
        <v>519.6875</v>
      </c>
      <c r="M52" s="26">
        <v>1290</v>
      </c>
      <c r="N52" s="26">
        <f t="shared" si="4"/>
        <v>106177.12999999999</v>
      </c>
      <c r="O52" s="26">
        <f t="shared" si="8"/>
        <v>8133</v>
      </c>
      <c r="P52" s="26">
        <f t="shared" si="6"/>
        <v>92148.133320160443</v>
      </c>
      <c r="Q52" s="26">
        <f t="shared" si="7"/>
        <v>84175.309249999991</v>
      </c>
      <c r="W52" s="23">
        <v>42420</v>
      </c>
      <c r="X52" s="32">
        <v>7767</v>
      </c>
    </row>
    <row r="53" spans="1:24" ht="15" customHeight="1" x14ac:dyDescent="0.25">
      <c r="A53" s="23">
        <v>42481</v>
      </c>
      <c r="B53" s="22">
        <f t="shared" si="0"/>
        <v>17</v>
      </c>
      <c r="C53" s="22">
        <f t="shared" si="1"/>
        <v>4</v>
      </c>
      <c r="D53" s="27">
        <v>66.39</v>
      </c>
      <c r="E53" s="24">
        <v>500</v>
      </c>
      <c r="F53" s="25">
        <v>430</v>
      </c>
      <c r="G53" s="25">
        <v>565</v>
      </c>
      <c r="H53" s="25">
        <v>540</v>
      </c>
      <c r="I53" s="25">
        <v>510</v>
      </c>
      <c r="J53" s="25">
        <v>626</v>
      </c>
      <c r="K53" s="26">
        <f t="shared" si="2"/>
        <v>605.75</v>
      </c>
      <c r="L53" s="26">
        <f t="shared" si="3"/>
        <v>525.42499999999995</v>
      </c>
      <c r="M53" s="26">
        <v>1290</v>
      </c>
      <c r="N53" s="26">
        <f t="shared" si="4"/>
        <v>106315.28899999999</v>
      </c>
      <c r="O53" s="26">
        <f t="shared" si="8"/>
        <v>8400</v>
      </c>
      <c r="P53" s="26">
        <f t="shared" si="6"/>
        <v>94912.516948579738</v>
      </c>
      <c r="Q53" s="26">
        <f t="shared" si="7"/>
        <v>84283.601524999991</v>
      </c>
      <c r="W53" s="23">
        <v>42421</v>
      </c>
      <c r="X53" s="32">
        <v>7767</v>
      </c>
    </row>
    <row r="54" spans="1:24" ht="15" customHeight="1" x14ac:dyDescent="0.25">
      <c r="A54" s="23">
        <v>42482</v>
      </c>
      <c r="B54" s="22">
        <f t="shared" si="0"/>
        <v>17</v>
      </c>
      <c r="C54" s="22">
        <f t="shared" si="1"/>
        <v>4</v>
      </c>
      <c r="D54" s="27">
        <v>66.489999999999995</v>
      </c>
      <c r="E54" s="24">
        <v>500</v>
      </c>
      <c r="F54" s="25">
        <v>430</v>
      </c>
      <c r="G54" s="25">
        <v>570</v>
      </c>
      <c r="H54" s="25">
        <v>542</v>
      </c>
      <c r="I54" s="25">
        <v>515</v>
      </c>
      <c r="J54" s="25">
        <v>626</v>
      </c>
      <c r="K54" s="26">
        <f t="shared" si="2"/>
        <v>605.75</v>
      </c>
      <c r="L54" s="26">
        <f t="shared" si="3"/>
        <v>525.42499999999995</v>
      </c>
      <c r="M54" s="26">
        <v>1285</v>
      </c>
      <c r="N54" s="26">
        <f t="shared" si="4"/>
        <v>106093.54606249998</v>
      </c>
      <c r="O54" s="26">
        <f t="shared" si="8"/>
        <v>8467</v>
      </c>
      <c r="P54" s="26">
        <f t="shared" si="6"/>
        <v>95606.201229868486</v>
      </c>
      <c r="Q54" s="26">
        <f t="shared" si="7"/>
        <v>84013.663219999988</v>
      </c>
      <c r="W54" s="23">
        <v>42422</v>
      </c>
      <c r="X54" s="32">
        <v>7833</v>
      </c>
    </row>
    <row r="55" spans="1:24" ht="15" customHeight="1" x14ac:dyDescent="0.25">
      <c r="A55" s="23">
        <v>42485</v>
      </c>
      <c r="B55" s="22">
        <f t="shared" si="0"/>
        <v>18</v>
      </c>
      <c r="C55" s="22">
        <f t="shared" si="1"/>
        <v>4</v>
      </c>
      <c r="D55" s="27">
        <v>66.61</v>
      </c>
      <c r="E55" s="24">
        <v>490</v>
      </c>
      <c r="F55" s="25">
        <v>420</v>
      </c>
      <c r="G55" s="25">
        <v>565</v>
      </c>
      <c r="H55" s="25">
        <v>535</v>
      </c>
      <c r="I55" s="25">
        <v>515</v>
      </c>
      <c r="J55" s="25">
        <v>615</v>
      </c>
      <c r="K55" s="26">
        <f t="shared" si="2"/>
        <v>594.27499999999998</v>
      </c>
      <c r="L55" s="26">
        <f t="shared" si="3"/>
        <v>513.95000000000005</v>
      </c>
      <c r="M55" s="26">
        <v>1275</v>
      </c>
      <c r="N55" s="26">
        <f t="shared" si="4"/>
        <v>105525.22043749999</v>
      </c>
      <c r="O55" s="26">
        <f t="shared" si="8"/>
        <v>8400</v>
      </c>
      <c r="P55" s="26">
        <f t="shared" si="6"/>
        <v>94912.516948579738</v>
      </c>
      <c r="Q55" s="26">
        <f t="shared" si="7"/>
        <v>83375.413790000006</v>
      </c>
      <c r="W55" s="23">
        <v>42423</v>
      </c>
      <c r="X55" s="32">
        <v>7967</v>
      </c>
    </row>
    <row r="56" spans="1:24" ht="15" customHeight="1" x14ac:dyDescent="0.25">
      <c r="A56" s="23">
        <v>42486</v>
      </c>
      <c r="B56" s="22">
        <f t="shared" si="0"/>
        <v>18</v>
      </c>
      <c r="C56" s="22">
        <f t="shared" si="1"/>
        <v>4</v>
      </c>
      <c r="D56" s="27">
        <v>66.52</v>
      </c>
      <c r="E56" s="24">
        <v>500</v>
      </c>
      <c r="F56" s="25">
        <v>430</v>
      </c>
      <c r="G56" s="25">
        <v>565</v>
      </c>
      <c r="H56" s="25">
        <v>535</v>
      </c>
      <c r="I56" s="25">
        <v>515</v>
      </c>
      <c r="J56" s="25">
        <v>626</v>
      </c>
      <c r="K56" s="26">
        <f t="shared" si="2"/>
        <v>605.75</v>
      </c>
      <c r="L56" s="26">
        <f t="shared" si="3"/>
        <v>525.42499999999995</v>
      </c>
      <c r="M56" s="26">
        <v>1275</v>
      </c>
      <c r="N56" s="26">
        <f t="shared" si="4"/>
        <v>105388.58524999999</v>
      </c>
      <c r="O56" s="26">
        <f t="shared" si="8"/>
        <v>8067</v>
      </c>
      <c r="P56" s="26">
        <f t="shared" si="6"/>
        <v>91464.802535607363</v>
      </c>
      <c r="Q56" s="26">
        <f t="shared" si="7"/>
        <v>83268.706279999999</v>
      </c>
      <c r="W56" s="23">
        <v>42424</v>
      </c>
      <c r="X56" s="32">
        <v>8167</v>
      </c>
    </row>
    <row r="57" spans="1:24" ht="15" customHeight="1" x14ac:dyDescent="0.25">
      <c r="A57" s="23">
        <v>42487</v>
      </c>
      <c r="B57" s="22">
        <f t="shared" si="0"/>
        <v>18</v>
      </c>
      <c r="C57" s="22">
        <f t="shared" si="1"/>
        <v>4</v>
      </c>
      <c r="D57" s="27">
        <v>66.58</v>
      </c>
      <c r="E57" s="24">
        <v>500</v>
      </c>
      <c r="F57" s="25">
        <v>435</v>
      </c>
      <c r="G57" s="25">
        <v>565</v>
      </c>
      <c r="H57" s="25">
        <v>540</v>
      </c>
      <c r="I57" s="25">
        <v>515</v>
      </c>
      <c r="J57" s="25">
        <v>626</v>
      </c>
      <c r="K57" s="26">
        <f t="shared" si="2"/>
        <v>605.75</v>
      </c>
      <c r="L57" s="26">
        <f t="shared" si="3"/>
        <v>531.16249999999991</v>
      </c>
      <c r="M57" s="26">
        <v>1260</v>
      </c>
      <c r="N57" s="26">
        <f t="shared" si="4"/>
        <v>104352.39274999998</v>
      </c>
      <c r="O57" s="26">
        <f t="shared" si="8"/>
        <v>8133</v>
      </c>
      <c r="P57" s="26">
        <f t="shared" si="6"/>
        <v>92148.133320160443</v>
      </c>
      <c r="Q57" s="26">
        <f t="shared" si="7"/>
        <v>82167.470689999987</v>
      </c>
      <c r="W57" s="23">
        <v>42425</v>
      </c>
      <c r="X57" s="32">
        <v>8100</v>
      </c>
    </row>
    <row r="58" spans="1:24" ht="15" customHeight="1" x14ac:dyDescent="0.25">
      <c r="A58" s="23">
        <v>42488</v>
      </c>
      <c r="B58" s="22">
        <f t="shared" si="0"/>
        <v>18</v>
      </c>
      <c r="C58" s="22">
        <f t="shared" si="1"/>
        <v>4</v>
      </c>
      <c r="D58" s="27">
        <v>66.52</v>
      </c>
      <c r="E58" s="24">
        <v>490</v>
      </c>
      <c r="F58" s="25">
        <v>425</v>
      </c>
      <c r="G58" s="25">
        <v>558</v>
      </c>
      <c r="H58" s="25">
        <v>530</v>
      </c>
      <c r="I58" s="25">
        <v>510</v>
      </c>
      <c r="J58" s="25">
        <v>615</v>
      </c>
      <c r="K58" s="26">
        <f t="shared" si="2"/>
        <v>594.27499999999998</v>
      </c>
      <c r="L58" s="26">
        <f t="shared" si="3"/>
        <v>519.6875</v>
      </c>
      <c r="M58" s="26">
        <v>1250</v>
      </c>
      <c r="N58" s="26">
        <f t="shared" si="4"/>
        <v>103511.47399999999</v>
      </c>
      <c r="O58" s="26">
        <f t="shared" si="8"/>
        <v>8267</v>
      </c>
      <c r="P58" s="26">
        <f t="shared" si="6"/>
        <v>93535.501882737939</v>
      </c>
      <c r="Q58" s="26">
        <f t="shared" si="7"/>
        <v>81316.510579999987</v>
      </c>
      <c r="W58" s="23">
        <v>42426</v>
      </c>
      <c r="X58" s="32">
        <v>7967</v>
      </c>
    </row>
    <row r="59" spans="1:24" ht="15" customHeight="1" x14ac:dyDescent="0.25">
      <c r="A59" s="23">
        <v>42489</v>
      </c>
      <c r="B59" s="22">
        <f t="shared" si="0"/>
        <v>18</v>
      </c>
      <c r="C59" s="22">
        <f t="shared" si="1"/>
        <v>4</v>
      </c>
      <c r="D59" s="27">
        <v>66.33</v>
      </c>
      <c r="E59" s="24">
        <v>490</v>
      </c>
      <c r="F59" s="25">
        <v>425</v>
      </c>
      <c r="G59" s="25">
        <v>554</v>
      </c>
      <c r="H59" s="25">
        <v>527</v>
      </c>
      <c r="I59" s="25">
        <v>510</v>
      </c>
      <c r="J59" s="25">
        <v>615</v>
      </c>
      <c r="K59" s="26">
        <f t="shared" si="2"/>
        <v>594.27499999999998</v>
      </c>
      <c r="L59" s="26">
        <f t="shared" si="3"/>
        <v>519.6875</v>
      </c>
      <c r="M59" s="26">
        <v>1260</v>
      </c>
      <c r="N59" s="26">
        <f t="shared" si="4"/>
        <v>103977.08337499999</v>
      </c>
      <c r="O59" s="26">
        <f t="shared" si="8"/>
        <v>8067</v>
      </c>
      <c r="P59" s="26">
        <f t="shared" si="6"/>
        <v>91464.802535607363</v>
      </c>
      <c r="Q59" s="26">
        <f t="shared" si="7"/>
        <v>81875.463064999989</v>
      </c>
      <c r="W59" s="23">
        <v>42427</v>
      </c>
      <c r="X59" s="32">
        <v>7767</v>
      </c>
    </row>
    <row r="60" spans="1:24" ht="15" customHeight="1" x14ac:dyDescent="0.25">
      <c r="A60" s="23">
        <v>42492</v>
      </c>
      <c r="B60" s="22">
        <f t="shared" si="0"/>
        <v>19</v>
      </c>
      <c r="C60" s="22">
        <f t="shared" si="1"/>
        <v>5</v>
      </c>
      <c r="D60" s="27">
        <v>66.459999999999994</v>
      </c>
      <c r="E60" s="24">
        <v>490</v>
      </c>
      <c r="F60" s="25">
        <v>420</v>
      </c>
      <c r="G60" s="25">
        <v>550</v>
      </c>
      <c r="H60" s="25">
        <v>520</v>
      </c>
      <c r="I60" s="25">
        <v>510</v>
      </c>
      <c r="J60" s="25">
        <v>610</v>
      </c>
      <c r="K60" s="26">
        <f t="shared" si="2"/>
        <v>594.27499999999998</v>
      </c>
      <c r="L60" s="26">
        <f t="shared" si="3"/>
        <v>513.95000000000005</v>
      </c>
      <c r="M60" s="26">
        <v>1255</v>
      </c>
      <c r="N60" s="26">
        <f t="shared" si="4"/>
        <v>103797.16062499997</v>
      </c>
      <c r="O60" s="26">
        <f t="shared" si="8"/>
        <v>7600</v>
      </c>
      <c r="P60" s="26">
        <f t="shared" si="6"/>
        <v>86629.719560057478</v>
      </c>
      <c r="Q60" s="26">
        <f t="shared" si="7"/>
        <v>81637.220059999992</v>
      </c>
      <c r="W60" s="23">
        <v>42428</v>
      </c>
      <c r="X60" s="32">
        <v>7767</v>
      </c>
    </row>
    <row r="61" spans="1:24" ht="15" customHeight="1" x14ac:dyDescent="0.25">
      <c r="A61" s="23">
        <v>42493</v>
      </c>
      <c r="B61" s="22">
        <f t="shared" si="0"/>
        <v>19</v>
      </c>
      <c r="C61" s="22">
        <f t="shared" si="1"/>
        <v>5</v>
      </c>
      <c r="D61" s="27">
        <v>66.430000000000007</v>
      </c>
      <c r="E61" s="24">
        <v>475</v>
      </c>
      <c r="F61" s="25">
        <v>415</v>
      </c>
      <c r="G61" s="25">
        <v>546</v>
      </c>
      <c r="H61" s="25">
        <v>515</v>
      </c>
      <c r="I61" s="25">
        <v>510</v>
      </c>
      <c r="J61" s="25">
        <v>605</v>
      </c>
      <c r="K61" s="26">
        <f t="shared" si="2"/>
        <v>577.0625</v>
      </c>
      <c r="L61" s="26">
        <f t="shared" si="3"/>
        <v>508.21250000000003</v>
      </c>
      <c r="M61" s="26">
        <v>1250</v>
      </c>
      <c r="N61" s="26">
        <f t="shared" si="4"/>
        <v>103377.37850000001</v>
      </c>
      <c r="O61" s="26">
        <f t="shared" si="8"/>
        <v>7733</v>
      </c>
      <c r="P61" s="26">
        <f t="shared" si="6"/>
        <v>88006.734625899291</v>
      </c>
      <c r="Q61" s="26">
        <f t="shared" si="7"/>
        <v>81212.444345000011</v>
      </c>
      <c r="W61" s="23">
        <v>42429</v>
      </c>
      <c r="X61" s="32">
        <v>7500</v>
      </c>
    </row>
    <row r="62" spans="1:24" ht="15" customHeight="1" x14ac:dyDescent="0.25">
      <c r="A62" s="23">
        <v>42494</v>
      </c>
      <c r="B62" s="22">
        <f t="shared" si="0"/>
        <v>19</v>
      </c>
      <c r="C62" s="22">
        <f t="shared" si="1"/>
        <v>5</v>
      </c>
      <c r="D62" s="27">
        <v>66.55</v>
      </c>
      <c r="E62" s="24">
        <v>485</v>
      </c>
      <c r="F62" s="25">
        <v>425</v>
      </c>
      <c r="G62" s="25">
        <v>546</v>
      </c>
      <c r="H62" s="25">
        <v>517</v>
      </c>
      <c r="I62" s="25">
        <v>510</v>
      </c>
      <c r="J62" s="25">
        <v>610</v>
      </c>
      <c r="K62" s="26">
        <f t="shared" si="2"/>
        <v>588.53750000000002</v>
      </c>
      <c r="L62" s="26">
        <f t="shared" si="3"/>
        <v>519.6875</v>
      </c>
      <c r="M62" s="26">
        <v>1240</v>
      </c>
      <c r="N62" s="26">
        <f t="shared" si="4"/>
        <v>102804.98937499999</v>
      </c>
      <c r="O62" s="26">
        <f t="shared" si="8"/>
        <v>7800</v>
      </c>
      <c r="P62" s="26">
        <f t="shared" si="6"/>
        <v>88700.418907188068</v>
      </c>
      <c r="Q62" s="26">
        <f t="shared" si="7"/>
        <v>80569.968874999991</v>
      </c>
      <c r="W62" s="23">
        <v>42430</v>
      </c>
      <c r="X62" s="32">
        <v>7500</v>
      </c>
    </row>
    <row r="63" spans="1:24" ht="15" customHeight="1" x14ac:dyDescent="0.25">
      <c r="A63" s="23">
        <v>42495</v>
      </c>
      <c r="B63" s="22">
        <f t="shared" si="0"/>
        <v>19</v>
      </c>
      <c r="C63" s="22">
        <f t="shared" si="1"/>
        <v>5</v>
      </c>
      <c r="D63" s="27">
        <v>66.55</v>
      </c>
      <c r="E63" s="24">
        <v>480</v>
      </c>
      <c r="F63" s="25">
        <v>425</v>
      </c>
      <c r="G63" s="25">
        <v>550</v>
      </c>
      <c r="H63" s="25">
        <v>517</v>
      </c>
      <c r="I63" s="25">
        <v>510</v>
      </c>
      <c r="J63" s="25">
        <v>610</v>
      </c>
      <c r="K63" s="26">
        <f t="shared" si="2"/>
        <v>582.80000000000007</v>
      </c>
      <c r="L63" s="26">
        <f t="shared" si="3"/>
        <v>519.6875</v>
      </c>
      <c r="M63" s="26">
        <v>1240</v>
      </c>
      <c r="N63" s="26">
        <f t="shared" si="4"/>
        <v>102804.98937499999</v>
      </c>
      <c r="O63" s="26">
        <f t="shared" si="8"/>
        <v>7667</v>
      </c>
      <c r="P63" s="26">
        <f t="shared" si="6"/>
        <v>87323.403841346211</v>
      </c>
      <c r="Q63" s="26">
        <f t="shared" si="7"/>
        <v>80569.968874999991</v>
      </c>
      <c r="W63" s="23">
        <v>42431</v>
      </c>
      <c r="X63" s="32">
        <v>7567</v>
      </c>
    </row>
    <row r="64" spans="1:24" ht="15" customHeight="1" x14ac:dyDescent="0.25">
      <c r="A64" s="23">
        <v>42496</v>
      </c>
      <c r="B64" s="22">
        <f t="shared" si="0"/>
        <v>19</v>
      </c>
      <c r="C64" s="22">
        <f t="shared" si="1"/>
        <v>5</v>
      </c>
      <c r="D64" s="27">
        <v>66.55</v>
      </c>
      <c r="E64" s="24">
        <v>480</v>
      </c>
      <c r="F64" s="25">
        <v>425</v>
      </c>
      <c r="G64" s="25">
        <v>550</v>
      </c>
      <c r="H64" s="25">
        <v>517</v>
      </c>
      <c r="I64" s="25">
        <v>510</v>
      </c>
      <c r="J64" s="25">
        <v>605</v>
      </c>
      <c r="K64" s="26">
        <f t="shared" si="2"/>
        <v>582.80000000000007</v>
      </c>
      <c r="L64" s="26">
        <f t="shared" si="3"/>
        <v>519.6875</v>
      </c>
      <c r="M64" s="26">
        <v>1225</v>
      </c>
      <c r="N64" s="26">
        <f t="shared" si="4"/>
        <v>101678.21468749999</v>
      </c>
      <c r="O64" s="26">
        <f t="shared" si="8"/>
        <v>7733</v>
      </c>
      <c r="P64" s="26">
        <f t="shared" si="6"/>
        <v>88006.734625899291</v>
      </c>
      <c r="Q64" s="26">
        <f t="shared" si="7"/>
        <v>79398.123200000002</v>
      </c>
      <c r="W64" s="23">
        <v>42432</v>
      </c>
      <c r="X64" s="32">
        <v>7633</v>
      </c>
    </row>
    <row r="65" spans="1:24" ht="15" customHeight="1" x14ac:dyDescent="0.25">
      <c r="A65" s="23">
        <v>42499</v>
      </c>
      <c r="B65" s="22">
        <f t="shared" si="0"/>
        <v>20</v>
      </c>
      <c r="C65" s="22">
        <f t="shared" si="1"/>
        <v>5</v>
      </c>
      <c r="D65" s="27">
        <v>66.58</v>
      </c>
      <c r="E65" s="24">
        <v>485</v>
      </c>
      <c r="F65" s="25">
        <v>430</v>
      </c>
      <c r="G65" s="25">
        <v>555</v>
      </c>
      <c r="H65" s="25">
        <v>520</v>
      </c>
      <c r="I65" s="25">
        <v>515</v>
      </c>
      <c r="J65" s="25">
        <v>610</v>
      </c>
      <c r="K65" s="26">
        <f t="shared" si="2"/>
        <v>588.53750000000002</v>
      </c>
      <c r="L65" s="26">
        <f t="shared" si="3"/>
        <v>525.42499999999995</v>
      </c>
      <c r="M65" s="26">
        <v>1235</v>
      </c>
      <c r="N65" s="26">
        <f t="shared" si="4"/>
        <v>102473.58837499999</v>
      </c>
      <c r="O65" s="26">
        <f t="shared" si="8"/>
        <v>7667</v>
      </c>
      <c r="P65" s="26">
        <f t="shared" si="6"/>
        <v>87323.403841346211</v>
      </c>
      <c r="Q65" s="26">
        <f t="shared" si="7"/>
        <v>80213.514139999999</v>
      </c>
      <c r="W65" s="23">
        <v>42433</v>
      </c>
      <c r="X65" s="32">
        <v>7500</v>
      </c>
    </row>
    <row r="66" spans="1:24" ht="15" customHeight="1" x14ac:dyDescent="0.25">
      <c r="A66" s="23">
        <v>42500</v>
      </c>
      <c r="B66" s="22">
        <f t="shared" ref="B66:B129" si="10">WEEKNUM(A66)</f>
        <v>20</v>
      </c>
      <c r="C66" s="22">
        <f t="shared" ref="C66:C129" si="11">MONTH(A66)</f>
        <v>5</v>
      </c>
      <c r="D66" s="27">
        <v>66.680000000000007</v>
      </c>
      <c r="E66" s="24">
        <v>480</v>
      </c>
      <c r="F66" s="25">
        <v>420</v>
      </c>
      <c r="G66" s="25">
        <v>550</v>
      </c>
      <c r="H66" s="25">
        <v>520</v>
      </c>
      <c r="I66" s="25">
        <v>515</v>
      </c>
      <c r="J66" s="25">
        <v>605</v>
      </c>
      <c r="K66" s="26">
        <f t="shared" ref="K66:K129" si="12">E66*1.02*1.125+32</f>
        <v>582.80000000000007</v>
      </c>
      <c r="L66" s="26">
        <f t="shared" ref="L66:L129" si="13">F66*1.02*1.125+32</f>
        <v>513.95000000000005</v>
      </c>
      <c r="M66" s="26">
        <v>1235</v>
      </c>
      <c r="N66" s="26">
        <f t="shared" ref="N66:N129" si="14">(M66+25+45)*D66*(1+12.5%*1.03)+4400</f>
        <v>102620.89025</v>
      </c>
      <c r="O66" s="26">
        <f t="shared" ref="O66:O100" si="15">VLOOKUP(A66,$W$2:$X$502,2,FALSE)</f>
        <v>7633</v>
      </c>
      <c r="P66" s="26">
        <f t="shared" ref="P66:P129" si="16">((0.985*O66*(1+$R$2)*(1+$R$3)+$R$4*10)*(1+$R$5)*(1+$R$6)+$R$7)*(1+$R$9)*10+$S$8</f>
        <v>86971.384952334032</v>
      </c>
      <c r="Q66" s="26">
        <f t="shared" ref="Q66:Q129" si="17">(M66-300+35)*D66*1.1739+4400</f>
        <v>80327.382440000001</v>
      </c>
      <c r="W66" s="23">
        <v>42434</v>
      </c>
      <c r="X66" s="32">
        <v>7167</v>
      </c>
    </row>
    <row r="67" spans="1:24" ht="15" customHeight="1" x14ac:dyDescent="0.25">
      <c r="A67" s="23">
        <v>42501</v>
      </c>
      <c r="B67" s="22">
        <f t="shared" si="10"/>
        <v>20</v>
      </c>
      <c r="C67" s="22">
        <f t="shared" si="11"/>
        <v>5</v>
      </c>
      <c r="D67" s="27">
        <v>66.569999999999993</v>
      </c>
      <c r="E67" s="24">
        <v>480</v>
      </c>
      <c r="F67" s="25">
        <v>420</v>
      </c>
      <c r="G67" s="25">
        <v>550</v>
      </c>
      <c r="H67" s="25">
        <v>520</v>
      </c>
      <c r="I67" s="25">
        <v>515</v>
      </c>
      <c r="J67" s="25">
        <v>605</v>
      </c>
      <c r="K67" s="26">
        <f t="shared" si="12"/>
        <v>582.80000000000007</v>
      </c>
      <c r="L67" s="26">
        <f t="shared" si="13"/>
        <v>513.95000000000005</v>
      </c>
      <c r="M67" s="26">
        <v>1235</v>
      </c>
      <c r="N67" s="26">
        <f t="shared" si="14"/>
        <v>102458.85818749998</v>
      </c>
      <c r="O67" s="26">
        <f t="shared" si="15"/>
        <v>7600</v>
      </c>
      <c r="P67" s="26">
        <f t="shared" si="16"/>
        <v>86629.719560057478</v>
      </c>
      <c r="Q67" s="26">
        <f t="shared" si="17"/>
        <v>80202.127309999996</v>
      </c>
      <c r="W67" s="23">
        <v>42435</v>
      </c>
      <c r="X67" s="32">
        <v>7167</v>
      </c>
    </row>
    <row r="68" spans="1:24" ht="15" customHeight="1" x14ac:dyDescent="0.25">
      <c r="A68" s="23">
        <v>42502</v>
      </c>
      <c r="B68" s="22">
        <f t="shared" si="10"/>
        <v>20</v>
      </c>
      <c r="C68" s="22">
        <f t="shared" si="11"/>
        <v>5</v>
      </c>
      <c r="D68" s="27">
        <v>66.62</v>
      </c>
      <c r="E68" s="24">
        <v>475</v>
      </c>
      <c r="F68" s="25">
        <v>418</v>
      </c>
      <c r="G68" s="25">
        <v>550</v>
      </c>
      <c r="H68" s="25">
        <v>525</v>
      </c>
      <c r="I68" s="25">
        <v>515</v>
      </c>
      <c r="J68" s="25">
        <v>605</v>
      </c>
      <c r="K68" s="26">
        <f t="shared" si="12"/>
        <v>577.0625</v>
      </c>
      <c r="L68" s="26">
        <f t="shared" si="13"/>
        <v>511.65500000000003</v>
      </c>
      <c r="M68" s="26">
        <v>1200</v>
      </c>
      <c r="N68" s="26">
        <f t="shared" si="14"/>
        <v>99900.602750000005</v>
      </c>
      <c r="O68" s="26">
        <f t="shared" si="15"/>
        <v>7467</v>
      </c>
      <c r="P68" s="26">
        <f t="shared" si="16"/>
        <v>85252.704494215635</v>
      </c>
      <c r="Q68" s="26">
        <f t="shared" si="17"/>
        <v>77521.878830000001</v>
      </c>
      <c r="W68" s="23">
        <v>42436</v>
      </c>
      <c r="X68" s="32">
        <v>7167</v>
      </c>
    </row>
    <row r="69" spans="1:24" ht="15" customHeight="1" x14ac:dyDescent="0.25">
      <c r="A69" s="23">
        <v>42503</v>
      </c>
      <c r="B69" s="22">
        <f t="shared" si="10"/>
        <v>20</v>
      </c>
      <c r="C69" s="22">
        <f t="shared" si="11"/>
        <v>5</v>
      </c>
      <c r="D69" s="27">
        <v>66.760000000000005</v>
      </c>
      <c r="E69" s="24">
        <v>470</v>
      </c>
      <c r="F69" s="25">
        <v>413</v>
      </c>
      <c r="G69" s="25">
        <v>550</v>
      </c>
      <c r="H69" s="25">
        <v>525</v>
      </c>
      <c r="I69" s="25">
        <v>515</v>
      </c>
      <c r="J69" s="25">
        <v>600</v>
      </c>
      <c r="K69" s="26">
        <f t="shared" si="12"/>
        <v>571.32500000000005</v>
      </c>
      <c r="L69" s="26">
        <f t="shared" si="13"/>
        <v>505.91750000000002</v>
      </c>
      <c r="M69" s="26">
        <v>1200</v>
      </c>
      <c r="N69" s="26">
        <f t="shared" si="14"/>
        <v>100101.2945</v>
      </c>
      <c r="O69" s="26">
        <f t="shared" si="15"/>
        <v>7400</v>
      </c>
      <c r="P69" s="26">
        <f t="shared" si="16"/>
        <v>84559.020212926916</v>
      </c>
      <c r="Q69" s="26">
        <f t="shared" si="17"/>
        <v>77675.54234</v>
      </c>
      <c r="W69" s="23">
        <v>42437</v>
      </c>
      <c r="X69" s="32">
        <v>7167</v>
      </c>
    </row>
    <row r="70" spans="1:24" ht="15" customHeight="1" x14ac:dyDescent="0.25">
      <c r="A70" s="23">
        <v>42506</v>
      </c>
      <c r="B70" s="22">
        <f t="shared" si="10"/>
        <v>21</v>
      </c>
      <c r="C70" s="22">
        <f t="shared" si="11"/>
        <v>5</v>
      </c>
      <c r="D70" s="27">
        <v>66.8</v>
      </c>
      <c r="E70" s="24">
        <v>475</v>
      </c>
      <c r="F70" s="25">
        <v>410</v>
      </c>
      <c r="G70" s="25">
        <v>545</v>
      </c>
      <c r="H70" s="25">
        <v>515</v>
      </c>
      <c r="I70" s="25">
        <v>515</v>
      </c>
      <c r="J70" s="25">
        <v>605</v>
      </c>
      <c r="K70" s="26">
        <f t="shared" si="12"/>
        <v>577.0625</v>
      </c>
      <c r="L70" s="26">
        <f t="shared" si="13"/>
        <v>502.47499999999997</v>
      </c>
      <c r="M70" s="26">
        <v>1200</v>
      </c>
      <c r="N70" s="26">
        <f t="shared" si="14"/>
        <v>100158.63499999999</v>
      </c>
      <c r="O70" s="26">
        <f t="shared" si="15"/>
        <v>7467</v>
      </c>
      <c r="P70" s="26">
        <f t="shared" si="16"/>
        <v>85252.704494215635</v>
      </c>
      <c r="Q70" s="26">
        <f t="shared" si="17"/>
        <v>77719.446199999991</v>
      </c>
      <c r="W70" s="23">
        <v>42438</v>
      </c>
      <c r="X70" s="32">
        <v>7100</v>
      </c>
    </row>
    <row r="71" spans="1:24" ht="15" customHeight="1" x14ac:dyDescent="0.25">
      <c r="A71" s="23">
        <v>42507</v>
      </c>
      <c r="B71" s="22">
        <f t="shared" si="10"/>
        <v>21</v>
      </c>
      <c r="C71" s="22">
        <f t="shared" si="11"/>
        <v>5</v>
      </c>
      <c r="D71" s="27">
        <v>66.87</v>
      </c>
      <c r="E71" s="24">
        <v>475</v>
      </c>
      <c r="F71" s="25">
        <v>415</v>
      </c>
      <c r="G71" s="25">
        <v>545</v>
      </c>
      <c r="H71" s="25">
        <v>510</v>
      </c>
      <c r="I71" s="25">
        <v>515</v>
      </c>
      <c r="J71" s="25">
        <v>605</v>
      </c>
      <c r="K71" s="26">
        <f t="shared" si="12"/>
        <v>577.0625</v>
      </c>
      <c r="L71" s="26">
        <f t="shared" si="13"/>
        <v>508.21250000000003</v>
      </c>
      <c r="M71" s="26">
        <v>1190</v>
      </c>
      <c r="N71" s="26">
        <f t="shared" si="14"/>
        <v>99504.185750000004</v>
      </c>
      <c r="O71" s="26">
        <f t="shared" si="15"/>
        <v>7600</v>
      </c>
      <c r="P71" s="26">
        <f t="shared" si="16"/>
        <v>86629.719560057478</v>
      </c>
      <c r="Q71" s="26">
        <f t="shared" si="17"/>
        <v>77011.291024999999</v>
      </c>
      <c r="W71" s="23">
        <v>42439</v>
      </c>
      <c r="X71" s="32">
        <v>7100</v>
      </c>
    </row>
    <row r="72" spans="1:24" ht="15" customHeight="1" x14ac:dyDescent="0.25">
      <c r="A72" s="23">
        <v>42508</v>
      </c>
      <c r="B72" s="22">
        <f t="shared" si="10"/>
        <v>21</v>
      </c>
      <c r="C72" s="22">
        <f t="shared" si="11"/>
        <v>5</v>
      </c>
      <c r="D72" s="27">
        <v>66.97</v>
      </c>
      <c r="E72" s="24">
        <v>465</v>
      </c>
      <c r="F72" s="25">
        <v>405</v>
      </c>
      <c r="G72" s="25">
        <v>540</v>
      </c>
      <c r="H72" s="25">
        <v>495</v>
      </c>
      <c r="I72" s="25">
        <v>500</v>
      </c>
      <c r="J72" s="25">
        <v>595</v>
      </c>
      <c r="K72" s="26">
        <f t="shared" si="12"/>
        <v>565.58749999999998</v>
      </c>
      <c r="L72" s="26">
        <f t="shared" si="13"/>
        <v>496.73750000000001</v>
      </c>
      <c r="M72" s="26">
        <v>1190</v>
      </c>
      <c r="N72" s="26">
        <f t="shared" si="14"/>
        <v>99646.408249999993</v>
      </c>
      <c r="O72" s="26">
        <f t="shared" si="15"/>
        <v>7600</v>
      </c>
      <c r="P72" s="26">
        <f t="shared" si="16"/>
        <v>86629.719560057478</v>
      </c>
      <c r="Q72" s="26">
        <f t="shared" si="17"/>
        <v>77119.876774999997</v>
      </c>
      <c r="W72" s="23">
        <v>42440</v>
      </c>
      <c r="X72" s="32">
        <v>7033</v>
      </c>
    </row>
    <row r="73" spans="1:24" ht="15" customHeight="1" x14ac:dyDescent="0.25">
      <c r="A73" s="23">
        <v>42509</v>
      </c>
      <c r="B73" s="22">
        <f t="shared" si="10"/>
        <v>21</v>
      </c>
      <c r="C73" s="22">
        <f t="shared" si="11"/>
        <v>5</v>
      </c>
      <c r="D73" s="27">
        <v>67.37</v>
      </c>
      <c r="E73" s="24">
        <v>460</v>
      </c>
      <c r="F73" s="25">
        <v>400</v>
      </c>
      <c r="G73" s="25">
        <v>540</v>
      </c>
      <c r="H73" s="25">
        <v>490</v>
      </c>
      <c r="I73" s="25">
        <v>500</v>
      </c>
      <c r="J73" s="25">
        <v>595</v>
      </c>
      <c r="K73" s="26">
        <f t="shared" si="12"/>
        <v>559.85</v>
      </c>
      <c r="L73" s="26">
        <f t="shared" si="13"/>
        <v>491</v>
      </c>
      <c r="M73" s="26">
        <v>1185</v>
      </c>
      <c r="N73" s="26">
        <f t="shared" si="14"/>
        <v>99835.078812499996</v>
      </c>
      <c r="O73" s="26">
        <f t="shared" si="15"/>
        <v>7533</v>
      </c>
      <c r="P73" s="26">
        <f t="shared" si="16"/>
        <v>85936.035278768744</v>
      </c>
      <c r="Q73" s="26">
        <f t="shared" si="17"/>
        <v>77158.791559999998</v>
      </c>
      <c r="R73" s="35"/>
      <c r="W73" s="23">
        <v>42441</v>
      </c>
      <c r="X73" s="32">
        <v>6967</v>
      </c>
    </row>
    <row r="74" spans="1:24" ht="15" customHeight="1" x14ac:dyDescent="0.25">
      <c r="A74" s="23">
        <v>42510</v>
      </c>
      <c r="B74" s="22">
        <f t="shared" si="10"/>
        <v>21</v>
      </c>
      <c r="C74" s="22">
        <f t="shared" si="11"/>
        <v>5</v>
      </c>
      <c r="D74" s="27">
        <v>67.37</v>
      </c>
      <c r="E74" s="24">
        <v>465</v>
      </c>
      <c r="F74" s="25">
        <v>395</v>
      </c>
      <c r="G74" s="25">
        <v>525</v>
      </c>
      <c r="H74" s="25">
        <v>490</v>
      </c>
      <c r="I74" s="25">
        <v>500</v>
      </c>
      <c r="J74" s="25">
        <v>600</v>
      </c>
      <c r="K74" s="26">
        <f t="shared" si="12"/>
        <v>565.58749999999998</v>
      </c>
      <c r="L74" s="26">
        <f t="shared" si="13"/>
        <v>485.26250000000005</v>
      </c>
      <c r="M74" s="26">
        <v>1195</v>
      </c>
      <c r="N74" s="26">
        <f t="shared" si="14"/>
        <v>100595.5176875</v>
      </c>
      <c r="O74" s="26">
        <f t="shared" si="15"/>
        <v>7467</v>
      </c>
      <c r="P74" s="26">
        <f t="shared" si="16"/>
        <v>85252.704494215635</v>
      </c>
      <c r="Q74" s="26">
        <f t="shared" si="17"/>
        <v>77949.647989999998</v>
      </c>
      <c r="W74" s="23">
        <v>42442</v>
      </c>
      <c r="X74" s="32">
        <v>6967</v>
      </c>
    </row>
    <row r="75" spans="1:24" ht="15" customHeight="1" x14ac:dyDescent="0.25">
      <c r="A75" s="23">
        <v>42513</v>
      </c>
      <c r="B75" s="22">
        <f t="shared" si="10"/>
        <v>22</v>
      </c>
      <c r="C75" s="22">
        <f t="shared" si="11"/>
        <v>5</v>
      </c>
      <c r="D75" s="27">
        <v>67.5</v>
      </c>
      <c r="E75" s="24">
        <v>465</v>
      </c>
      <c r="F75" s="25">
        <v>395</v>
      </c>
      <c r="G75" s="25">
        <v>525</v>
      </c>
      <c r="H75" s="25">
        <v>490</v>
      </c>
      <c r="I75" s="25">
        <v>500</v>
      </c>
      <c r="J75" s="25">
        <v>600</v>
      </c>
      <c r="K75" s="26">
        <f t="shared" si="12"/>
        <v>565.58749999999998</v>
      </c>
      <c r="L75" s="26">
        <f t="shared" si="13"/>
        <v>485.26250000000005</v>
      </c>
      <c r="M75" s="26">
        <v>1185</v>
      </c>
      <c r="N75" s="26">
        <f t="shared" si="14"/>
        <v>100019.234375</v>
      </c>
      <c r="O75" s="26">
        <f t="shared" si="15"/>
        <v>7267</v>
      </c>
      <c r="P75" s="26">
        <f t="shared" si="16"/>
        <v>83182.005147085089</v>
      </c>
      <c r="Q75" s="26">
        <f t="shared" si="17"/>
        <v>77299.19</v>
      </c>
      <c r="W75" s="23">
        <v>42443</v>
      </c>
      <c r="X75" s="32">
        <v>6967</v>
      </c>
    </row>
    <row r="76" spans="1:24" ht="15" customHeight="1" x14ac:dyDescent="0.25">
      <c r="A76" s="23">
        <v>42514</v>
      </c>
      <c r="B76" s="22">
        <f t="shared" si="10"/>
        <v>22</v>
      </c>
      <c r="C76" s="22">
        <f t="shared" si="11"/>
        <v>5</v>
      </c>
      <c r="D76" s="27">
        <v>67.7</v>
      </c>
      <c r="E76" s="24">
        <v>465</v>
      </c>
      <c r="F76" s="25">
        <v>390</v>
      </c>
      <c r="G76" s="25">
        <v>550</v>
      </c>
      <c r="H76" s="25">
        <v>485</v>
      </c>
      <c r="I76" s="25">
        <v>500</v>
      </c>
      <c r="J76" s="25">
        <v>605</v>
      </c>
      <c r="K76" s="26">
        <f t="shared" si="12"/>
        <v>565.58749999999998</v>
      </c>
      <c r="L76" s="26">
        <f t="shared" si="13"/>
        <v>479.52500000000003</v>
      </c>
      <c r="M76" s="26">
        <v>1185</v>
      </c>
      <c r="N76" s="26">
        <f t="shared" si="14"/>
        <v>100302.55062499999</v>
      </c>
      <c r="O76" s="26">
        <f t="shared" si="15"/>
        <v>7133</v>
      </c>
      <c r="P76" s="26">
        <f t="shared" si="16"/>
        <v>81794.636584507607</v>
      </c>
      <c r="Q76" s="26">
        <f t="shared" si="17"/>
        <v>77515.18759999999</v>
      </c>
      <c r="W76" s="23">
        <v>42444</v>
      </c>
      <c r="X76" s="32">
        <v>6900</v>
      </c>
    </row>
    <row r="77" spans="1:24" ht="15" customHeight="1" x14ac:dyDescent="0.25">
      <c r="A77" s="23">
        <v>42515</v>
      </c>
      <c r="B77" s="22">
        <f t="shared" si="10"/>
        <v>22</v>
      </c>
      <c r="C77" s="22">
        <f t="shared" si="11"/>
        <v>5</v>
      </c>
      <c r="D77" s="27">
        <v>67.36</v>
      </c>
      <c r="E77" s="24">
        <v>460</v>
      </c>
      <c r="F77" s="25">
        <v>400</v>
      </c>
      <c r="G77" s="25">
        <v>525</v>
      </c>
      <c r="H77" s="25">
        <v>485</v>
      </c>
      <c r="I77" s="25">
        <v>500</v>
      </c>
      <c r="J77" s="25">
        <v>607</v>
      </c>
      <c r="K77" s="26">
        <f t="shared" si="12"/>
        <v>559.85</v>
      </c>
      <c r="L77" s="26">
        <f t="shared" si="13"/>
        <v>491</v>
      </c>
      <c r="M77" s="26">
        <v>1190</v>
      </c>
      <c r="N77" s="26">
        <f t="shared" si="14"/>
        <v>100201.076</v>
      </c>
      <c r="O77" s="26">
        <f t="shared" si="15"/>
        <v>7267</v>
      </c>
      <c r="P77" s="26">
        <f t="shared" si="16"/>
        <v>83182.005147085089</v>
      </c>
      <c r="Q77" s="26">
        <f t="shared" si="17"/>
        <v>77543.361199999999</v>
      </c>
      <c r="W77" s="23">
        <v>42445</v>
      </c>
      <c r="X77" s="32">
        <v>6900</v>
      </c>
    </row>
    <row r="78" spans="1:24" ht="15" customHeight="1" x14ac:dyDescent="0.25">
      <c r="A78" s="23">
        <v>42516</v>
      </c>
      <c r="B78" s="22">
        <f t="shared" si="10"/>
        <v>22</v>
      </c>
      <c r="C78" s="22">
        <f t="shared" si="11"/>
        <v>5</v>
      </c>
      <c r="D78" s="27">
        <v>67.180000000000007</v>
      </c>
      <c r="E78" s="24">
        <v>465</v>
      </c>
      <c r="F78" s="25">
        <v>405</v>
      </c>
      <c r="G78" s="25">
        <v>530</v>
      </c>
      <c r="H78" s="25">
        <v>490</v>
      </c>
      <c r="I78" s="25">
        <v>505</v>
      </c>
      <c r="J78" s="25">
        <v>615</v>
      </c>
      <c r="K78" s="26">
        <f t="shared" si="12"/>
        <v>565.58749999999998</v>
      </c>
      <c r="L78" s="26">
        <f t="shared" si="13"/>
        <v>496.73750000000001</v>
      </c>
      <c r="M78" s="26">
        <v>1190</v>
      </c>
      <c r="N78" s="26">
        <f t="shared" si="14"/>
        <v>99945.075499999992</v>
      </c>
      <c r="O78" s="26">
        <f t="shared" si="15"/>
        <v>7267</v>
      </c>
      <c r="P78" s="26">
        <f t="shared" si="16"/>
        <v>83182.005147085089</v>
      </c>
      <c r="Q78" s="26">
        <f t="shared" si="17"/>
        <v>77347.906849999999</v>
      </c>
      <c r="W78" s="23">
        <v>42446</v>
      </c>
      <c r="X78" s="32">
        <v>7033</v>
      </c>
    </row>
    <row r="79" spans="1:24" ht="15" customHeight="1" x14ac:dyDescent="0.25">
      <c r="A79" s="23">
        <v>42517</v>
      </c>
      <c r="B79" s="22">
        <f t="shared" si="10"/>
        <v>22</v>
      </c>
      <c r="C79" s="22">
        <f t="shared" si="11"/>
        <v>5</v>
      </c>
      <c r="D79" s="27">
        <v>67.040000000000006</v>
      </c>
      <c r="E79" s="24">
        <v>465</v>
      </c>
      <c r="F79" s="25">
        <v>405</v>
      </c>
      <c r="G79" s="25">
        <v>530</v>
      </c>
      <c r="H79" s="25">
        <v>490</v>
      </c>
      <c r="I79" s="25">
        <v>505</v>
      </c>
      <c r="J79" s="25">
        <v>615</v>
      </c>
      <c r="K79" s="26">
        <f t="shared" si="12"/>
        <v>565.58749999999998</v>
      </c>
      <c r="L79" s="26">
        <f t="shared" si="13"/>
        <v>496.73750000000001</v>
      </c>
      <c r="M79" s="26">
        <v>1210</v>
      </c>
      <c r="N79" s="26">
        <f t="shared" si="14"/>
        <v>101259.39200000001</v>
      </c>
      <c r="O79" s="26">
        <f t="shared" si="15"/>
        <v>7267</v>
      </c>
      <c r="P79" s="26">
        <f t="shared" si="16"/>
        <v>83182.005147085089</v>
      </c>
      <c r="Q79" s="26">
        <f t="shared" si="17"/>
        <v>78769.851920000001</v>
      </c>
      <c r="W79" s="23">
        <v>42447</v>
      </c>
      <c r="X79" s="32">
        <v>7100</v>
      </c>
    </row>
    <row r="80" spans="1:24" ht="15" customHeight="1" x14ac:dyDescent="0.25">
      <c r="A80" s="23">
        <v>42520</v>
      </c>
      <c r="B80" s="22">
        <f t="shared" si="10"/>
        <v>23</v>
      </c>
      <c r="C80" s="22">
        <f t="shared" si="11"/>
        <v>5</v>
      </c>
      <c r="D80" s="27">
        <v>67.16</v>
      </c>
      <c r="E80" s="24">
        <v>470</v>
      </c>
      <c r="F80" s="25">
        <v>410</v>
      </c>
      <c r="G80" s="25">
        <v>530</v>
      </c>
      <c r="H80" s="25">
        <v>500</v>
      </c>
      <c r="I80" s="25">
        <v>510</v>
      </c>
      <c r="J80" s="25">
        <v>620</v>
      </c>
      <c r="K80" s="26">
        <f t="shared" si="12"/>
        <v>571.32500000000005</v>
      </c>
      <c r="L80" s="26">
        <f t="shared" si="13"/>
        <v>502.47499999999997</v>
      </c>
      <c r="M80" s="26">
        <v>1210</v>
      </c>
      <c r="N80" s="26">
        <f t="shared" si="14"/>
        <v>101432.76799999998</v>
      </c>
      <c r="O80" s="26">
        <f t="shared" si="15"/>
        <v>7367</v>
      </c>
      <c r="P80" s="26">
        <f t="shared" si="16"/>
        <v>84217.354820650362</v>
      </c>
      <c r="Q80" s="26">
        <f t="shared" si="17"/>
        <v>78902.972179999997</v>
      </c>
      <c r="W80" s="23">
        <v>42448</v>
      </c>
      <c r="X80" s="32">
        <v>7100</v>
      </c>
    </row>
    <row r="81" spans="1:24" ht="15" customHeight="1" x14ac:dyDescent="0.25">
      <c r="A81" s="23">
        <v>42521</v>
      </c>
      <c r="B81" s="22">
        <f t="shared" si="10"/>
        <v>23</v>
      </c>
      <c r="C81" s="22">
        <f t="shared" si="11"/>
        <v>5</v>
      </c>
      <c r="D81" s="27">
        <v>67.3</v>
      </c>
      <c r="E81" s="24">
        <v>470</v>
      </c>
      <c r="F81" s="25">
        <v>410</v>
      </c>
      <c r="G81" s="25">
        <v>530</v>
      </c>
      <c r="H81" s="25">
        <v>500</v>
      </c>
      <c r="I81" s="25">
        <v>510</v>
      </c>
      <c r="J81" s="25">
        <v>620</v>
      </c>
      <c r="K81" s="26">
        <f t="shared" si="12"/>
        <v>571.32500000000005</v>
      </c>
      <c r="L81" s="26">
        <f t="shared" si="13"/>
        <v>502.47499999999997</v>
      </c>
      <c r="M81" s="26">
        <v>1215</v>
      </c>
      <c r="N81" s="26">
        <f t="shared" si="14"/>
        <v>102014.86437499999</v>
      </c>
      <c r="O81" s="26">
        <f t="shared" si="15"/>
        <v>7367</v>
      </c>
      <c r="P81" s="26">
        <f t="shared" si="16"/>
        <v>84217.354820650362</v>
      </c>
      <c r="Q81" s="26">
        <f t="shared" si="17"/>
        <v>79453.296499999997</v>
      </c>
      <c r="W81" s="23">
        <v>42449</v>
      </c>
      <c r="X81" s="32">
        <v>7100</v>
      </c>
    </row>
    <row r="82" spans="1:24" ht="15" customHeight="1" x14ac:dyDescent="0.25">
      <c r="A82" s="23">
        <v>42522</v>
      </c>
      <c r="B82" s="22">
        <f t="shared" si="10"/>
        <v>23</v>
      </c>
      <c r="C82" s="22">
        <f t="shared" si="11"/>
        <v>6</v>
      </c>
      <c r="D82" s="27">
        <v>67.459999999999994</v>
      </c>
      <c r="E82" s="24">
        <v>465</v>
      </c>
      <c r="F82" s="25">
        <v>405</v>
      </c>
      <c r="G82" s="25">
        <v>530</v>
      </c>
      <c r="H82" s="25">
        <v>500</v>
      </c>
      <c r="I82" s="25">
        <v>510</v>
      </c>
      <c r="J82" s="25">
        <v>615</v>
      </c>
      <c r="K82" s="26">
        <f t="shared" si="12"/>
        <v>565.58749999999998</v>
      </c>
      <c r="L82" s="26">
        <f t="shared" si="13"/>
        <v>496.73750000000001</v>
      </c>
      <c r="M82" s="26">
        <v>1215</v>
      </c>
      <c r="N82" s="26">
        <f t="shared" si="14"/>
        <v>102246.93537499999</v>
      </c>
      <c r="O82" s="26">
        <f t="shared" si="15"/>
        <v>7467</v>
      </c>
      <c r="P82" s="26">
        <f t="shared" si="16"/>
        <v>85252.704494215635</v>
      </c>
      <c r="Q82" s="26">
        <f t="shared" si="17"/>
        <v>79631.729299999992</v>
      </c>
      <c r="W82" s="23">
        <v>42450</v>
      </c>
      <c r="X82" s="32">
        <v>7033</v>
      </c>
    </row>
    <row r="83" spans="1:24" ht="15" customHeight="1" x14ac:dyDescent="0.25">
      <c r="A83" s="23">
        <v>42523</v>
      </c>
      <c r="B83" s="22">
        <f t="shared" si="10"/>
        <v>23</v>
      </c>
      <c r="C83" s="22">
        <f t="shared" si="11"/>
        <v>6</v>
      </c>
      <c r="D83" s="27">
        <v>67.3</v>
      </c>
      <c r="E83" s="24">
        <v>470</v>
      </c>
      <c r="F83" s="25">
        <v>410</v>
      </c>
      <c r="G83" s="25">
        <v>530</v>
      </c>
      <c r="H83" s="25">
        <v>500</v>
      </c>
      <c r="I83" s="25">
        <v>510</v>
      </c>
      <c r="J83" s="25">
        <v>617</v>
      </c>
      <c r="K83" s="26">
        <f t="shared" si="12"/>
        <v>571.32500000000005</v>
      </c>
      <c r="L83" s="26">
        <f t="shared" si="13"/>
        <v>502.47499999999997</v>
      </c>
      <c r="M83" s="26">
        <v>1215</v>
      </c>
      <c r="N83" s="26">
        <f t="shared" si="14"/>
        <v>102014.86437499999</v>
      </c>
      <c r="O83" s="26">
        <f t="shared" si="15"/>
        <v>7400</v>
      </c>
      <c r="P83" s="26">
        <f t="shared" si="16"/>
        <v>84559.020212926916</v>
      </c>
      <c r="Q83" s="26">
        <f t="shared" si="17"/>
        <v>79453.296499999997</v>
      </c>
      <c r="W83" s="23">
        <v>42451</v>
      </c>
      <c r="X83" s="32">
        <v>7033</v>
      </c>
    </row>
    <row r="84" spans="1:24" ht="15" customHeight="1" x14ac:dyDescent="0.25">
      <c r="A84" s="23">
        <v>42524</v>
      </c>
      <c r="B84" s="22">
        <f t="shared" si="10"/>
        <v>23</v>
      </c>
      <c r="C84" s="22">
        <f t="shared" si="11"/>
        <v>6</v>
      </c>
      <c r="D84" s="27">
        <v>67.25</v>
      </c>
      <c r="E84" s="24">
        <v>475</v>
      </c>
      <c r="F84" s="25">
        <v>415</v>
      </c>
      <c r="G84" s="25">
        <v>535</v>
      </c>
      <c r="H84" s="25">
        <v>505</v>
      </c>
      <c r="I84" s="25">
        <v>510</v>
      </c>
      <c r="J84" s="25">
        <v>625</v>
      </c>
      <c r="K84" s="26">
        <f t="shared" si="12"/>
        <v>577.0625</v>
      </c>
      <c r="L84" s="26">
        <f t="shared" si="13"/>
        <v>508.21250000000003</v>
      </c>
      <c r="M84" s="26">
        <v>1215</v>
      </c>
      <c r="N84" s="26">
        <f t="shared" si="14"/>
        <v>101942.34218749999</v>
      </c>
      <c r="O84" s="26">
        <f t="shared" si="15"/>
        <v>7467</v>
      </c>
      <c r="P84" s="26">
        <f t="shared" si="16"/>
        <v>85252.704494215635</v>
      </c>
      <c r="Q84" s="26">
        <f t="shared" si="17"/>
        <v>79397.53624999999</v>
      </c>
      <c r="W84" s="23">
        <v>42452</v>
      </c>
      <c r="X84" s="32">
        <v>7033</v>
      </c>
    </row>
    <row r="85" spans="1:24" ht="15" customHeight="1" x14ac:dyDescent="0.25">
      <c r="A85" s="23">
        <v>42527</v>
      </c>
      <c r="B85" s="22">
        <f t="shared" si="10"/>
        <v>24</v>
      </c>
      <c r="C85" s="22">
        <f t="shared" si="11"/>
        <v>6</v>
      </c>
      <c r="D85" s="27">
        <v>66.959999999999994</v>
      </c>
      <c r="E85" s="24">
        <v>475</v>
      </c>
      <c r="F85" s="25">
        <v>420</v>
      </c>
      <c r="G85" s="25">
        <v>535</v>
      </c>
      <c r="H85" s="25">
        <v>510</v>
      </c>
      <c r="I85" s="25">
        <v>510</v>
      </c>
      <c r="J85" s="25">
        <v>628</v>
      </c>
      <c r="K85" s="26">
        <f t="shared" si="12"/>
        <v>577.0625</v>
      </c>
      <c r="L85" s="26">
        <f t="shared" si="13"/>
        <v>513.95000000000005</v>
      </c>
      <c r="M85" s="26">
        <v>1270</v>
      </c>
      <c r="N85" s="26">
        <f t="shared" si="14"/>
        <v>105678.67399999998</v>
      </c>
      <c r="O85" s="26">
        <f t="shared" si="15"/>
        <v>7433</v>
      </c>
      <c r="P85" s="26">
        <f t="shared" si="16"/>
        <v>84900.685605203471</v>
      </c>
      <c r="Q85" s="26">
        <f t="shared" si="17"/>
        <v>83397.365719999987</v>
      </c>
      <c r="W85" s="23">
        <v>42453</v>
      </c>
      <c r="X85" s="32">
        <v>7033</v>
      </c>
    </row>
    <row r="86" spans="1:24" ht="15" customHeight="1" x14ac:dyDescent="0.25">
      <c r="A86" s="23">
        <v>42528</v>
      </c>
      <c r="B86" s="22">
        <f t="shared" si="10"/>
        <v>24</v>
      </c>
      <c r="C86" s="22">
        <f t="shared" si="11"/>
        <v>6</v>
      </c>
      <c r="D86" s="27">
        <v>66.77</v>
      </c>
      <c r="E86" s="24">
        <v>470</v>
      </c>
      <c r="F86" s="25">
        <v>415</v>
      </c>
      <c r="G86" s="25">
        <v>535</v>
      </c>
      <c r="H86" s="25">
        <v>510</v>
      </c>
      <c r="I86" s="25">
        <v>510</v>
      </c>
      <c r="J86" s="25">
        <v>623</v>
      </c>
      <c r="K86" s="26">
        <f t="shared" si="12"/>
        <v>571.32500000000005</v>
      </c>
      <c r="L86" s="26">
        <f t="shared" si="13"/>
        <v>508.21250000000003</v>
      </c>
      <c r="M86" s="26">
        <v>1270</v>
      </c>
      <c r="N86" s="26">
        <f t="shared" si="14"/>
        <v>105391.29424999998</v>
      </c>
      <c r="O86" s="26">
        <f t="shared" si="15"/>
        <v>7400</v>
      </c>
      <c r="P86" s="26">
        <f t="shared" si="16"/>
        <v>84559.020212926916</v>
      </c>
      <c r="Q86" s="26">
        <f t="shared" si="17"/>
        <v>83173.20951499998</v>
      </c>
      <c r="W86" s="23">
        <v>42454</v>
      </c>
      <c r="X86" s="32">
        <v>7200</v>
      </c>
    </row>
    <row r="87" spans="1:24" ht="15" customHeight="1" x14ac:dyDescent="0.25">
      <c r="A87" s="23">
        <v>42529</v>
      </c>
      <c r="B87" s="22">
        <f t="shared" si="10"/>
        <v>24</v>
      </c>
      <c r="C87" s="22">
        <f t="shared" si="11"/>
        <v>6</v>
      </c>
      <c r="D87" s="27">
        <v>66.650000000000006</v>
      </c>
      <c r="E87" s="24">
        <v>475</v>
      </c>
      <c r="F87" s="25">
        <v>425</v>
      </c>
      <c r="G87" s="25">
        <v>535</v>
      </c>
      <c r="H87" s="25">
        <v>515</v>
      </c>
      <c r="I87" s="25">
        <v>530</v>
      </c>
      <c r="J87" s="25">
        <v>628</v>
      </c>
      <c r="K87" s="26">
        <f t="shared" si="12"/>
        <v>577.0625</v>
      </c>
      <c r="L87" s="26">
        <f t="shared" si="13"/>
        <v>519.6875</v>
      </c>
      <c r="M87" s="26">
        <v>1270</v>
      </c>
      <c r="N87" s="26">
        <f t="shared" si="14"/>
        <v>105209.79125000001</v>
      </c>
      <c r="O87" s="26">
        <f t="shared" si="15"/>
        <v>7433</v>
      </c>
      <c r="P87" s="26">
        <f t="shared" si="16"/>
        <v>84900.685605203471</v>
      </c>
      <c r="Q87" s="26">
        <f t="shared" si="17"/>
        <v>83031.637174999996</v>
      </c>
      <c r="W87" s="23">
        <v>42455</v>
      </c>
      <c r="X87" s="32">
        <v>7133</v>
      </c>
    </row>
    <row r="88" spans="1:24" ht="15" customHeight="1" x14ac:dyDescent="0.25">
      <c r="A88" s="23">
        <v>42530</v>
      </c>
      <c r="B88" s="22">
        <f t="shared" si="10"/>
        <v>24</v>
      </c>
      <c r="C88" s="22">
        <f t="shared" si="11"/>
        <v>6</v>
      </c>
      <c r="D88" s="27">
        <v>66.709999999999994</v>
      </c>
      <c r="E88" s="24">
        <v>475</v>
      </c>
      <c r="F88" s="25">
        <v>425</v>
      </c>
      <c r="G88" s="25">
        <v>535</v>
      </c>
      <c r="H88" s="25">
        <v>515</v>
      </c>
      <c r="I88" s="25">
        <v>530</v>
      </c>
      <c r="J88" s="25">
        <v>625</v>
      </c>
      <c r="K88" s="26">
        <f t="shared" si="12"/>
        <v>577.0625</v>
      </c>
      <c r="L88" s="26">
        <f t="shared" si="13"/>
        <v>519.6875</v>
      </c>
      <c r="M88" s="26">
        <v>1305</v>
      </c>
      <c r="N88" s="26">
        <f t="shared" si="14"/>
        <v>107936.00468749998</v>
      </c>
      <c r="O88" s="26">
        <f t="shared" si="15"/>
        <v>7500</v>
      </c>
      <c r="P88" s="26">
        <f t="shared" si="16"/>
        <v>85594.369886492204</v>
      </c>
      <c r="Q88" s="26">
        <f t="shared" si="17"/>
        <v>85843.303759999995</v>
      </c>
      <c r="W88" s="23">
        <v>42456</v>
      </c>
      <c r="X88" s="32">
        <v>7133</v>
      </c>
    </row>
    <row r="89" spans="1:24" ht="15" customHeight="1" x14ac:dyDescent="0.25">
      <c r="A89" s="23">
        <v>42531</v>
      </c>
      <c r="B89" s="22">
        <f t="shared" si="10"/>
        <v>24</v>
      </c>
      <c r="C89" s="22">
        <f t="shared" si="11"/>
        <v>6</v>
      </c>
      <c r="D89" s="27">
        <v>66.760000000000005</v>
      </c>
      <c r="E89" s="24">
        <v>475</v>
      </c>
      <c r="F89" s="25">
        <v>425</v>
      </c>
      <c r="G89" s="25">
        <v>535</v>
      </c>
      <c r="H89" s="25">
        <v>515</v>
      </c>
      <c r="I89" s="25">
        <v>530</v>
      </c>
      <c r="J89" s="25">
        <v>625</v>
      </c>
      <c r="K89" s="26">
        <f t="shared" si="12"/>
        <v>577.0625</v>
      </c>
      <c r="L89" s="26">
        <f t="shared" si="13"/>
        <v>519.6875</v>
      </c>
      <c r="M89" s="26">
        <v>1305</v>
      </c>
      <c r="N89" s="26">
        <f t="shared" si="14"/>
        <v>108013.60625</v>
      </c>
      <c r="O89" s="26">
        <f t="shared" si="15"/>
        <v>7500</v>
      </c>
      <c r="P89" s="26">
        <f t="shared" si="16"/>
        <v>85594.369886492204</v>
      </c>
      <c r="Q89" s="26">
        <f t="shared" si="17"/>
        <v>85904.346560000005</v>
      </c>
      <c r="W89" s="23">
        <v>42457</v>
      </c>
      <c r="X89" s="32">
        <v>7333</v>
      </c>
    </row>
    <row r="90" spans="1:24" ht="15" customHeight="1" x14ac:dyDescent="0.25">
      <c r="A90" s="23">
        <v>42534</v>
      </c>
      <c r="B90" s="22">
        <f t="shared" si="10"/>
        <v>25</v>
      </c>
      <c r="C90" s="22">
        <f t="shared" si="11"/>
        <v>6</v>
      </c>
      <c r="D90" s="27">
        <v>67.13</v>
      </c>
      <c r="E90" s="24">
        <v>470</v>
      </c>
      <c r="F90" s="25">
        <v>420</v>
      </c>
      <c r="G90" s="25">
        <v>530</v>
      </c>
      <c r="H90" s="25">
        <v>510</v>
      </c>
      <c r="I90" s="25">
        <v>540</v>
      </c>
      <c r="J90" s="25">
        <v>619</v>
      </c>
      <c r="K90" s="26">
        <f t="shared" si="12"/>
        <v>571.32500000000005</v>
      </c>
      <c r="L90" s="26">
        <f t="shared" si="13"/>
        <v>513.95000000000005</v>
      </c>
      <c r="M90" s="26">
        <v>1310</v>
      </c>
      <c r="N90" s="26">
        <f t="shared" si="14"/>
        <v>108966.72274999999</v>
      </c>
      <c r="O90" s="26">
        <f t="shared" si="15"/>
        <v>7567</v>
      </c>
      <c r="P90" s="26">
        <f t="shared" si="16"/>
        <v>86288.054167780938</v>
      </c>
      <c r="Q90" s="26">
        <f t="shared" si="17"/>
        <v>86750.082814999987</v>
      </c>
      <c r="W90" s="23">
        <v>42458</v>
      </c>
      <c r="X90" s="32">
        <v>7400</v>
      </c>
    </row>
    <row r="91" spans="1:24" ht="15" customHeight="1" x14ac:dyDescent="0.25">
      <c r="A91" s="23">
        <v>42535</v>
      </c>
      <c r="B91" s="22">
        <f t="shared" si="10"/>
        <v>25</v>
      </c>
      <c r="C91" s="22">
        <f t="shared" si="11"/>
        <v>6</v>
      </c>
      <c r="D91" s="27">
        <v>67.150000000000006</v>
      </c>
      <c r="E91" s="24">
        <v>465</v>
      </c>
      <c r="F91" s="25">
        <v>415</v>
      </c>
      <c r="G91" s="25">
        <v>522</v>
      </c>
      <c r="H91" s="25">
        <v>505</v>
      </c>
      <c r="I91" s="25">
        <v>525</v>
      </c>
      <c r="J91" s="25">
        <v>609</v>
      </c>
      <c r="K91" s="26">
        <f t="shared" si="12"/>
        <v>565.58749999999998</v>
      </c>
      <c r="L91" s="26">
        <f t="shared" si="13"/>
        <v>508.21250000000003</v>
      </c>
      <c r="M91" s="26">
        <v>1310</v>
      </c>
      <c r="N91" s="26">
        <f t="shared" si="14"/>
        <v>108997.87625000002</v>
      </c>
      <c r="O91" s="26">
        <f t="shared" si="15"/>
        <v>7667</v>
      </c>
      <c r="P91" s="26">
        <f t="shared" si="16"/>
        <v>87323.403841346211</v>
      </c>
      <c r="Q91" s="26">
        <f t="shared" si="17"/>
        <v>86774.617324999999</v>
      </c>
      <c r="W91" s="23">
        <v>42459</v>
      </c>
      <c r="X91" s="32">
        <v>7400</v>
      </c>
    </row>
    <row r="92" spans="1:24" ht="15" customHeight="1" x14ac:dyDescent="0.25">
      <c r="A92" s="23">
        <v>42536</v>
      </c>
      <c r="B92" s="22">
        <f t="shared" si="10"/>
        <v>25</v>
      </c>
      <c r="C92" s="22">
        <f t="shared" si="11"/>
        <v>6</v>
      </c>
      <c r="D92" s="27">
        <v>67.22</v>
      </c>
      <c r="E92" s="24">
        <v>460</v>
      </c>
      <c r="F92" s="25">
        <v>410</v>
      </c>
      <c r="G92" s="25">
        <v>517</v>
      </c>
      <c r="H92" s="25">
        <v>500</v>
      </c>
      <c r="I92" s="25">
        <v>530</v>
      </c>
      <c r="J92" s="25">
        <v>600</v>
      </c>
      <c r="K92" s="26">
        <f t="shared" si="12"/>
        <v>559.85</v>
      </c>
      <c r="L92" s="26">
        <f t="shared" si="13"/>
        <v>502.47499999999997</v>
      </c>
      <c r="M92" s="26">
        <v>1310</v>
      </c>
      <c r="N92" s="26">
        <f t="shared" si="14"/>
        <v>109106.91349999998</v>
      </c>
      <c r="O92" s="26">
        <f t="shared" si="15"/>
        <v>7733.333333333333</v>
      </c>
      <c r="P92" s="26">
        <f t="shared" si="16"/>
        <v>88010.185791477867</v>
      </c>
      <c r="Q92" s="26">
        <f t="shared" si="17"/>
        <v>86860.488109999991</v>
      </c>
      <c r="W92" s="23">
        <v>42460</v>
      </c>
      <c r="X92" s="32">
        <v>7333</v>
      </c>
    </row>
    <row r="93" spans="1:24" ht="15" customHeight="1" x14ac:dyDescent="0.25">
      <c r="A93" s="23">
        <v>42537</v>
      </c>
      <c r="B93" s="22">
        <f t="shared" si="10"/>
        <v>25</v>
      </c>
      <c r="C93" s="22">
        <f t="shared" si="11"/>
        <v>6</v>
      </c>
      <c r="D93" s="27">
        <v>67.3</v>
      </c>
      <c r="E93" s="24">
        <v>460</v>
      </c>
      <c r="F93" s="25">
        <v>410</v>
      </c>
      <c r="G93" s="25">
        <v>515</v>
      </c>
      <c r="H93" s="25">
        <v>500</v>
      </c>
      <c r="I93" s="25">
        <v>530</v>
      </c>
      <c r="J93" s="25">
        <v>589</v>
      </c>
      <c r="K93" s="26">
        <f t="shared" si="12"/>
        <v>559.85</v>
      </c>
      <c r="L93" s="26">
        <f t="shared" si="13"/>
        <v>502.47499999999997</v>
      </c>
      <c r="M93" s="26">
        <v>1295</v>
      </c>
      <c r="N93" s="26">
        <f t="shared" si="14"/>
        <v>108092.05437499999</v>
      </c>
      <c r="O93" s="26">
        <f t="shared" si="15"/>
        <v>7633.333333333333</v>
      </c>
      <c r="P93" s="26">
        <f t="shared" si="16"/>
        <v>86974.836117912564</v>
      </c>
      <c r="Q93" s="26">
        <f t="shared" si="17"/>
        <v>85773.574099999998</v>
      </c>
      <c r="W93" s="23">
        <v>42461</v>
      </c>
      <c r="X93" s="32">
        <v>7467</v>
      </c>
    </row>
    <row r="94" spans="1:24" ht="15" customHeight="1" x14ac:dyDescent="0.25">
      <c r="A94" s="23">
        <v>42538</v>
      </c>
      <c r="B94" s="22">
        <f t="shared" si="10"/>
        <v>25</v>
      </c>
      <c r="C94" s="22">
        <f t="shared" si="11"/>
        <v>6</v>
      </c>
      <c r="D94" s="27">
        <v>67.069999999999993</v>
      </c>
      <c r="E94" s="24">
        <v>465</v>
      </c>
      <c r="F94" s="25">
        <v>410</v>
      </c>
      <c r="G94" s="25">
        <v>515</v>
      </c>
      <c r="H94" s="25">
        <v>500</v>
      </c>
      <c r="I94" s="25">
        <v>530</v>
      </c>
      <c r="J94" s="25">
        <v>595</v>
      </c>
      <c r="K94" s="26">
        <f t="shared" si="12"/>
        <v>565.58749999999998</v>
      </c>
      <c r="L94" s="26">
        <f t="shared" si="13"/>
        <v>502.47499999999997</v>
      </c>
      <c r="M94" s="26">
        <v>1295</v>
      </c>
      <c r="N94" s="26">
        <f t="shared" si="14"/>
        <v>107737.68331249998</v>
      </c>
      <c r="O94" s="26">
        <f t="shared" si="15"/>
        <v>7633.333333333333</v>
      </c>
      <c r="P94" s="26">
        <f t="shared" si="16"/>
        <v>86974.836117912564</v>
      </c>
      <c r="Q94" s="26">
        <f t="shared" si="17"/>
        <v>85495.477189999991</v>
      </c>
      <c r="W94" s="23">
        <v>42462</v>
      </c>
      <c r="X94" s="32">
        <v>7467</v>
      </c>
    </row>
    <row r="95" spans="1:24" ht="15" customHeight="1" x14ac:dyDescent="0.25">
      <c r="A95" s="23">
        <v>42541</v>
      </c>
      <c r="B95" s="22">
        <f t="shared" si="10"/>
        <v>26</v>
      </c>
      <c r="C95" s="22">
        <f t="shared" si="11"/>
        <v>6</v>
      </c>
      <c r="D95" s="27">
        <v>67.31</v>
      </c>
      <c r="E95" s="24">
        <v>465</v>
      </c>
      <c r="F95" s="25">
        <v>410</v>
      </c>
      <c r="G95" s="25">
        <v>515</v>
      </c>
      <c r="H95" s="25">
        <v>500</v>
      </c>
      <c r="I95" s="25">
        <v>530</v>
      </c>
      <c r="J95" s="25">
        <v>595</v>
      </c>
      <c r="K95" s="26">
        <f t="shared" si="12"/>
        <v>565.58749999999998</v>
      </c>
      <c r="L95" s="26">
        <f t="shared" si="13"/>
        <v>502.47499999999997</v>
      </c>
      <c r="M95" s="26">
        <v>1295</v>
      </c>
      <c r="N95" s="26">
        <f t="shared" si="14"/>
        <v>108107.4618125</v>
      </c>
      <c r="O95" s="26">
        <f t="shared" si="15"/>
        <v>7566.666666666667</v>
      </c>
      <c r="P95" s="26">
        <f t="shared" si="16"/>
        <v>86284.603002202406</v>
      </c>
      <c r="Q95" s="26">
        <f t="shared" si="17"/>
        <v>85785.665269999998</v>
      </c>
      <c r="W95" s="23">
        <v>42463</v>
      </c>
      <c r="X95" s="32">
        <v>7467</v>
      </c>
    </row>
    <row r="96" spans="1:24" ht="15" customHeight="1" x14ac:dyDescent="0.25">
      <c r="A96" s="23">
        <v>42542</v>
      </c>
      <c r="B96" s="22">
        <f t="shared" si="10"/>
        <v>26</v>
      </c>
      <c r="C96" s="22">
        <f t="shared" si="11"/>
        <v>6</v>
      </c>
      <c r="D96" s="27">
        <v>67.5</v>
      </c>
      <c r="E96" s="24">
        <v>465</v>
      </c>
      <c r="F96" s="25">
        <v>410</v>
      </c>
      <c r="G96" s="25">
        <v>515</v>
      </c>
      <c r="H96" s="25">
        <v>500</v>
      </c>
      <c r="I96" s="25">
        <v>530</v>
      </c>
      <c r="J96" s="25">
        <v>595</v>
      </c>
      <c r="K96" s="26">
        <f t="shared" si="12"/>
        <v>565.58749999999998</v>
      </c>
      <c r="L96" s="26">
        <f t="shared" si="13"/>
        <v>502.47499999999997</v>
      </c>
      <c r="M96" s="26">
        <v>1295</v>
      </c>
      <c r="N96" s="26">
        <f t="shared" si="14"/>
        <v>108400.20312499999</v>
      </c>
      <c r="O96" s="26">
        <f t="shared" si="15"/>
        <v>7466.666666666667</v>
      </c>
      <c r="P96" s="26">
        <f t="shared" si="16"/>
        <v>85249.253328637118</v>
      </c>
      <c r="Q96" s="26">
        <f t="shared" si="17"/>
        <v>86015.397499999992</v>
      </c>
      <c r="W96" s="23">
        <v>42464</v>
      </c>
      <c r="X96" s="32">
        <v>7533</v>
      </c>
    </row>
    <row r="97" spans="1:24" ht="15" customHeight="1" x14ac:dyDescent="0.25">
      <c r="A97" s="23">
        <v>42543</v>
      </c>
      <c r="B97" s="22">
        <f t="shared" si="10"/>
        <v>26</v>
      </c>
      <c r="C97" s="22">
        <f t="shared" si="11"/>
        <v>6</v>
      </c>
      <c r="D97" s="27">
        <v>67.48</v>
      </c>
      <c r="E97" s="24">
        <v>465</v>
      </c>
      <c r="F97" s="25">
        <v>410</v>
      </c>
      <c r="G97" s="25">
        <v>515</v>
      </c>
      <c r="H97" s="25">
        <v>500</v>
      </c>
      <c r="I97" s="25">
        <v>530</v>
      </c>
      <c r="J97" s="25">
        <v>595</v>
      </c>
      <c r="K97" s="26">
        <f t="shared" si="12"/>
        <v>565.58749999999998</v>
      </c>
      <c r="L97" s="26">
        <f t="shared" si="13"/>
        <v>502.47499999999997</v>
      </c>
      <c r="M97" s="26">
        <v>1295</v>
      </c>
      <c r="N97" s="26">
        <f t="shared" si="14"/>
        <v>108369.38825</v>
      </c>
      <c r="O97" s="26">
        <f t="shared" si="15"/>
        <v>7400</v>
      </c>
      <c r="P97" s="26">
        <f t="shared" si="16"/>
        <v>84559.020212926916</v>
      </c>
      <c r="Q97" s="26">
        <f t="shared" si="17"/>
        <v>85991.215160000007</v>
      </c>
      <c r="W97" s="23">
        <v>42465</v>
      </c>
      <c r="X97" s="32">
        <v>7667</v>
      </c>
    </row>
    <row r="98" spans="1:24" ht="15" customHeight="1" x14ac:dyDescent="0.25">
      <c r="A98" s="23">
        <v>42544</v>
      </c>
      <c r="B98" s="22">
        <f t="shared" si="10"/>
        <v>26</v>
      </c>
      <c r="C98" s="22">
        <f t="shared" si="11"/>
        <v>6</v>
      </c>
      <c r="D98" s="27">
        <v>67.25</v>
      </c>
      <c r="E98" s="24">
        <v>465</v>
      </c>
      <c r="F98" s="25">
        <v>410</v>
      </c>
      <c r="G98" s="25">
        <v>515</v>
      </c>
      <c r="H98" s="25">
        <v>500</v>
      </c>
      <c r="I98" s="25">
        <v>530</v>
      </c>
      <c r="J98" s="25">
        <v>595</v>
      </c>
      <c r="K98" s="26">
        <f t="shared" si="12"/>
        <v>565.58749999999998</v>
      </c>
      <c r="L98" s="26">
        <f t="shared" si="13"/>
        <v>502.47499999999997</v>
      </c>
      <c r="M98" s="26">
        <v>1295</v>
      </c>
      <c r="N98" s="26">
        <f t="shared" si="14"/>
        <v>108015.01718749999</v>
      </c>
      <c r="O98" s="26">
        <f t="shared" si="15"/>
        <v>7400</v>
      </c>
      <c r="P98" s="26">
        <f t="shared" si="16"/>
        <v>84559.020212926916</v>
      </c>
      <c r="Q98" s="26">
        <f t="shared" si="17"/>
        <v>85713.11825</v>
      </c>
      <c r="W98" s="23">
        <v>42466</v>
      </c>
      <c r="X98" s="32">
        <v>7800</v>
      </c>
    </row>
    <row r="99" spans="1:24" ht="15" customHeight="1" x14ac:dyDescent="0.25">
      <c r="A99" s="23">
        <v>42545</v>
      </c>
      <c r="B99" s="22">
        <f t="shared" si="10"/>
        <v>26</v>
      </c>
      <c r="C99" s="22">
        <f t="shared" si="11"/>
        <v>6</v>
      </c>
      <c r="D99" s="27">
        <v>67.959999999999994</v>
      </c>
      <c r="E99" s="24">
        <v>465</v>
      </c>
      <c r="F99" s="25">
        <v>410</v>
      </c>
      <c r="G99" s="25">
        <v>515</v>
      </c>
      <c r="H99" s="25">
        <v>500</v>
      </c>
      <c r="I99" s="25">
        <v>530</v>
      </c>
      <c r="J99" s="25">
        <v>595</v>
      </c>
      <c r="K99" s="26">
        <f t="shared" si="12"/>
        <v>565.58749999999998</v>
      </c>
      <c r="L99" s="26">
        <f t="shared" si="13"/>
        <v>502.47499999999997</v>
      </c>
      <c r="M99" s="26">
        <v>1280</v>
      </c>
      <c r="N99" s="26">
        <f t="shared" si="14"/>
        <v>107958.29749999997</v>
      </c>
      <c r="O99" s="26">
        <f t="shared" si="15"/>
        <v>7500</v>
      </c>
      <c r="P99" s="26">
        <f t="shared" si="16"/>
        <v>85594.369886492204</v>
      </c>
      <c r="Q99" s="26">
        <f t="shared" si="17"/>
        <v>85374.917659999992</v>
      </c>
      <c r="W99" s="23">
        <v>42467</v>
      </c>
      <c r="X99" s="32">
        <v>7733</v>
      </c>
    </row>
    <row r="100" spans="1:24" ht="15" customHeight="1" x14ac:dyDescent="0.25">
      <c r="A100" s="23">
        <v>42548</v>
      </c>
      <c r="B100" s="22">
        <f t="shared" si="10"/>
        <v>27</v>
      </c>
      <c r="C100" s="22">
        <f t="shared" si="11"/>
        <v>6</v>
      </c>
      <c r="D100" s="27">
        <v>67.95</v>
      </c>
      <c r="E100" s="24">
        <v>465</v>
      </c>
      <c r="F100" s="25">
        <v>410</v>
      </c>
      <c r="G100" s="25">
        <v>515</v>
      </c>
      <c r="H100" s="25">
        <v>500</v>
      </c>
      <c r="I100" s="25">
        <v>530</v>
      </c>
      <c r="J100" s="25">
        <v>595</v>
      </c>
      <c r="K100" s="26">
        <f t="shared" si="12"/>
        <v>565.58749999999998</v>
      </c>
      <c r="L100" s="26">
        <f t="shared" si="13"/>
        <v>502.47499999999997</v>
      </c>
      <c r="M100" s="26">
        <v>1285</v>
      </c>
      <c r="N100" s="26">
        <f t="shared" si="14"/>
        <v>108326.5521875</v>
      </c>
      <c r="O100" s="26">
        <f t="shared" si="15"/>
        <v>7333.333333333333</v>
      </c>
      <c r="P100" s="26">
        <f t="shared" si="16"/>
        <v>83868.787097216729</v>
      </c>
      <c r="Q100" s="26">
        <f t="shared" si="17"/>
        <v>85761.835099999997</v>
      </c>
      <c r="W100" s="23">
        <v>42468</v>
      </c>
      <c r="X100" s="32">
        <v>7867</v>
      </c>
    </row>
    <row r="101" spans="1:24" ht="15" customHeight="1" x14ac:dyDescent="0.25">
      <c r="A101" s="23">
        <v>42549</v>
      </c>
      <c r="B101" s="22">
        <f t="shared" si="10"/>
        <v>27</v>
      </c>
      <c r="C101" s="22">
        <f t="shared" si="11"/>
        <v>6</v>
      </c>
      <c r="D101" s="27">
        <v>67.95</v>
      </c>
      <c r="E101" s="24">
        <v>475</v>
      </c>
      <c r="F101" s="25">
        <v>420</v>
      </c>
      <c r="G101" s="25">
        <v>510</v>
      </c>
      <c r="H101" s="25">
        <v>510</v>
      </c>
      <c r="I101" s="25">
        <v>535</v>
      </c>
      <c r="J101" s="25">
        <v>605</v>
      </c>
      <c r="K101" s="26">
        <f t="shared" si="12"/>
        <v>577.0625</v>
      </c>
      <c r="L101" s="26">
        <f t="shared" si="13"/>
        <v>513.95000000000005</v>
      </c>
      <c r="M101" s="26">
        <v>1280</v>
      </c>
      <c r="N101" s="26">
        <f t="shared" si="14"/>
        <v>107943.059375</v>
      </c>
      <c r="O101" s="26">
        <f>O100</f>
        <v>7333.333333333333</v>
      </c>
      <c r="P101" s="26">
        <f t="shared" si="16"/>
        <v>83868.787097216729</v>
      </c>
      <c r="Q101" s="26">
        <f t="shared" si="17"/>
        <v>85363.002574999991</v>
      </c>
      <c r="W101" s="23">
        <v>42469</v>
      </c>
      <c r="X101" s="32">
        <v>7867</v>
      </c>
    </row>
    <row r="102" spans="1:24" ht="15" customHeight="1" x14ac:dyDescent="0.25">
      <c r="A102" s="23">
        <v>42550</v>
      </c>
      <c r="B102" s="22">
        <f t="shared" si="10"/>
        <v>27</v>
      </c>
      <c r="C102" s="22">
        <f t="shared" si="11"/>
        <v>6</v>
      </c>
      <c r="D102" s="27">
        <v>67.69</v>
      </c>
      <c r="E102" s="24">
        <v>460</v>
      </c>
      <c r="F102" s="25">
        <v>420</v>
      </c>
      <c r="G102" s="25">
        <v>510</v>
      </c>
      <c r="H102" s="25">
        <v>510</v>
      </c>
      <c r="I102" s="25">
        <v>540</v>
      </c>
      <c r="J102" s="25">
        <v>590</v>
      </c>
      <c r="K102" s="26">
        <f t="shared" si="12"/>
        <v>559.85</v>
      </c>
      <c r="L102" s="26">
        <f t="shared" si="13"/>
        <v>513.95000000000005</v>
      </c>
      <c r="M102" s="26">
        <v>1270</v>
      </c>
      <c r="N102" s="26">
        <f t="shared" si="14"/>
        <v>106782.81724999998</v>
      </c>
      <c r="O102" s="26">
        <f>O101</f>
        <v>7333.333333333333</v>
      </c>
      <c r="P102" s="26">
        <f t="shared" si="16"/>
        <v>83868.787097216729</v>
      </c>
      <c r="Q102" s="26">
        <f t="shared" si="17"/>
        <v>84258.597454999996</v>
      </c>
      <c r="W102" s="23">
        <v>42470</v>
      </c>
      <c r="X102" s="32">
        <v>7867</v>
      </c>
    </row>
    <row r="103" spans="1:24" ht="15" customHeight="1" x14ac:dyDescent="0.25">
      <c r="A103" s="23">
        <v>42551</v>
      </c>
      <c r="B103" s="22">
        <f t="shared" si="10"/>
        <v>27</v>
      </c>
      <c r="C103" s="22">
        <f t="shared" si="11"/>
        <v>6</v>
      </c>
      <c r="D103" s="27">
        <v>67.52</v>
      </c>
      <c r="E103" s="24">
        <v>460</v>
      </c>
      <c r="F103" s="25">
        <v>420</v>
      </c>
      <c r="G103" s="25">
        <v>510</v>
      </c>
      <c r="H103" s="25">
        <v>510</v>
      </c>
      <c r="I103" s="25">
        <v>540</v>
      </c>
      <c r="J103" s="25">
        <v>590</v>
      </c>
      <c r="K103" s="26">
        <f t="shared" si="12"/>
        <v>559.85</v>
      </c>
      <c r="L103" s="26">
        <f t="shared" si="13"/>
        <v>513.95000000000005</v>
      </c>
      <c r="M103" s="26">
        <v>1285</v>
      </c>
      <c r="N103" s="26">
        <f t="shared" si="14"/>
        <v>107668.88599999998</v>
      </c>
      <c r="O103" s="26">
        <f t="shared" ref="O103:O166" si="18">VLOOKUP(A103,$W$2:$X$502,2,FALSE)</f>
        <v>7200</v>
      </c>
      <c r="P103" s="26">
        <f t="shared" si="16"/>
        <v>82488.320865796341</v>
      </c>
      <c r="Q103" s="26">
        <f t="shared" si="17"/>
        <v>85246.962559999985</v>
      </c>
      <c r="W103" s="23">
        <v>42471</v>
      </c>
      <c r="X103" s="32">
        <v>7833</v>
      </c>
    </row>
    <row r="104" spans="1:24" ht="15" customHeight="1" x14ac:dyDescent="0.25">
      <c r="A104" s="23">
        <v>42552</v>
      </c>
      <c r="B104" s="22">
        <f t="shared" si="10"/>
        <v>27</v>
      </c>
      <c r="C104" s="22">
        <f t="shared" si="11"/>
        <v>7</v>
      </c>
      <c r="D104" s="27">
        <v>67.319999999999993</v>
      </c>
      <c r="E104" s="24">
        <v>460</v>
      </c>
      <c r="F104" s="25">
        <v>420</v>
      </c>
      <c r="G104" s="25">
        <v>510</v>
      </c>
      <c r="H104" s="25">
        <v>510</v>
      </c>
      <c r="I104" s="25">
        <v>545</v>
      </c>
      <c r="J104" s="25">
        <v>590</v>
      </c>
      <c r="K104" s="26">
        <f t="shared" si="12"/>
        <v>559.85</v>
      </c>
      <c r="L104" s="26">
        <f t="shared" si="13"/>
        <v>513.95000000000005</v>
      </c>
      <c r="M104" s="26">
        <v>1285</v>
      </c>
      <c r="N104" s="26">
        <f t="shared" si="14"/>
        <v>107362.99474999998</v>
      </c>
      <c r="O104" s="26">
        <f t="shared" si="18"/>
        <v>7233.333333333333</v>
      </c>
      <c r="P104" s="26">
        <f t="shared" si="16"/>
        <v>82833.437423651427</v>
      </c>
      <c r="Q104" s="26">
        <f t="shared" si="17"/>
        <v>85007.486959999995</v>
      </c>
      <c r="W104" s="23">
        <v>42472</v>
      </c>
      <c r="X104" s="32">
        <v>7733</v>
      </c>
    </row>
    <row r="105" spans="1:24" ht="15" customHeight="1" x14ac:dyDescent="0.25">
      <c r="A105" s="23">
        <v>42555</v>
      </c>
      <c r="B105" s="22">
        <f t="shared" si="10"/>
        <v>28</v>
      </c>
      <c r="C105" s="22">
        <f t="shared" si="11"/>
        <v>7</v>
      </c>
      <c r="D105" s="27">
        <v>67.72</v>
      </c>
      <c r="E105" s="24">
        <v>460</v>
      </c>
      <c r="F105" s="25">
        <v>425</v>
      </c>
      <c r="G105" s="25">
        <v>510</v>
      </c>
      <c r="H105" s="25">
        <v>525</v>
      </c>
      <c r="I105" s="25">
        <v>550</v>
      </c>
      <c r="J105" s="25">
        <v>595</v>
      </c>
      <c r="K105" s="26">
        <f t="shared" si="12"/>
        <v>559.85</v>
      </c>
      <c r="L105" s="26">
        <f t="shared" si="13"/>
        <v>519.6875</v>
      </c>
      <c r="M105" s="26">
        <v>1270</v>
      </c>
      <c r="N105" s="26">
        <f t="shared" si="14"/>
        <v>106828.193</v>
      </c>
      <c r="O105" s="26">
        <f t="shared" si="18"/>
        <v>7133.333333333333</v>
      </c>
      <c r="P105" s="26">
        <f t="shared" si="16"/>
        <v>81798.087750086153</v>
      </c>
      <c r="Q105" s="26">
        <f t="shared" si="17"/>
        <v>84293.990539999999</v>
      </c>
      <c r="W105" s="23">
        <v>42473</v>
      </c>
      <c r="X105" s="32">
        <v>7667</v>
      </c>
    </row>
    <row r="106" spans="1:24" ht="15" customHeight="1" x14ac:dyDescent="0.25">
      <c r="A106" s="23">
        <v>42556</v>
      </c>
      <c r="B106" s="22">
        <f t="shared" si="10"/>
        <v>28</v>
      </c>
      <c r="C106" s="22">
        <f t="shared" si="11"/>
        <v>7</v>
      </c>
      <c r="D106" s="27">
        <v>67.56</v>
      </c>
      <c r="E106" s="24">
        <v>455</v>
      </c>
      <c r="F106" s="25">
        <v>420</v>
      </c>
      <c r="G106" s="25">
        <v>510</v>
      </c>
      <c r="H106" s="25">
        <v>525</v>
      </c>
      <c r="I106" s="25">
        <v>550</v>
      </c>
      <c r="J106" s="25">
        <v>590</v>
      </c>
      <c r="K106" s="26">
        <f t="shared" si="12"/>
        <v>554.11250000000007</v>
      </c>
      <c r="L106" s="26">
        <f t="shared" si="13"/>
        <v>513.95000000000005</v>
      </c>
      <c r="M106" s="26">
        <v>1270</v>
      </c>
      <c r="N106" s="26">
        <f t="shared" si="14"/>
        <v>106586.189</v>
      </c>
      <c r="O106" s="26">
        <f t="shared" si="18"/>
        <v>7066.666666666667</v>
      </c>
      <c r="P106" s="26">
        <f t="shared" si="16"/>
        <v>81107.854634375966</v>
      </c>
      <c r="Q106" s="26">
        <f t="shared" si="17"/>
        <v>84105.227419999996</v>
      </c>
      <c r="W106" s="23">
        <v>42474</v>
      </c>
      <c r="X106" s="32">
        <v>7667</v>
      </c>
    </row>
    <row r="107" spans="1:24" ht="15" customHeight="1" x14ac:dyDescent="0.25">
      <c r="A107" s="23">
        <v>42559</v>
      </c>
      <c r="B107" s="22">
        <f t="shared" si="10"/>
        <v>28</v>
      </c>
      <c r="C107" s="22">
        <f t="shared" si="11"/>
        <v>7</v>
      </c>
      <c r="D107" s="27">
        <v>67.37</v>
      </c>
      <c r="E107" s="24">
        <v>455</v>
      </c>
      <c r="F107" s="25">
        <v>420</v>
      </c>
      <c r="G107" s="25">
        <v>510</v>
      </c>
      <c r="H107" s="25">
        <v>525</v>
      </c>
      <c r="I107" s="25">
        <v>550</v>
      </c>
      <c r="J107" s="25">
        <v>590</v>
      </c>
      <c r="K107" s="26">
        <f t="shared" si="12"/>
        <v>554.11250000000007</v>
      </c>
      <c r="L107" s="26">
        <f t="shared" si="13"/>
        <v>513.95000000000005</v>
      </c>
      <c r="M107" s="26">
        <v>1250</v>
      </c>
      <c r="N107" s="26">
        <f t="shared" si="14"/>
        <v>104777.93150000001</v>
      </c>
      <c r="O107" s="26">
        <f t="shared" si="18"/>
        <v>7100</v>
      </c>
      <c r="P107" s="26">
        <f t="shared" si="16"/>
        <v>81452.971192231067</v>
      </c>
      <c r="Q107" s="26">
        <f t="shared" si="17"/>
        <v>82299.358355000004</v>
      </c>
      <c r="W107" s="23">
        <v>42475</v>
      </c>
      <c r="X107" s="32">
        <v>7767</v>
      </c>
    </row>
    <row r="108" spans="1:24" ht="15" customHeight="1" x14ac:dyDescent="0.25">
      <c r="A108" s="23">
        <v>42562</v>
      </c>
      <c r="B108" s="22">
        <f t="shared" si="10"/>
        <v>29</v>
      </c>
      <c r="C108" s="22">
        <f t="shared" si="11"/>
        <v>7</v>
      </c>
      <c r="D108" s="27">
        <v>67.13</v>
      </c>
      <c r="E108" s="24">
        <v>450</v>
      </c>
      <c r="F108" s="25">
        <v>420</v>
      </c>
      <c r="G108" s="25">
        <v>505</v>
      </c>
      <c r="H108" s="25">
        <v>515</v>
      </c>
      <c r="I108" s="25">
        <v>550</v>
      </c>
      <c r="J108" s="25">
        <v>595</v>
      </c>
      <c r="K108" s="26">
        <f t="shared" si="12"/>
        <v>548.375</v>
      </c>
      <c r="L108" s="26">
        <f t="shared" si="13"/>
        <v>513.95000000000005</v>
      </c>
      <c r="M108" s="26">
        <v>1250</v>
      </c>
      <c r="N108" s="26">
        <f t="shared" si="14"/>
        <v>104420.34349999999</v>
      </c>
      <c r="O108" s="26">
        <f t="shared" si="18"/>
        <v>7233.333333333333</v>
      </c>
      <c r="P108" s="26">
        <f t="shared" si="16"/>
        <v>82833.437423651427</v>
      </c>
      <c r="Q108" s="26">
        <f t="shared" si="17"/>
        <v>82021.848394999979</v>
      </c>
      <c r="W108" s="23">
        <v>42476</v>
      </c>
      <c r="X108" s="32">
        <v>7867</v>
      </c>
    </row>
    <row r="109" spans="1:24" ht="15" customHeight="1" x14ac:dyDescent="0.25">
      <c r="A109" s="23">
        <v>42563</v>
      </c>
      <c r="B109" s="22">
        <f t="shared" si="10"/>
        <v>29</v>
      </c>
      <c r="C109" s="22">
        <f t="shared" si="11"/>
        <v>7</v>
      </c>
      <c r="D109" s="27">
        <v>67.180000000000007</v>
      </c>
      <c r="E109" s="24">
        <v>450</v>
      </c>
      <c r="F109" s="25">
        <v>420</v>
      </c>
      <c r="G109" s="25">
        <v>500</v>
      </c>
      <c r="H109" s="25">
        <v>515</v>
      </c>
      <c r="I109" s="25">
        <v>545</v>
      </c>
      <c r="J109" s="25">
        <v>590</v>
      </c>
      <c r="K109" s="26">
        <f t="shared" si="12"/>
        <v>548.375</v>
      </c>
      <c r="L109" s="26">
        <f t="shared" si="13"/>
        <v>513.95000000000005</v>
      </c>
      <c r="M109" s="26">
        <v>1225</v>
      </c>
      <c r="N109" s="26">
        <f t="shared" si="14"/>
        <v>102599.105375</v>
      </c>
      <c r="O109" s="26">
        <f t="shared" si="18"/>
        <v>7166.666666666667</v>
      </c>
      <c r="P109" s="26">
        <f t="shared" si="16"/>
        <v>82143.204307941254</v>
      </c>
      <c r="Q109" s="26">
        <f t="shared" si="17"/>
        <v>80108.09792</v>
      </c>
      <c r="W109" s="23">
        <v>42477</v>
      </c>
      <c r="X109" s="32">
        <v>7867</v>
      </c>
    </row>
    <row r="110" spans="1:24" ht="15" customHeight="1" x14ac:dyDescent="0.25">
      <c r="A110" s="23">
        <v>42564</v>
      </c>
      <c r="B110" s="22">
        <f t="shared" si="10"/>
        <v>29</v>
      </c>
      <c r="C110" s="22">
        <f t="shared" si="11"/>
        <v>7</v>
      </c>
      <c r="D110" s="27">
        <v>67.05</v>
      </c>
      <c r="E110" s="24">
        <v>455</v>
      </c>
      <c r="F110" s="25">
        <v>425</v>
      </c>
      <c r="G110" s="25">
        <v>500</v>
      </c>
      <c r="H110" s="25">
        <v>515</v>
      </c>
      <c r="I110" s="25">
        <v>550</v>
      </c>
      <c r="J110" s="25">
        <v>595</v>
      </c>
      <c r="K110" s="26">
        <f t="shared" si="12"/>
        <v>554.11250000000007</v>
      </c>
      <c r="L110" s="26">
        <f t="shared" si="13"/>
        <v>519.6875</v>
      </c>
      <c r="M110" s="26">
        <v>1240</v>
      </c>
      <c r="N110" s="26">
        <f t="shared" si="14"/>
        <v>103544.32062499999</v>
      </c>
      <c r="O110" s="26">
        <f t="shared" si="18"/>
        <v>7166.666666666667</v>
      </c>
      <c r="P110" s="26">
        <f t="shared" si="16"/>
        <v>82143.204307941254</v>
      </c>
      <c r="Q110" s="26">
        <f t="shared" si="17"/>
        <v>81142.245125000001</v>
      </c>
      <c r="W110" s="23">
        <v>42478</v>
      </c>
      <c r="X110" s="32">
        <v>8000</v>
      </c>
    </row>
    <row r="111" spans="1:24" ht="15" customHeight="1" x14ac:dyDescent="0.25">
      <c r="A111" s="23">
        <v>42565</v>
      </c>
      <c r="B111" s="22">
        <f t="shared" si="10"/>
        <v>29</v>
      </c>
      <c r="C111" s="22">
        <f t="shared" si="11"/>
        <v>7</v>
      </c>
      <c r="D111" s="27">
        <v>66.91</v>
      </c>
      <c r="E111" s="24">
        <v>455</v>
      </c>
      <c r="F111" s="25">
        <v>420</v>
      </c>
      <c r="G111" s="25">
        <v>500</v>
      </c>
      <c r="H111" s="25">
        <v>515</v>
      </c>
      <c r="I111" s="25">
        <v>550</v>
      </c>
      <c r="J111" s="25">
        <v>595</v>
      </c>
      <c r="K111" s="26">
        <f t="shared" si="12"/>
        <v>554.11250000000007</v>
      </c>
      <c r="L111" s="26">
        <f t="shared" si="13"/>
        <v>513.95000000000005</v>
      </c>
      <c r="M111" s="26">
        <v>1240</v>
      </c>
      <c r="N111" s="26">
        <f t="shared" si="14"/>
        <v>103337.30787499998</v>
      </c>
      <c r="O111" s="26">
        <f t="shared" si="18"/>
        <v>7166.666666666667</v>
      </c>
      <c r="P111" s="26">
        <f t="shared" si="16"/>
        <v>82143.204307941254</v>
      </c>
      <c r="Q111" s="26">
        <f t="shared" si="17"/>
        <v>80982.007774999991</v>
      </c>
      <c r="W111" s="23">
        <v>42479</v>
      </c>
      <c r="X111" s="32">
        <v>8133</v>
      </c>
    </row>
    <row r="112" spans="1:24" ht="15" customHeight="1" x14ac:dyDescent="0.25">
      <c r="A112" s="23">
        <v>42566</v>
      </c>
      <c r="B112" s="22">
        <f t="shared" si="10"/>
        <v>29</v>
      </c>
      <c r="C112" s="22">
        <f t="shared" si="11"/>
        <v>7</v>
      </c>
      <c r="D112" s="27">
        <v>67.05</v>
      </c>
      <c r="E112" s="24">
        <v>455</v>
      </c>
      <c r="F112" s="25">
        <v>420</v>
      </c>
      <c r="G112" s="25">
        <v>500</v>
      </c>
      <c r="H112" s="25">
        <v>515</v>
      </c>
      <c r="I112" s="25">
        <v>550</v>
      </c>
      <c r="J112" s="25">
        <v>595</v>
      </c>
      <c r="K112" s="26">
        <f t="shared" si="12"/>
        <v>554.11250000000007</v>
      </c>
      <c r="L112" s="26">
        <f t="shared" si="13"/>
        <v>513.95000000000005</v>
      </c>
      <c r="M112" s="26">
        <v>1240</v>
      </c>
      <c r="N112" s="26">
        <f t="shared" si="14"/>
        <v>103544.32062499999</v>
      </c>
      <c r="O112" s="26">
        <f t="shared" si="18"/>
        <v>7300</v>
      </c>
      <c r="P112" s="26">
        <f t="shared" si="16"/>
        <v>83523.670539361628</v>
      </c>
      <c r="Q112" s="26">
        <f t="shared" si="17"/>
        <v>81142.245125000001</v>
      </c>
      <c r="W112" s="23">
        <v>42480</v>
      </c>
      <c r="X112" s="32">
        <v>8133</v>
      </c>
    </row>
    <row r="113" spans="1:24" ht="15" customHeight="1" x14ac:dyDescent="0.25">
      <c r="A113" s="23">
        <v>42569</v>
      </c>
      <c r="B113" s="22">
        <f t="shared" si="10"/>
        <v>30</v>
      </c>
      <c r="C113" s="22">
        <f t="shared" si="11"/>
        <v>7</v>
      </c>
      <c r="D113" s="27">
        <v>67.08</v>
      </c>
      <c r="E113" s="24">
        <v>455</v>
      </c>
      <c r="F113" s="25">
        <v>420</v>
      </c>
      <c r="G113" s="25">
        <v>500</v>
      </c>
      <c r="H113" s="25">
        <v>515</v>
      </c>
      <c r="I113" s="25">
        <v>550</v>
      </c>
      <c r="J113" s="25">
        <v>595</v>
      </c>
      <c r="K113" s="26">
        <f t="shared" si="12"/>
        <v>554.11250000000007</v>
      </c>
      <c r="L113" s="26">
        <f t="shared" si="13"/>
        <v>513.95000000000005</v>
      </c>
      <c r="M113" s="26">
        <v>1270</v>
      </c>
      <c r="N113" s="26">
        <f t="shared" si="14"/>
        <v>105860.177</v>
      </c>
      <c r="O113" s="26">
        <f t="shared" si="18"/>
        <v>7200</v>
      </c>
      <c r="P113" s="26">
        <f t="shared" si="16"/>
        <v>82488.320865796341</v>
      </c>
      <c r="Q113" s="26">
        <f t="shared" si="17"/>
        <v>83538.938059999986</v>
      </c>
      <c r="W113" s="23">
        <v>42481</v>
      </c>
      <c r="X113" s="32">
        <v>8400</v>
      </c>
    </row>
    <row r="114" spans="1:24" ht="15" customHeight="1" x14ac:dyDescent="0.25">
      <c r="A114" s="23">
        <v>42570</v>
      </c>
      <c r="B114" s="22">
        <f t="shared" si="10"/>
        <v>30</v>
      </c>
      <c r="C114" s="22">
        <f t="shared" si="11"/>
        <v>7</v>
      </c>
      <c r="D114" s="27">
        <v>67.099999999999994</v>
      </c>
      <c r="E114" s="24">
        <v>455</v>
      </c>
      <c r="F114" s="25">
        <v>420</v>
      </c>
      <c r="G114" s="25">
        <v>500</v>
      </c>
      <c r="H114" s="25">
        <v>515</v>
      </c>
      <c r="I114" s="25">
        <v>550</v>
      </c>
      <c r="J114" s="25">
        <v>600</v>
      </c>
      <c r="K114" s="26">
        <f t="shared" si="12"/>
        <v>554.11250000000007</v>
      </c>
      <c r="L114" s="26">
        <f t="shared" si="13"/>
        <v>513.95000000000005</v>
      </c>
      <c r="M114" s="26">
        <v>1260</v>
      </c>
      <c r="N114" s="26">
        <f t="shared" si="14"/>
        <v>105133.03624999998</v>
      </c>
      <c r="O114" s="26">
        <f t="shared" si="18"/>
        <v>7166.666666666667</v>
      </c>
      <c r="P114" s="26">
        <f t="shared" si="16"/>
        <v>82143.204307941254</v>
      </c>
      <c r="Q114" s="26">
        <f t="shared" si="17"/>
        <v>82774.846550000002</v>
      </c>
      <c r="W114" s="23">
        <v>42482</v>
      </c>
      <c r="X114" s="32">
        <v>8467</v>
      </c>
    </row>
    <row r="115" spans="1:24" ht="15" customHeight="1" x14ac:dyDescent="0.25">
      <c r="A115" s="23">
        <v>42571</v>
      </c>
      <c r="B115" s="22">
        <f t="shared" si="10"/>
        <v>30</v>
      </c>
      <c r="C115" s="22">
        <f t="shared" si="11"/>
        <v>7</v>
      </c>
      <c r="D115" s="27">
        <v>67.19</v>
      </c>
      <c r="E115" s="24">
        <v>465</v>
      </c>
      <c r="F115" s="25">
        <v>425</v>
      </c>
      <c r="G115" s="25">
        <v>500</v>
      </c>
      <c r="H115" s="25">
        <v>515</v>
      </c>
      <c r="I115" s="25">
        <v>550</v>
      </c>
      <c r="J115" s="25">
        <v>595</v>
      </c>
      <c r="K115" s="26">
        <f t="shared" si="12"/>
        <v>565.58749999999998</v>
      </c>
      <c r="L115" s="26">
        <f t="shared" si="13"/>
        <v>519.6875</v>
      </c>
      <c r="M115" s="26">
        <v>1270</v>
      </c>
      <c r="N115" s="26">
        <f t="shared" si="14"/>
        <v>106026.55474999998</v>
      </c>
      <c r="O115" s="26">
        <f t="shared" si="18"/>
        <v>7266.666666666667</v>
      </c>
      <c r="P115" s="26">
        <f t="shared" si="16"/>
        <v>83178.553981506542</v>
      </c>
      <c r="Q115" s="26">
        <f t="shared" si="17"/>
        <v>83668.712704999998</v>
      </c>
      <c r="W115" s="23">
        <v>42483</v>
      </c>
      <c r="X115" s="32">
        <v>8533</v>
      </c>
    </row>
    <row r="116" spans="1:24" ht="15" customHeight="1" x14ac:dyDescent="0.25">
      <c r="A116" s="23">
        <v>42572</v>
      </c>
      <c r="B116" s="22">
        <f t="shared" si="10"/>
        <v>30</v>
      </c>
      <c r="C116" s="22">
        <f t="shared" si="11"/>
        <v>7</v>
      </c>
      <c r="D116" s="27">
        <v>67.17</v>
      </c>
      <c r="E116" s="24">
        <v>465</v>
      </c>
      <c r="F116" s="25">
        <v>425</v>
      </c>
      <c r="G116" s="25">
        <v>515</v>
      </c>
      <c r="H116" s="25">
        <v>520</v>
      </c>
      <c r="I116" s="25">
        <v>550</v>
      </c>
      <c r="J116" s="25">
        <v>595</v>
      </c>
      <c r="K116" s="26">
        <f t="shared" si="12"/>
        <v>565.58749999999998</v>
      </c>
      <c r="L116" s="26">
        <f t="shared" si="13"/>
        <v>519.6875</v>
      </c>
      <c r="M116" s="26">
        <v>1290</v>
      </c>
      <c r="N116" s="26">
        <f t="shared" si="14"/>
        <v>107512.66699999999</v>
      </c>
      <c r="O116" s="26">
        <f t="shared" si="18"/>
        <v>7266.666666666667</v>
      </c>
      <c r="P116" s="26">
        <f t="shared" si="16"/>
        <v>83178.553981506542</v>
      </c>
      <c r="Q116" s="26">
        <f t="shared" si="17"/>
        <v>85222.134574999989</v>
      </c>
      <c r="W116" s="23">
        <v>42484</v>
      </c>
      <c r="X116" s="32">
        <v>8533</v>
      </c>
    </row>
    <row r="117" spans="1:24" ht="15" customHeight="1" x14ac:dyDescent="0.25">
      <c r="A117" s="23">
        <v>42573</v>
      </c>
      <c r="B117" s="22">
        <f t="shared" si="10"/>
        <v>30</v>
      </c>
      <c r="C117" s="22">
        <f t="shared" si="11"/>
        <v>7</v>
      </c>
      <c r="D117" s="27">
        <v>67.09</v>
      </c>
      <c r="E117" s="24">
        <v>465</v>
      </c>
      <c r="F117" s="25">
        <v>425</v>
      </c>
      <c r="G117" s="25">
        <v>515</v>
      </c>
      <c r="H117" s="25">
        <v>520</v>
      </c>
      <c r="I117" s="25">
        <v>550</v>
      </c>
      <c r="J117" s="25">
        <v>590</v>
      </c>
      <c r="K117" s="26">
        <f t="shared" si="12"/>
        <v>565.58749999999998</v>
      </c>
      <c r="L117" s="26">
        <f t="shared" si="13"/>
        <v>519.6875</v>
      </c>
      <c r="M117" s="26">
        <v>1280</v>
      </c>
      <c r="N117" s="26">
        <f t="shared" si="14"/>
        <v>106632.58062499999</v>
      </c>
      <c r="O117" s="26">
        <f t="shared" si="18"/>
        <v>7333.333333333333</v>
      </c>
      <c r="P117" s="26">
        <f t="shared" si="16"/>
        <v>83868.787097216729</v>
      </c>
      <c r="Q117" s="26">
        <f t="shared" si="17"/>
        <v>84338.305265000003</v>
      </c>
      <c r="W117" s="23">
        <v>42485</v>
      </c>
      <c r="X117" s="32">
        <v>8400</v>
      </c>
    </row>
    <row r="118" spans="1:24" ht="15" customHeight="1" x14ac:dyDescent="0.25">
      <c r="A118" s="23">
        <v>42576</v>
      </c>
      <c r="B118" s="22">
        <f t="shared" si="10"/>
        <v>31</v>
      </c>
      <c r="C118" s="22">
        <f t="shared" si="11"/>
        <v>7</v>
      </c>
      <c r="D118" s="27">
        <v>67.31</v>
      </c>
      <c r="E118" s="24">
        <v>460</v>
      </c>
      <c r="F118" s="25">
        <v>425</v>
      </c>
      <c r="G118" s="25">
        <v>515</v>
      </c>
      <c r="H118" s="25">
        <v>520</v>
      </c>
      <c r="I118" s="25">
        <v>550</v>
      </c>
      <c r="J118" s="25">
        <v>585</v>
      </c>
      <c r="K118" s="26">
        <f t="shared" si="12"/>
        <v>559.85</v>
      </c>
      <c r="L118" s="26">
        <f t="shared" si="13"/>
        <v>519.6875</v>
      </c>
      <c r="M118" s="26">
        <v>1290</v>
      </c>
      <c r="N118" s="26">
        <f t="shared" si="14"/>
        <v>107727.58100000001</v>
      </c>
      <c r="O118" s="26">
        <f t="shared" si="18"/>
        <v>7533.333333333333</v>
      </c>
      <c r="P118" s="26">
        <f t="shared" si="16"/>
        <v>85939.486444347276</v>
      </c>
      <c r="Q118" s="26">
        <f t="shared" si="17"/>
        <v>85390.589225000003</v>
      </c>
      <c r="W118" s="23">
        <v>42486</v>
      </c>
      <c r="X118" s="32">
        <v>8067</v>
      </c>
    </row>
    <row r="119" spans="1:24" ht="15" customHeight="1" x14ac:dyDescent="0.25">
      <c r="A119" s="23">
        <v>42577</v>
      </c>
      <c r="B119" s="22">
        <f t="shared" si="10"/>
        <v>31</v>
      </c>
      <c r="C119" s="22">
        <f t="shared" si="11"/>
        <v>7</v>
      </c>
      <c r="D119" s="27">
        <v>67.27</v>
      </c>
      <c r="E119" s="24">
        <v>460</v>
      </c>
      <c r="F119" s="25">
        <v>425</v>
      </c>
      <c r="G119" s="25">
        <v>515</v>
      </c>
      <c r="H119" s="25">
        <v>520</v>
      </c>
      <c r="I119" s="25">
        <v>550</v>
      </c>
      <c r="J119" s="25">
        <v>585</v>
      </c>
      <c r="K119" s="26">
        <f t="shared" si="12"/>
        <v>559.85</v>
      </c>
      <c r="L119" s="26">
        <f t="shared" si="13"/>
        <v>519.6875</v>
      </c>
      <c r="M119" s="26">
        <v>1300</v>
      </c>
      <c r="N119" s="26">
        <f t="shared" si="14"/>
        <v>108425.48712499999</v>
      </c>
      <c r="O119" s="26">
        <f t="shared" si="18"/>
        <v>7400</v>
      </c>
      <c r="P119" s="26">
        <f t="shared" si="16"/>
        <v>84559.020212926916</v>
      </c>
      <c r="Q119" s="26">
        <f t="shared" si="17"/>
        <v>86132.141854999994</v>
      </c>
      <c r="W119" s="23">
        <v>42487</v>
      </c>
      <c r="X119" s="32">
        <v>8133</v>
      </c>
    </row>
    <row r="120" spans="1:24" ht="15" customHeight="1" x14ac:dyDescent="0.25">
      <c r="A120" s="23">
        <v>42578</v>
      </c>
      <c r="B120" s="22">
        <f t="shared" si="10"/>
        <v>31</v>
      </c>
      <c r="C120" s="22">
        <f t="shared" si="11"/>
        <v>7</v>
      </c>
      <c r="D120" s="27">
        <v>67.25</v>
      </c>
      <c r="E120" s="24">
        <v>460</v>
      </c>
      <c r="F120" s="25">
        <v>425</v>
      </c>
      <c r="G120" s="25">
        <v>515</v>
      </c>
      <c r="H120" s="25">
        <v>520</v>
      </c>
      <c r="I120" s="25">
        <v>550</v>
      </c>
      <c r="J120" s="25">
        <v>585</v>
      </c>
      <c r="K120" s="26">
        <f t="shared" si="12"/>
        <v>559.85</v>
      </c>
      <c r="L120" s="26">
        <f t="shared" si="13"/>
        <v>519.6875</v>
      </c>
      <c r="M120" s="26">
        <v>1310</v>
      </c>
      <c r="N120" s="26">
        <f t="shared" si="14"/>
        <v>109153.64374999999</v>
      </c>
      <c r="O120" s="26">
        <f t="shared" si="18"/>
        <v>7500</v>
      </c>
      <c r="P120" s="26">
        <f t="shared" si="16"/>
        <v>85594.369886492204</v>
      </c>
      <c r="Q120" s="26">
        <f t="shared" si="17"/>
        <v>86897.289875000002</v>
      </c>
      <c r="W120" s="23">
        <v>42488</v>
      </c>
      <c r="X120" s="32">
        <v>8267</v>
      </c>
    </row>
    <row r="121" spans="1:24" ht="15" customHeight="1" x14ac:dyDescent="0.25">
      <c r="A121" s="23">
        <v>42579</v>
      </c>
      <c r="B121" s="22">
        <f t="shared" si="10"/>
        <v>31</v>
      </c>
      <c r="C121" s="22">
        <f t="shared" si="11"/>
        <v>7</v>
      </c>
      <c r="D121" s="27">
        <v>67.040000000000006</v>
      </c>
      <c r="E121" s="24">
        <v>460</v>
      </c>
      <c r="F121" s="25">
        <v>425</v>
      </c>
      <c r="G121" s="25">
        <v>515</v>
      </c>
      <c r="H121" s="25">
        <v>520</v>
      </c>
      <c r="I121" s="25">
        <v>550</v>
      </c>
      <c r="J121" s="25">
        <v>585</v>
      </c>
      <c r="K121" s="26">
        <f t="shared" si="12"/>
        <v>559.85</v>
      </c>
      <c r="L121" s="26">
        <f t="shared" si="13"/>
        <v>519.6875</v>
      </c>
      <c r="M121" s="26">
        <v>1310</v>
      </c>
      <c r="N121" s="26">
        <f t="shared" si="14"/>
        <v>108826.53200000001</v>
      </c>
      <c r="O121" s="26">
        <f t="shared" si="18"/>
        <v>7566.666666666667</v>
      </c>
      <c r="P121" s="26">
        <f t="shared" si="16"/>
        <v>86284.603002202406</v>
      </c>
      <c r="Q121" s="26">
        <f t="shared" si="17"/>
        <v>86639.677519999997</v>
      </c>
      <c r="W121" s="23">
        <v>42489</v>
      </c>
      <c r="X121" s="32">
        <v>8067</v>
      </c>
    </row>
    <row r="122" spans="1:24" ht="15" customHeight="1" x14ac:dyDescent="0.25">
      <c r="A122" s="23">
        <v>42580</v>
      </c>
      <c r="B122" s="22">
        <f t="shared" si="10"/>
        <v>31</v>
      </c>
      <c r="C122" s="22">
        <f t="shared" si="11"/>
        <v>7</v>
      </c>
      <c r="D122" s="27">
        <v>67.02</v>
      </c>
      <c r="E122" s="24">
        <v>460</v>
      </c>
      <c r="F122" s="25">
        <v>425</v>
      </c>
      <c r="G122" s="25">
        <v>515</v>
      </c>
      <c r="H122" s="25">
        <v>520</v>
      </c>
      <c r="I122" s="25">
        <v>550</v>
      </c>
      <c r="J122" s="25">
        <v>585</v>
      </c>
      <c r="K122" s="26">
        <f t="shared" si="12"/>
        <v>559.85</v>
      </c>
      <c r="L122" s="26">
        <f t="shared" si="13"/>
        <v>519.6875</v>
      </c>
      <c r="M122" s="26">
        <v>1320</v>
      </c>
      <c r="N122" s="26">
        <f t="shared" si="14"/>
        <v>109551.86674999999</v>
      </c>
      <c r="O122" s="26">
        <f t="shared" si="18"/>
        <v>7566.666666666667</v>
      </c>
      <c r="P122" s="26">
        <f t="shared" si="16"/>
        <v>86284.603002202406</v>
      </c>
      <c r="Q122" s="26">
        <f t="shared" si="17"/>
        <v>87401.89078999999</v>
      </c>
      <c r="W122" s="23">
        <v>42490</v>
      </c>
      <c r="X122" s="32">
        <v>7800</v>
      </c>
    </row>
    <row r="123" spans="1:24" ht="15" customHeight="1" x14ac:dyDescent="0.25">
      <c r="A123" s="23">
        <v>42583</v>
      </c>
      <c r="B123" s="22">
        <f t="shared" si="10"/>
        <v>32</v>
      </c>
      <c r="C123" s="22">
        <f t="shared" si="11"/>
        <v>8</v>
      </c>
      <c r="D123" s="27">
        <v>66.77</v>
      </c>
      <c r="E123" s="24">
        <v>470</v>
      </c>
      <c r="F123" s="25">
        <v>435</v>
      </c>
      <c r="G123" s="25">
        <v>515</v>
      </c>
      <c r="H123" s="25">
        <v>520</v>
      </c>
      <c r="I123" s="25">
        <v>550</v>
      </c>
      <c r="J123" s="25">
        <v>590</v>
      </c>
      <c r="K123" s="26">
        <f t="shared" si="12"/>
        <v>571.32500000000005</v>
      </c>
      <c r="L123" s="26">
        <f t="shared" si="13"/>
        <v>531.16249999999991</v>
      </c>
      <c r="M123" s="26">
        <v>1320</v>
      </c>
      <c r="N123" s="26">
        <f t="shared" si="14"/>
        <v>109159.62612499998</v>
      </c>
      <c r="O123" s="26">
        <f t="shared" si="18"/>
        <v>7866.666666666667</v>
      </c>
      <c r="P123" s="26">
        <f t="shared" si="16"/>
        <v>89390.652022898255</v>
      </c>
      <c r="Q123" s="26">
        <f t="shared" si="17"/>
        <v>87092.27466499999</v>
      </c>
      <c r="W123" s="23">
        <v>42491</v>
      </c>
      <c r="X123" s="32">
        <v>7800</v>
      </c>
    </row>
    <row r="124" spans="1:24" ht="15" customHeight="1" x14ac:dyDescent="0.25">
      <c r="A124" s="23">
        <v>42584</v>
      </c>
      <c r="B124" s="22">
        <f t="shared" si="10"/>
        <v>32</v>
      </c>
      <c r="C124" s="22">
        <f t="shared" si="11"/>
        <v>8</v>
      </c>
      <c r="D124" s="27">
        <v>66.73</v>
      </c>
      <c r="E124" s="24">
        <v>475</v>
      </c>
      <c r="F124" s="25">
        <v>440</v>
      </c>
      <c r="G124" s="25">
        <v>515</v>
      </c>
      <c r="H124" s="25">
        <v>520</v>
      </c>
      <c r="I124" s="25">
        <v>550</v>
      </c>
      <c r="J124" s="25">
        <v>595</v>
      </c>
      <c r="K124" s="26">
        <f t="shared" si="12"/>
        <v>577.0625</v>
      </c>
      <c r="L124" s="26">
        <f t="shared" si="13"/>
        <v>536.90000000000009</v>
      </c>
      <c r="M124" s="26">
        <v>1320</v>
      </c>
      <c r="N124" s="26">
        <f t="shared" si="14"/>
        <v>109096.867625</v>
      </c>
      <c r="O124" s="26">
        <f t="shared" si="18"/>
        <v>7866.666666666667</v>
      </c>
      <c r="P124" s="26">
        <f t="shared" si="16"/>
        <v>89390.652022898255</v>
      </c>
      <c r="Q124" s="26">
        <f t="shared" si="17"/>
        <v>87042.736085000011</v>
      </c>
      <c r="W124" s="23">
        <v>42492</v>
      </c>
      <c r="X124" s="32">
        <v>7600</v>
      </c>
    </row>
    <row r="125" spans="1:24" ht="15" customHeight="1" x14ac:dyDescent="0.25">
      <c r="A125" s="23">
        <v>42585</v>
      </c>
      <c r="B125" s="22">
        <f t="shared" si="10"/>
        <v>32</v>
      </c>
      <c r="C125" s="22">
        <f t="shared" si="11"/>
        <v>8</v>
      </c>
      <c r="D125" s="27">
        <v>66.989999999999995</v>
      </c>
      <c r="E125" s="24">
        <v>470</v>
      </c>
      <c r="F125" s="25">
        <v>440</v>
      </c>
      <c r="G125" s="25">
        <v>525</v>
      </c>
      <c r="H125" s="25">
        <v>530</v>
      </c>
      <c r="I125" s="25">
        <v>560</v>
      </c>
      <c r="J125" s="25">
        <v>605</v>
      </c>
      <c r="K125" s="26">
        <f t="shared" si="12"/>
        <v>571.32500000000005</v>
      </c>
      <c r="L125" s="26">
        <f t="shared" si="13"/>
        <v>536.90000000000009</v>
      </c>
      <c r="M125" s="26">
        <v>1330</v>
      </c>
      <c r="N125" s="26">
        <f t="shared" si="14"/>
        <v>110260.94749999999</v>
      </c>
      <c r="O125" s="26">
        <f t="shared" si="18"/>
        <v>7766.666666666667</v>
      </c>
      <c r="P125" s="26">
        <f t="shared" si="16"/>
        <v>88355.302349332953</v>
      </c>
      <c r="Q125" s="26">
        <f t="shared" si="17"/>
        <v>88151.132464999988</v>
      </c>
      <c r="W125" s="23">
        <v>42493</v>
      </c>
      <c r="X125" s="32">
        <v>7733</v>
      </c>
    </row>
    <row r="126" spans="1:24" ht="15" customHeight="1" x14ac:dyDescent="0.25">
      <c r="A126" s="23">
        <v>42586</v>
      </c>
      <c r="B126" s="22">
        <f t="shared" si="10"/>
        <v>32</v>
      </c>
      <c r="C126" s="22">
        <f t="shared" si="11"/>
        <v>8</v>
      </c>
      <c r="D126" s="27">
        <v>66.91</v>
      </c>
      <c r="E126" s="24">
        <v>470</v>
      </c>
      <c r="F126" s="25">
        <v>440</v>
      </c>
      <c r="G126" s="25">
        <v>515</v>
      </c>
      <c r="H126" s="25">
        <v>520</v>
      </c>
      <c r="I126" s="25">
        <v>550</v>
      </c>
      <c r="J126" s="25">
        <v>605</v>
      </c>
      <c r="K126" s="26">
        <f t="shared" si="12"/>
        <v>571.32500000000005</v>
      </c>
      <c r="L126" s="26">
        <f t="shared" si="13"/>
        <v>536.90000000000009</v>
      </c>
      <c r="M126" s="26">
        <v>1330</v>
      </c>
      <c r="N126" s="26">
        <f t="shared" si="14"/>
        <v>110134.5275</v>
      </c>
      <c r="O126" s="26">
        <f t="shared" si="18"/>
        <v>7766.666666666667</v>
      </c>
      <c r="P126" s="26">
        <f t="shared" si="16"/>
        <v>88355.302349332953</v>
      </c>
      <c r="Q126" s="26">
        <f t="shared" si="17"/>
        <v>88051.116184999992</v>
      </c>
      <c r="W126" s="23">
        <v>42494</v>
      </c>
      <c r="X126" s="32">
        <v>7800</v>
      </c>
    </row>
    <row r="127" spans="1:24" ht="15" customHeight="1" x14ac:dyDescent="0.25">
      <c r="A127" s="23">
        <v>42587</v>
      </c>
      <c r="B127" s="22">
        <f t="shared" si="10"/>
        <v>32</v>
      </c>
      <c r="C127" s="22">
        <f t="shared" si="11"/>
        <v>8</v>
      </c>
      <c r="D127" s="27">
        <v>66.83</v>
      </c>
      <c r="E127" s="24">
        <v>470</v>
      </c>
      <c r="F127" s="25">
        <v>445</v>
      </c>
      <c r="G127" s="25">
        <v>535</v>
      </c>
      <c r="H127" s="25">
        <v>535</v>
      </c>
      <c r="I127" s="25">
        <v>550</v>
      </c>
      <c r="J127" s="25">
        <v>605</v>
      </c>
      <c r="K127" s="26">
        <f t="shared" si="12"/>
        <v>571.32500000000005</v>
      </c>
      <c r="L127" s="26">
        <f t="shared" si="13"/>
        <v>542.63750000000005</v>
      </c>
      <c r="M127" s="26">
        <v>1320</v>
      </c>
      <c r="N127" s="26">
        <f t="shared" si="14"/>
        <v>109253.76387499999</v>
      </c>
      <c r="O127" s="26">
        <f t="shared" si="18"/>
        <v>7833.333333333333</v>
      </c>
      <c r="P127" s="26">
        <f t="shared" si="16"/>
        <v>89045.535465043155</v>
      </c>
      <c r="Q127" s="26">
        <f t="shared" si="17"/>
        <v>87166.582534999994</v>
      </c>
      <c r="W127" s="23">
        <v>42495</v>
      </c>
      <c r="X127" s="32">
        <v>7667</v>
      </c>
    </row>
    <row r="128" spans="1:24" ht="15" customHeight="1" x14ac:dyDescent="0.25">
      <c r="A128" s="23">
        <v>42590</v>
      </c>
      <c r="B128" s="22">
        <f t="shared" si="10"/>
        <v>33</v>
      </c>
      <c r="C128" s="22">
        <f t="shared" si="11"/>
        <v>8</v>
      </c>
      <c r="D128" s="27">
        <v>66.849999999999994</v>
      </c>
      <c r="E128" s="24">
        <v>475</v>
      </c>
      <c r="F128" s="25">
        <v>435</v>
      </c>
      <c r="G128" s="25">
        <v>535</v>
      </c>
      <c r="H128" s="25">
        <v>535</v>
      </c>
      <c r="I128" s="25">
        <v>550</v>
      </c>
      <c r="J128" s="25">
        <v>610</v>
      </c>
      <c r="K128" s="26">
        <f t="shared" si="12"/>
        <v>577.0625</v>
      </c>
      <c r="L128" s="26">
        <f t="shared" si="13"/>
        <v>531.16249999999991</v>
      </c>
      <c r="M128" s="26">
        <v>1330</v>
      </c>
      <c r="N128" s="26">
        <f t="shared" si="14"/>
        <v>110039.71249999998</v>
      </c>
      <c r="O128" s="26">
        <f t="shared" si="18"/>
        <v>8000</v>
      </c>
      <c r="P128" s="26">
        <f t="shared" si="16"/>
        <v>90771.118254318601</v>
      </c>
      <c r="Q128" s="26">
        <f t="shared" si="17"/>
        <v>87976.103974999991</v>
      </c>
      <c r="W128" s="23">
        <v>42496</v>
      </c>
      <c r="X128" s="32">
        <v>7733</v>
      </c>
    </row>
    <row r="129" spans="1:24" ht="15" customHeight="1" x14ac:dyDescent="0.25">
      <c r="A129" s="23">
        <v>42591</v>
      </c>
      <c r="B129" s="22">
        <f t="shared" si="10"/>
        <v>33</v>
      </c>
      <c r="C129" s="22">
        <f t="shared" si="11"/>
        <v>8</v>
      </c>
      <c r="D129" s="27">
        <v>66.84</v>
      </c>
      <c r="E129" s="24">
        <v>475</v>
      </c>
      <c r="F129" s="25">
        <v>435</v>
      </c>
      <c r="G129" s="25">
        <v>535</v>
      </c>
      <c r="H129" s="25">
        <v>535</v>
      </c>
      <c r="I129" s="25">
        <v>550</v>
      </c>
      <c r="J129" s="25">
        <v>610</v>
      </c>
      <c r="K129" s="26">
        <f t="shared" si="12"/>
        <v>577.0625</v>
      </c>
      <c r="L129" s="26">
        <f t="shared" si="13"/>
        <v>531.16249999999991</v>
      </c>
      <c r="M129" s="26">
        <v>1330</v>
      </c>
      <c r="N129" s="26">
        <f t="shared" si="14"/>
        <v>110023.90999999999</v>
      </c>
      <c r="O129" s="26">
        <f t="shared" si="18"/>
        <v>7933.333333333333</v>
      </c>
      <c r="P129" s="26">
        <f t="shared" si="16"/>
        <v>90080.885138608428</v>
      </c>
      <c r="Q129" s="26">
        <f t="shared" si="17"/>
        <v>87963.601940000008</v>
      </c>
      <c r="W129" s="23">
        <v>42497</v>
      </c>
      <c r="X129" s="32">
        <v>7600</v>
      </c>
    </row>
    <row r="130" spans="1:24" ht="15" customHeight="1" x14ac:dyDescent="0.25">
      <c r="A130" s="23">
        <v>42592</v>
      </c>
      <c r="B130" s="22">
        <f t="shared" ref="B130:B193" si="19">WEEKNUM(A130)</f>
        <v>33</v>
      </c>
      <c r="C130" s="22">
        <f t="shared" ref="C130:C193" si="20">MONTH(A130)</f>
        <v>8</v>
      </c>
      <c r="D130" s="27">
        <v>66.680000000000007</v>
      </c>
      <c r="E130" s="24">
        <v>485</v>
      </c>
      <c r="F130" s="25">
        <v>445</v>
      </c>
      <c r="G130" s="25">
        <v>550</v>
      </c>
      <c r="H130" s="25">
        <v>550</v>
      </c>
      <c r="I130" s="25">
        <v>555</v>
      </c>
      <c r="J130" s="25">
        <v>610</v>
      </c>
      <c r="K130" s="26">
        <f t="shared" ref="K130:K193" si="21">E130*1.02*1.125+32</f>
        <v>588.53750000000002</v>
      </c>
      <c r="L130" s="26">
        <f t="shared" ref="L130:L193" si="22">F130*1.02*1.125+32</f>
        <v>542.63750000000005</v>
      </c>
      <c r="M130" s="26">
        <v>1330</v>
      </c>
      <c r="N130" s="26">
        <f t="shared" ref="N130:N193" si="23">(M130+25+45)*D130*(1+12.5%*1.03)+4400</f>
        <v>109771.07</v>
      </c>
      <c r="O130" s="26">
        <f t="shared" si="18"/>
        <v>7966.666666666667</v>
      </c>
      <c r="P130" s="26">
        <f t="shared" ref="P130:P186" si="24">((0.985*O130*(1+$R$2)*(1+$R$3)+$R$4*10)*(1+$R$5)*(1+$R$6)+$R$7)*(1+$R$9)*10+$S$8</f>
        <v>90426.001696463514</v>
      </c>
      <c r="Q130" s="26">
        <f t="shared" ref="Q130:Q193" si="25">(M130-300+35)*D130*1.1739+4400</f>
        <v>87763.569380000015</v>
      </c>
      <c r="W130" s="23">
        <v>42498</v>
      </c>
      <c r="X130" s="32">
        <v>7600</v>
      </c>
    </row>
    <row r="131" spans="1:24" ht="15" customHeight="1" x14ac:dyDescent="0.25">
      <c r="A131" s="23">
        <v>42593</v>
      </c>
      <c r="B131" s="22">
        <f t="shared" si="19"/>
        <v>33</v>
      </c>
      <c r="C131" s="22">
        <f t="shared" si="20"/>
        <v>8</v>
      </c>
      <c r="D131" s="27">
        <v>66.84</v>
      </c>
      <c r="E131" s="24">
        <v>490</v>
      </c>
      <c r="F131" s="25">
        <v>450</v>
      </c>
      <c r="G131" s="25">
        <v>550</v>
      </c>
      <c r="H131" s="25">
        <v>550</v>
      </c>
      <c r="I131" s="25">
        <v>555</v>
      </c>
      <c r="J131" s="25">
        <v>610</v>
      </c>
      <c r="K131" s="26">
        <f t="shared" si="21"/>
        <v>594.27499999999998</v>
      </c>
      <c r="L131" s="26">
        <f t="shared" si="22"/>
        <v>548.375</v>
      </c>
      <c r="M131" s="26">
        <v>1330</v>
      </c>
      <c r="N131" s="26">
        <f t="shared" si="23"/>
        <v>110023.90999999999</v>
      </c>
      <c r="O131" s="26">
        <f t="shared" si="18"/>
        <v>7966.666666666667</v>
      </c>
      <c r="P131" s="26">
        <f t="shared" si="24"/>
        <v>90426.001696463514</v>
      </c>
      <c r="Q131" s="26">
        <f t="shared" si="25"/>
        <v>87963.601940000008</v>
      </c>
      <c r="W131" s="23">
        <v>42499</v>
      </c>
      <c r="X131" s="32">
        <v>7667</v>
      </c>
    </row>
    <row r="132" spans="1:24" ht="15" customHeight="1" x14ac:dyDescent="0.25">
      <c r="A132" s="23">
        <v>42594</v>
      </c>
      <c r="B132" s="22">
        <f t="shared" si="19"/>
        <v>33</v>
      </c>
      <c r="C132" s="22">
        <f t="shared" si="20"/>
        <v>8</v>
      </c>
      <c r="D132" s="27">
        <v>66.84</v>
      </c>
      <c r="E132" s="24">
        <v>490</v>
      </c>
      <c r="F132" s="25">
        <v>450</v>
      </c>
      <c r="G132" s="25">
        <v>550</v>
      </c>
      <c r="H132" s="25">
        <v>550</v>
      </c>
      <c r="I132" s="25">
        <v>555</v>
      </c>
      <c r="J132" s="25">
        <v>610</v>
      </c>
      <c r="K132" s="26">
        <f t="shared" si="21"/>
        <v>594.27499999999998</v>
      </c>
      <c r="L132" s="26">
        <f t="shared" si="22"/>
        <v>548.375</v>
      </c>
      <c r="M132" s="26">
        <v>1350</v>
      </c>
      <c r="N132" s="26">
        <f t="shared" si="23"/>
        <v>111532.82299999999</v>
      </c>
      <c r="O132" s="26">
        <f t="shared" si="18"/>
        <v>8233.3333333333321</v>
      </c>
      <c r="P132" s="26">
        <f t="shared" si="24"/>
        <v>93186.934159304277</v>
      </c>
      <c r="Q132" s="26">
        <f t="shared" si="25"/>
        <v>89532.871460000009</v>
      </c>
      <c r="W132" s="23">
        <v>42500</v>
      </c>
      <c r="X132" s="32">
        <v>7633</v>
      </c>
    </row>
    <row r="133" spans="1:24" ht="15" customHeight="1" x14ac:dyDescent="0.25">
      <c r="A133" s="23">
        <v>42600</v>
      </c>
      <c r="B133" s="22">
        <f t="shared" si="19"/>
        <v>34</v>
      </c>
      <c r="C133" s="22">
        <f t="shared" si="20"/>
        <v>8</v>
      </c>
      <c r="D133" s="27">
        <v>66.8</v>
      </c>
      <c r="E133" s="24">
        <v>510</v>
      </c>
      <c r="F133" s="25">
        <v>470</v>
      </c>
      <c r="G133" s="25">
        <v>570</v>
      </c>
      <c r="H133" s="25">
        <v>570</v>
      </c>
      <c r="I133" s="25">
        <v>555</v>
      </c>
      <c r="J133" s="25">
        <v>620</v>
      </c>
      <c r="K133" s="26">
        <f t="shared" si="21"/>
        <v>617.22500000000002</v>
      </c>
      <c r="L133" s="26">
        <f t="shared" si="22"/>
        <v>571.32500000000005</v>
      </c>
      <c r="M133" s="26">
        <v>1425</v>
      </c>
      <c r="N133" s="26">
        <f t="shared" si="23"/>
        <v>117123.7475</v>
      </c>
      <c r="O133" s="26">
        <f t="shared" si="18"/>
        <v>9233</v>
      </c>
      <c r="P133" s="26">
        <f t="shared" si="24"/>
        <v>103536.97972937854</v>
      </c>
      <c r="Q133" s="26">
        <f t="shared" si="25"/>
        <v>95363.163199999995</v>
      </c>
      <c r="W133" s="23">
        <v>42501</v>
      </c>
      <c r="X133" s="32">
        <v>7600</v>
      </c>
    </row>
    <row r="134" spans="1:24" ht="15" customHeight="1" x14ac:dyDescent="0.25">
      <c r="A134" s="23">
        <v>42601</v>
      </c>
      <c r="B134" s="22">
        <f t="shared" si="19"/>
        <v>34</v>
      </c>
      <c r="C134" s="22">
        <f t="shared" si="20"/>
        <v>8</v>
      </c>
      <c r="D134" s="27">
        <v>66.98</v>
      </c>
      <c r="E134" s="24">
        <v>510</v>
      </c>
      <c r="F134" s="25">
        <v>470</v>
      </c>
      <c r="G134" s="25">
        <v>570</v>
      </c>
      <c r="H134" s="25">
        <v>570</v>
      </c>
      <c r="I134" s="25">
        <v>555</v>
      </c>
      <c r="J134" s="25">
        <v>630</v>
      </c>
      <c r="K134" s="26">
        <f t="shared" si="21"/>
        <v>617.22500000000002</v>
      </c>
      <c r="L134" s="26">
        <f t="shared" si="22"/>
        <v>571.32500000000005</v>
      </c>
      <c r="M134" s="26">
        <v>1450</v>
      </c>
      <c r="N134" s="26">
        <f t="shared" si="23"/>
        <v>119317.586</v>
      </c>
      <c r="O134" s="26">
        <f t="shared" si="18"/>
        <v>9233</v>
      </c>
      <c r="P134" s="26">
        <f t="shared" si="24"/>
        <v>103536.97972937854</v>
      </c>
      <c r="Q134" s="26">
        <f t="shared" si="25"/>
        <v>97573.969069999992</v>
      </c>
      <c r="W134" s="23">
        <v>42502</v>
      </c>
      <c r="X134" s="32">
        <v>7467</v>
      </c>
    </row>
    <row r="135" spans="1:24" ht="15" customHeight="1" x14ac:dyDescent="0.25">
      <c r="A135" s="23">
        <v>42604</v>
      </c>
      <c r="B135" s="22">
        <f t="shared" si="19"/>
        <v>35</v>
      </c>
      <c r="C135" s="22">
        <f t="shared" si="20"/>
        <v>8</v>
      </c>
      <c r="D135" s="27">
        <v>67.19</v>
      </c>
      <c r="E135" s="24">
        <v>515</v>
      </c>
      <c r="F135" s="25">
        <v>460</v>
      </c>
      <c r="G135" s="25">
        <v>570</v>
      </c>
      <c r="H135" s="25">
        <v>560</v>
      </c>
      <c r="I135" s="25">
        <v>550</v>
      </c>
      <c r="J135" s="25">
        <v>630</v>
      </c>
      <c r="K135" s="26">
        <f t="shared" si="21"/>
        <v>622.96249999999998</v>
      </c>
      <c r="L135" s="26">
        <f t="shared" si="22"/>
        <v>559.85</v>
      </c>
      <c r="M135" s="26">
        <v>1430</v>
      </c>
      <c r="N135" s="26">
        <f t="shared" si="23"/>
        <v>118161.06874999999</v>
      </c>
      <c r="O135" s="26">
        <f t="shared" si="18"/>
        <v>9233</v>
      </c>
      <c r="P135" s="26">
        <f t="shared" si="24"/>
        <v>103536.97972937854</v>
      </c>
      <c r="Q135" s="26">
        <f t="shared" si="25"/>
        <v>96288.607264999984</v>
      </c>
      <c r="W135" s="23">
        <v>42503</v>
      </c>
      <c r="X135" s="32">
        <v>7400</v>
      </c>
    </row>
    <row r="136" spans="1:24" ht="15" customHeight="1" x14ac:dyDescent="0.25">
      <c r="A136" s="23">
        <v>42605</v>
      </c>
      <c r="B136" s="22">
        <f t="shared" si="19"/>
        <v>35</v>
      </c>
      <c r="C136" s="22">
        <f t="shared" si="20"/>
        <v>8</v>
      </c>
      <c r="D136" s="27">
        <v>67.06</v>
      </c>
      <c r="E136" s="24">
        <v>507</v>
      </c>
      <c r="F136" s="25">
        <v>460</v>
      </c>
      <c r="G136" s="25">
        <v>550</v>
      </c>
      <c r="H136" s="25">
        <v>558</v>
      </c>
      <c r="I136" s="25">
        <v>550</v>
      </c>
      <c r="J136" s="25">
        <v>640</v>
      </c>
      <c r="K136" s="26">
        <f t="shared" si="21"/>
        <v>613.78250000000003</v>
      </c>
      <c r="L136" s="26">
        <f t="shared" si="22"/>
        <v>559.85</v>
      </c>
      <c r="M136" s="26">
        <v>1440</v>
      </c>
      <c r="N136" s="26">
        <f t="shared" si="23"/>
        <v>118697.90225</v>
      </c>
      <c r="O136" s="26">
        <f t="shared" si="18"/>
        <v>8900</v>
      </c>
      <c r="P136" s="26">
        <f t="shared" si="24"/>
        <v>100089.26531640618</v>
      </c>
      <c r="Q136" s="26">
        <f t="shared" si="25"/>
        <v>96898.037449999989</v>
      </c>
      <c r="W136" s="23">
        <v>42504</v>
      </c>
      <c r="X136" s="32">
        <v>7467</v>
      </c>
    </row>
    <row r="137" spans="1:24" ht="15" customHeight="1" x14ac:dyDescent="0.25">
      <c r="A137" s="23">
        <v>42606</v>
      </c>
      <c r="B137" s="22">
        <f t="shared" si="19"/>
        <v>35</v>
      </c>
      <c r="C137" s="22">
        <f t="shared" si="20"/>
        <v>8</v>
      </c>
      <c r="D137" s="27">
        <v>67.11</v>
      </c>
      <c r="E137" s="24">
        <v>507</v>
      </c>
      <c r="F137" s="25">
        <v>463</v>
      </c>
      <c r="G137" s="25">
        <v>570</v>
      </c>
      <c r="H137" s="25">
        <v>560</v>
      </c>
      <c r="I137" s="25">
        <v>555</v>
      </c>
      <c r="J137" s="25">
        <v>640</v>
      </c>
      <c r="K137" s="26">
        <f t="shared" si="21"/>
        <v>613.78250000000003</v>
      </c>
      <c r="L137" s="26">
        <f t="shared" si="22"/>
        <v>563.29250000000002</v>
      </c>
      <c r="M137" s="26">
        <v>1450</v>
      </c>
      <c r="N137" s="26">
        <f t="shared" si="23"/>
        <v>119540.62699999999</v>
      </c>
      <c r="O137" s="26">
        <f t="shared" si="18"/>
        <v>8967</v>
      </c>
      <c r="P137" s="26">
        <f t="shared" si="24"/>
        <v>100782.94959769491</v>
      </c>
      <c r="Q137" s="26">
        <f t="shared" si="25"/>
        <v>97754.808365000004</v>
      </c>
      <c r="W137" s="23">
        <v>42505</v>
      </c>
      <c r="X137" s="32">
        <v>7467</v>
      </c>
    </row>
    <row r="138" spans="1:24" ht="15" customHeight="1" x14ac:dyDescent="0.25">
      <c r="A138" s="23">
        <v>42607</v>
      </c>
      <c r="B138" s="22">
        <f t="shared" si="19"/>
        <v>35</v>
      </c>
      <c r="C138" s="22">
        <f t="shared" si="20"/>
        <v>8</v>
      </c>
      <c r="D138" s="27">
        <v>67.05</v>
      </c>
      <c r="E138" s="24">
        <v>510</v>
      </c>
      <c r="F138" s="25">
        <v>465</v>
      </c>
      <c r="G138" s="25">
        <v>570</v>
      </c>
      <c r="H138" s="25">
        <v>560</v>
      </c>
      <c r="I138" s="25">
        <v>555</v>
      </c>
      <c r="J138" s="25">
        <v>640</v>
      </c>
      <c r="K138" s="26">
        <f t="shared" si="21"/>
        <v>617.22500000000002</v>
      </c>
      <c r="L138" s="26">
        <f t="shared" si="22"/>
        <v>565.58749999999998</v>
      </c>
      <c r="M138" s="26">
        <v>1450</v>
      </c>
      <c r="N138" s="26">
        <f t="shared" si="23"/>
        <v>119437.685</v>
      </c>
      <c r="O138" s="26">
        <f t="shared" si="18"/>
        <v>8800</v>
      </c>
      <c r="P138" s="26">
        <f t="shared" si="24"/>
        <v>99053.91564284089</v>
      </c>
      <c r="Q138" s="26">
        <f t="shared" si="25"/>
        <v>97671.344075000001</v>
      </c>
      <c r="W138" s="23">
        <v>42506</v>
      </c>
      <c r="X138" s="32">
        <v>7467</v>
      </c>
    </row>
    <row r="139" spans="1:24" ht="15" customHeight="1" x14ac:dyDescent="0.25">
      <c r="A139" s="23">
        <v>42608</v>
      </c>
      <c r="B139" s="22">
        <f t="shared" si="19"/>
        <v>35</v>
      </c>
      <c r="C139" s="22">
        <f t="shared" si="20"/>
        <v>8</v>
      </c>
      <c r="D139" s="27">
        <v>67.06</v>
      </c>
      <c r="E139" s="24">
        <v>515</v>
      </c>
      <c r="F139" s="25">
        <v>465</v>
      </c>
      <c r="G139" s="25">
        <v>575</v>
      </c>
      <c r="H139" s="25">
        <v>560</v>
      </c>
      <c r="I139" s="25">
        <v>555</v>
      </c>
      <c r="J139" s="25">
        <v>651</v>
      </c>
      <c r="K139" s="26">
        <f t="shared" si="21"/>
        <v>622.96249999999998</v>
      </c>
      <c r="L139" s="26">
        <f t="shared" si="22"/>
        <v>565.58749999999998</v>
      </c>
      <c r="M139" s="26">
        <v>1450</v>
      </c>
      <c r="N139" s="26">
        <f t="shared" si="23"/>
        <v>119454.84199999999</v>
      </c>
      <c r="O139" s="26">
        <f t="shared" si="18"/>
        <v>8600</v>
      </c>
      <c r="P139" s="26">
        <f t="shared" si="24"/>
        <v>96983.216295710314</v>
      </c>
      <c r="Q139" s="26">
        <f t="shared" si="25"/>
        <v>97685.254790000006</v>
      </c>
      <c r="W139" s="23">
        <v>42507</v>
      </c>
      <c r="X139" s="32">
        <v>7600</v>
      </c>
    </row>
    <row r="140" spans="1:24" ht="15" customHeight="1" x14ac:dyDescent="0.25">
      <c r="A140" s="23">
        <v>42611</v>
      </c>
      <c r="B140" s="22">
        <f t="shared" si="19"/>
        <v>36</v>
      </c>
      <c r="C140" s="22">
        <f t="shared" si="20"/>
        <v>8</v>
      </c>
      <c r="D140" s="27">
        <v>67.25</v>
      </c>
      <c r="E140" s="24">
        <v>510</v>
      </c>
      <c r="F140" s="25">
        <v>450</v>
      </c>
      <c r="G140" s="25">
        <v>575</v>
      </c>
      <c r="H140" s="25">
        <v>560</v>
      </c>
      <c r="I140" s="25">
        <v>555</v>
      </c>
      <c r="J140" s="25">
        <v>646</v>
      </c>
      <c r="K140" s="26">
        <f t="shared" si="21"/>
        <v>617.22500000000002</v>
      </c>
      <c r="L140" s="26">
        <f t="shared" si="22"/>
        <v>548.375</v>
      </c>
      <c r="M140" s="26">
        <v>1450</v>
      </c>
      <c r="N140" s="26">
        <f t="shared" si="23"/>
        <v>119780.825</v>
      </c>
      <c r="O140" s="26">
        <f t="shared" si="18"/>
        <v>8767</v>
      </c>
      <c r="P140" s="26">
        <f t="shared" si="24"/>
        <v>98712.250250564364</v>
      </c>
      <c r="Q140" s="26">
        <f t="shared" si="25"/>
        <v>97949.558374999993</v>
      </c>
      <c r="W140" s="23">
        <v>42508</v>
      </c>
      <c r="X140" s="32">
        <v>7600</v>
      </c>
    </row>
    <row r="141" spans="1:24" ht="15" customHeight="1" x14ac:dyDescent="0.25">
      <c r="A141" s="23">
        <v>42612</v>
      </c>
      <c r="B141" s="22">
        <f t="shared" si="19"/>
        <v>36</v>
      </c>
      <c r="C141" s="22">
        <f t="shared" si="20"/>
        <v>8</v>
      </c>
      <c r="D141" s="27">
        <v>67.02</v>
      </c>
      <c r="E141" s="24">
        <v>505</v>
      </c>
      <c r="F141" s="25">
        <v>445</v>
      </c>
      <c r="G141" s="25">
        <v>575</v>
      </c>
      <c r="H141" s="25">
        <v>560</v>
      </c>
      <c r="I141" s="25">
        <v>555</v>
      </c>
      <c r="J141" s="25">
        <v>630</v>
      </c>
      <c r="K141" s="26">
        <f t="shared" si="21"/>
        <v>611.48750000000007</v>
      </c>
      <c r="L141" s="26">
        <f t="shared" si="22"/>
        <v>542.63750000000005</v>
      </c>
      <c r="M141" s="26">
        <v>1450</v>
      </c>
      <c r="N141" s="26">
        <f t="shared" si="23"/>
        <v>119386.21399999998</v>
      </c>
      <c r="O141" s="26">
        <f t="shared" si="18"/>
        <v>8500</v>
      </c>
      <c r="P141" s="26">
        <f t="shared" si="24"/>
        <v>95947.866622145026</v>
      </c>
      <c r="Q141" s="26">
        <f t="shared" si="25"/>
        <v>97629.611929999999</v>
      </c>
      <c r="W141" s="23">
        <v>42509</v>
      </c>
      <c r="X141" s="32">
        <v>7533</v>
      </c>
    </row>
    <row r="142" spans="1:24" ht="15" customHeight="1" x14ac:dyDescent="0.25">
      <c r="A142" s="23">
        <v>42613</v>
      </c>
      <c r="B142" s="22">
        <f t="shared" si="19"/>
        <v>36</v>
      </c>
      <c r="C142" s="22">
        <f t="shared" si="20"/>
        <v>8</v>
      </c>
      <c r="D142" s="27">
        <v>66.959999999999994</v>
      </c>
      <c r="E142" s="24">
        <v>510</v>
      </c>
      <c r="F142" s="25">
        <v>460</v>
      </c>
      <c r="G142" s="25">
        <v>570</v>
      </c>
      <c r="H142" s="25">
        <v>565</v>
      </c>
      <c r="I142" s="25">
        <v>555</v>
      </c>
      <c r="J142" s="25">
        <v>630</v>
      </c>
      <c r="K142" s="26">
        <f t="shared" si="21"/>
        <v>617.22500000000002</v>
      </c>
      <c r="L142" s="26">
        <f t="shared" si="22"/>
        <v>559.85</v>
      </c>
      <c r="M142" s="26">
        <v>1450</v>
      </c>
      <c r="N142" s="26">
        <f t="shared" si="23"/>
        <v>119283.27199999998</v>
      </c>
      <c r="O142" s="26">
        <f t="shared" si="18"/>
        <v>8500</v>
      </c>
      <c r="P142" s="26">
        <f t="shared" si="24"/>
        <v>95947.866622145026</v>
      </c>
      <c r="Q142" s="26">
        <f t="shared" si="25"/>
        <v>97546.147639999981</v>
      </c>
      <c r="W142" s="23">
        <v>42510</v>
      </c>
      <c r="X142" s="32">
        <v>7467</v>
      </c>
    </row>
    <row r="143" spans="1:24" ht="15" customHeight="1" x14ac:dyDescent="0.25">
      <c r="A143" s="23">
        <v>42614</v>
      </c>
      <c r="B143" s="22">
        <f t="shared" si="19"/>
        <v>36</v>
      </c>
      <c r="C143" s="22">
        <f t="shared" si="20"/>
        <v>9</v>
      </c>
      <c r="D143" s="27">
        <v>66.95</v>
      </c>
      <c r="E143" s="24">
        <v>510</v>
      </c>
      <c r="F143" s="25">
        <v>460</v>
      </c>
      <c r="G143" s="25">
        <v>570</v>
      </c>
      <c r="H143" s="25">
        <v>565</v>
      </c>
      <c r="I143" s="25">
        <v>555</v>
      </c>
      <c r="J143" s="25">
        <v>630</v>
      </c>
      <c r="K143" s="26">
        <f t="shared" si="21"/>
        <v>617.22500000000002</v>
      </c>
      <c r="L143" s="26">
        <f t="shared" si="22"/>
        <v>559.85</v>
      </c>
      <c r="M143" s="26">
        <v>1450</v>
      </c>
      <c r="N143" s="26">
        <f t="shared" si="23"/>
        <v>119266.11499999999</v>
      </c>
      <c r="O143" s="26">
        <f t="shared" si="18"/>
        <v>8567</v>
      </c>
      <c r="P143" s="26">
        <f t="shared" si="24"/>
        <v>96641.550903433759</v>
      </c>
      <c r="Q143" s="26">
        <f t="shared" si="25"/>
        <v>97532.23692499999</v>
      </c>
      <c r="W143" s="23">
        <v>42511</v>
      </c>
      <c r="X143" s="32">
        <v>7200</v>
      </c>
    </row>
    <row r="144" spans="1:24" ht="15" customHeight="1" x14ac:dyDescent="0.25">
      <c r="A144" s="23">
        <v>42615</v>
      </c>
      <c r="B144" s="22">
        <f t="shared" si="19"/>
        <v>36</v>
      </c>
      <c r="C144" s="22">
        <f t="shared" si="20"/>
        <v>9</v>
      </c>
      <c r="D144" s="27">
        <v>66.819999999999993</v>
      </c>
      <c r="E144" s="24">
        <v>520</v>
      </c>
      <c r="F144" s="25">
        <v>465</v>
      </c>
      <c r="G144" s="25">
        <v>575</v>
      </c>
      <c r="H144" s="25">
        <v>570</v>
      </c>
      <c r="I144" s="25">
        <v>555</v>
      </c>
      <c r="J144" s="25">
        <v>640</v>
      </c>
      <c r="K144" s="26">
        <f t="shared" si="21"/>
        <v>628.69999999999993</v>
      </c>
      <c r="L144" s="26">
        <f t="shared" si="22"/>
        <v>565.58749999999998</v>
      </c>
      <c r="M144" s="26">
        <v>1460</v>
      </c>
      <c r="N144" s="26">
        <f t="shared" si="23"/>
        <v>119797.30474999998</v>
      </c>
      <c r="O144" s="26">
        <f t="shared" si="18"/>
        <v>8500</v>
      </c>
      <c r="P144" s="26">
        <f t="shared" si="24"/>
        <v>95947.866622145026</v>
      </c>
      <c r="Q144" s="26">
        <f t="shared" si="25"/>
        <v>98135.797609999994</v>
      </c>
      <c r="W144" s="23">
        <v>42512</v>
      </c>
      <c r="X144" s="32">
        <v>7200</v>
      </c>
    </row>
    <row r="145" spans="1:24" ht="15" customHeight="1" x14ac:dyDescent="0.25">
      <c r="A145" s="23">
        <v>42619</v>
      </c>
      <c r="B145" s="22">
        <f t="shared" si="19"/>
        <v>37</v>
      </c>
      <c r="C145" s="22">
        <f t="shared" si="20"/>
        <v>9</v>
      </c>
      <c r="D145" s="27">
        <v>66.53</v>
      </c>
      <c r="E145" s="24">
        <v>515</v>
      </c>
      <c r="F145" s="25">
        <v>460</v>
      </c>
      <c r="G145" s="25">
        <v>580</v>
      </c>
      <c r="H145" s="25">
        <v>570</v>
      </c>
      <c r="I145" s="25">
        <v>555</v>
      </c>
      <c r="J145" s="25">
        <v>646</v>
      </c>
      <c r="K145" s="26">
        <f t="shared" si="21"/>
        <v>622.96249999999998</v>
      </c>
      <c r="L145" s="26">
        <f t="shared" si="22"/>
        <v>559.85</v>
      </c>
      <c r="M145" s="26">
        <v>1465</v>
      </c>
      <c r="N145" s="26">
        <f t="shared" si="23"/>
        <v>119671.95706249999</v>
      </c>
      <c r="O145" s="26">
        <f t="shared" si="18"/>
        <v>8367</v>
      </c>
      <c r="P145" s="26">
        <f t="shared" si="24"/>
        <v>94570.851556303212</v>
      </c>
      <c r="Q145" s="26">
        <f t="shared" si="25"/>
        <v>98119.4804</v>
      </c>
      <c r="W145" s="23">
        <v>42513</v>
      </c>
      <c r="X145" s="32">
        <v>7267</v>
      </c>
    </row>
    <row r="146" spans="1:24" ht="15" customHeight="1" x14ac:dyDescent="0.25">
      <c r="A146" s="23">
        <v>42620</v>
      </c>
      <c r="B146" s="22">
        <f t="shared" si="19"/>
        <v>37</v>
      </c>
      <c r="C146" s="22">
        <f t="shared" si="20"/>
        <v>9</v>
      </c>
      <c r="D146" s="27">
        <v>66.37</v>
      </c>
      <c r="E146" s="24">
        <v>515</v>
      </c>
      <c r="F146" s="25">
        <v>465</v>
      </c>
      <c r="G146" s="25">
        <v>580</v>
      </c>
      <c r="H146" s="25">
        <v>570</v>
      </c>
      <c r="I146" s="25">
        <v>555</v>
      </c>
      <c r="J146" s="25">
        <v>641</v>
      </c>
      <c r="K146" s="26">
        <f t="shared" si="21"/>
        <v>622.96249999999998</v>
      </c>
      <c r="L146" s="26">
        <f t="shared" si="22"/>
        <v>565.58749999999998</v>
      </c>
      <c r="M146" s="26">
        <v>1465</v>
      </c>
      <c r="N146" s="26">
        <f t="shared" si="23"/>
        <v>119394.7360625</v>
      </c>
      <c r="O146" s="26">
        <f t="shared" si="18"/>
        <v>8567</v>
      </c>
      <c r="P146" s="26">
        <f t="shared" si="24"/>
        <v>96641.550903433759</v>
      </c>
      <c r="Q146" s="26">
        <f t="shared" si="25"/>
        <v>97894.0916</v>
      </c>
      <c r="W146" s="23">
        <v>42514</v>
      </c>
      <c r="X146" s="32">
        <v>7133</v>
      </c>
    </row>
    <row r="147" spans="1:24" ht="15" customHeight="1" x14ac:dyDescent="0.25">
      <c r="A147" s="23">
        <v>42621</v>
      </c>
      <c r="B147" s="22">
        <f t="shared" si="19"/>
        <v>37</v>
      </c>
      <c r="C147" s="22">
        <f t="shared" si="20"/>
        <v>9</v>
      </c>
      <c r="D147" s="27">
        <v>66.430000000000007</v>
      </c>
      <c r="E147" s="24">
        <v>510</v>
      </c>
      <c r="F147" s="25">
        <v>465</v>
      </c>
      <c r="G147" s="25">
        <v>580</v>
      </c>
      <c r="H147" s="25">
        <v>570</v>
      </c>
      <c r="I147" s="25">
        <v>555</v>
      </c>
      <c r="J147" s="25">
        <v>641</v>
      </c>
      <c r="K147" s="26">
        <f t="shared" si="21"/>
        <v>617.22500000000002</v>
      </c>
      <c r="L147" s="26">
        <f t="shared" si="22"/>
        <v>565.58749999999998</v>
      </c>
      <c r="M147" s="26">
        <v>1465</v>
      </c>
      <c r="N147" s="26">
        <f t="shared" si="23"/>
        <v>119498.69393750001</v>
      </c>
      <c r="O147" s="26">
        <f t="shared" si="18"/>
        <v>8500</v>
      </c>
      <c r="P147" s="26">
        <f t="shared" si="24"/>
        <v>95947.866622145026</v>
      </c>
      <c r="Q147" s="26">
        <f t="shared" si="25"/>
        <v>97978.612400000013</v>
      </c>
      <c r="W147" s="23">
        <v>42515</v>
      </c>
      <c r="X147" s="32">
        <v>7267</v>
      </c>
    </row>
    <row r="148" spans="1:24" ht="15" customHeight="1" x14ac:dyDescent="0.25">
      <c r="A148" s="23">
        <v>42622</v>
      </c>
      <c r="B148" s="22">
        <f t="shared" si="19"/>
        <v>37</v>
      </c>
      <c r="C148" s="22">
        <f t="shared" si="20"/>
        <v>9</v>
      </c>
      <c r="D148" s="27">
        <v>66.680000000000007</v>
      </c>
      <c r="E148" s="24">
        <v>515</v>
      </c>
      <c r="F148" s="25">
        <v>470</v>
      </c>
      <c r="G148" s="25">
        <v>580</v>
      </c>
      <c r="H148" s="25">
        <v>570</v>
      </c>
      <c r="I148" s="25">
        <v>555</v>
      </c>
      <c r="J148" s="25">
        <v>646</v>
      </c>
      <c r="K148" s="26">
        <f t="shared" si="21"/>
        <v>622.96249999999998</v>
      </c>
      <c r="L148" s="26">
        <f t="shared" si="22"/>
        <v>571.32500000000005</v>
      </c>
      <c r="M148" s="26">
        <v>1465</v>
      </c>
      <c r="N148" s="26">
        <f t="shared" si="23"/>
        <v>119931.85175000002</v>
      </c>
      <c r="O148" s="26">
        <f t="shared" si="18"/>
        <v>8567</v>
      </c>
      <c r="P148" s="26">
        <f t="shared" si="24"/>
        <v>96641.550903433759</v>
      </c>
      <c r="Q148" s="26">
        <f t="shared" si="25"/>
        <v>98330.782400000011</v>
      </c>
      <c r="W148" s="23">
        <v>42516</v>
      </c>
      <c r="X148" s="32">
        <v>7267</v>
      </c>
    </row>
    <row r="149" spans="1:24" ht="15" customHeight="1" x14ac:dyDescent="0.25">
      <c r="A149" s="23">
        <v>42626</v>
      </c>
      <c r="B149" s="22">
        <f t="shared" si="19"/>
        <v>38</v>
      </c>
      <c r="C149" s="22">
        <f t="shared" si="20"/>
        <v>9</v>
      </c>
      <c r="D149" s="27">
        <v>66.92</v>
      </c>
      <c r="E149" s="24">
        <v>505</v>
      </c>
      <c r="F149" s="25">
        <v>460</v>
      </c>
      <c r="G149" s="25">
        <v>575</v>
      </c>
      <c r="H149" s="25">
        <v>570</v>
      </c>
      <c r="I149" s="25">
        <v>555</v>
      </c>
      <c r="J149" s="25">
        <v>636</v>
      </c>
      <c r="K149" s="26">
        <f t="shared" si="21"/>
        <v>611.48750000000007</v>
      </c>
      <c r="L149" s="26">
        <f t="shared" si="22"/>
        <v>559.85</v>
      </c>
      <c r="M149" s="26">
        <v>1455</v>
      </c>
      <c r="N149" s="26">
        <f t="shared" si="23"/>
        <v>119592.32375</v>
      </c>
      <c r="O149" s="26">
        <f t="shared" si="18"/>
        <v>8733</v>
      </c>
      <c r="P149" s="26">
        <f t="shared" si="24"/>
        <v>98360.231361552127</v>
      </c>
      <c r="Q149" s="26">
        <f t="shared" si="25"/>
        <v>97883.291719999994</v>
      </c>
      <c r="W149" s="23">
        <v>42517</v>
      </c>
      <c r="X149" s="32">
        <v>7267</v>
      </c>
    </row>
    <row r="150" spans="1:24" ht="15" customHeight="1" x14ac:dyDescent="0.25">
      <c r="A150" s="23">
        <v>42627</v>
      </c>
      <c r="B150" s="22">
        <f t="shared" si="19"/>
        <v>38</v>
      </c>
      <c r="C150" s="22">
        <f t="shared" si="20"/>
        <v>9</v>
      </c>
      <c r="D150" s="27">
        <v>66.89</v>
      </c>
      <c r="E150" s="24">
        <v>505</v>
      </c>
      <c r="F150" s="25">
        <v>455</v>
      </c>
      <c r="G150" s="25">
        <v>575</v>
      </c>
      <c r="H150" s="25">
        <v>565</v>
      </c>
      <c r="I150" s="25">
        <v>555</v>
      </c>
      <c r="J150" s="25">
        <v>636</v>
      </c>
      <c r="K150" s="26">
        <f t="shared" si="21"/>
        <v>611.48750000000007</v>
      </c>
      <c r="L150" s="26">
        <f t="shared" si="22"/>
        <v>554.11250000000007</v>
      </c>
      <c r="M150" s="26">
        <v>1445</v>
      </c>
      <c r="N150" s="26">
        <f t="shared" si="23"/>
        <v>118785.6625625</v>
      </c>
      <c r="O150" s="26">
        <f t="shared" si="18"/>
        <v>8900</v>
      </c>
      <c r="P150" s="26">
        <f t="shared" si="24"/>
        <v>100089.26531640618</v>
      </c>
      <c r="Q150" s="26">
        <f t="shared" si="25"/>
        <v>97056.161779999995</v>
      </c>
      <c r="W150" s="23">
        <v>42518</v>
      </c>
      <c r="X150" s="32">
        <v>7267</v>
      </c>
    </row>
    <row r="151" spans="1:24" ht="15" customHeight="1" x14ac:dyDescent="0.25">
      <c r="A151" s="23">
        <v>42628</v>
      </c>
      <c r="B151" s="22">
        <f t="shared" si="19"/>
        <v>38</v>
      </c>
      <c r="C151" s="22">
        <f t="shared" si="20"/>
        <v>9</v>
      </c>
      <c r="D151" s="27">
        <v>67.02</v>
      </c>
      <c r="E151" s="24">
        <v>505</v>
      </c>
      <c r="F151" s="25">
        <v>455</v>
      </c>
      <c r="G151" s="25">
        <v>575</v>
      </c>
      <c r="H151" s="25">
        <v>565</v>
      </c>
      <c r="I151" s="25">
        <v>555</v>
      </c>
      <c r="J151" s="25">
        <v>636</v>
      </c>
      <c r="K151" s="26">
        <f t="shared" si="21"/>
        <v>611.48750000000007</v>
      </c>
      <c r="L151" s="26">
        <f t="shared" si="22"/>
        <v>554.11250000000007</v>
      </c>
      <c r="M151" s="26">
        <v>1430</v>
      </c>
      <c r="N151" s="26">
        <f t="shared" si="23"/>
        <v>117873.23749999999</v>
      </c>
      <c r="O151" s="26">
        <f t="shared" si="18"/>
        <v>9233</v>
      </c>
      <c r="P151" s="26">
        <f t="shared" si="24"/>
        <v>103536.97972937854</v>
      </c>
      <c r="Q151" s="26">
        <f t="shared" si="25"/>
        <v>96056.116369999989</v>
      </c>
      <c r="W151" s="23">
        <v>42519</v>
      </c>
      <c r="X151" s="32">
        <v>7267</v>
      </c>
    </row>
    <row r="152" spans="1:24" ht="15" customHeight="1" x14ac:dyDescent="0.25">
      <c r="A152" s="23">
        <v>42629</v>
      </c>
      <c r="B152" s="22">
        <f t="shared" si="19"/>
        <v>38</v>
      </c>
      <c r="C152" s="22">
        <f t="shared" si="20"/>
        <v>9</v>
      </c>
      <c r="D152" s="27">
        <v>66.989999999999995</v>
      </c>
      <c r="E152" s="24">
        <v>505</v>
      </c>
      <c r="F152" s="25">
        <v>455</v>
      </c>
      <c r="G152" s="25">
        <v>575</v>
      </c>
      <c r="H152" s="25">
        <v>565</v>
      </c>
      <c r="I152" s="25">
        <v>555</v>
      </c>
      <c r="J152" s="25">
        <v>636</v>
      </c>
      <c r="K152" s="26">
        <f t="shared" si="21"/>
        <v>611.48750000000007</v>
      </c>
      <c r="L152" s="26">
        <f t="shared" si="22"/>
        <v>554.11250000000007</v>
      </c>
      <c r="M152" s="26">
        <v>1435</v>
      </c>
      <c r="N152" s="26">
        <f t="shared" si="23"/>
        <v>118200.51856249999</v>
      </c>
      <c r="O152" s="26">
        <f t="shared" si="18"/>
        <v>9067</v>
      </c>
      <c r="P152" s="26">
        <f t="shared" si="24"/>
        <v>101818.2992712602</v>
      </c>
      <c r="Q152" s="26">
        <f t="shared" si="25"/>
        <v>96408.286369999987</v>
      </c>
      <c r="W152" s="23">
        <v>42520</v>
      </c>
      <c r="X152" s="32">
        <v>7367</v>
      </c>
    </row>
    <row r="153" spans="1:24" ht="15" customHeight="1" x14ac:dyDescent="0.25">
      <c r="A153" s="23">
        <v>42632</v>
      </c>
      <c r="B153" s="22">
        <f t="shared" si="19"/>
        <v>39</v>
      </c>
      <c r="C153" s="22">
        <f t="shared" si="20"/>
        <v>9</v>
      </c>
      <c r="D153" s="27">
        <v>66.97</v>
      </c>
      <c r="E153" s="24">
        <v>515</v>
      </c>
      <c r="F153" s="25">
        <v>465</v>
      </c>
      <c r="G153" s="25">
        <v>585</v>
      </c>
      <c r="H153" s="25">
        <v>575</v>
      </c>
      <c r="I153" s="25">
        <v>555</v>
      </c>
      <c r="J153" s="25">
        <v>646</v>
      </c>
      <c r="K153" s="26">
        <f t="shared" si="21"/>
        <v>622.96249999999998</v>
      </c>
      <c r="L153" s="26">
        <f t="shared" si="22"/>
        <v>565.58749999999998</v>
      </c>
      <c r="M153" s="26">
        <v>1440</v>
      </c>
      <c r="N153" s="26">
        <f t="shared" si="23"/>
        <v>118544.50512499998</v>
      </c>
      <c r="O153" s="26">
        <f t="shared" si="18"/>
        <v>9000</v>
      </c>
      <c r="P153" s="26">
        <f t="shared" si="24"/>
        <v>101124.61498997147</v>
      </c>
      <c r="Q153" s="26">
        <f t="shared" si="25"/>
        <v>96773.897524999993</v>
      </c>
      <c r="W153" s="23">
        <v>42521</v>
      </c>
      <c r="X153" s="32">
        <v>7367</v>
      </c>
    </row>
    <row r="154" spans="1:24" ht="15" customHeight="1" x14ac:dyDescent="0.25">
      <c r="A154" s="23">
        <v>42633</v>
      </c>
      <c r="B154" s="22">
        <f t="shared" si="19"/>
        <v>39</v>
      </c>
      <c r="C154" s="22">
        <f t="shared" si="20"/>
        <v>9</v>
      </c>
      <c r="D154" s="27">
        <v>67.010000000000005</v>
      </c>
      <c r="E154" s="24">
        <v>525</v>
      </c>
      <c r="F154" s="25">
        <v>475</v>
      </c>
      <c r="G154" s="25">
        <v>595</v>
      </c>
      <c r="H154" s="25">
        <v>585</v>
      </c>
      <c r="I154" s="25">
        <v>555</v>
      </c>
      <c r="J154" s="25">
        <v>656</v>
      </c>
      <c r="K154" s="26">
        <f t="shared" si="21"/>
        <v>634.4375</v>
      </c>
      <c r="L154" s="26">
        <f t="shared" si="22"/>
        <v>577.0625</v>
      </c>
      <c r="M154" s="26">
        <v>1450</v>
      </c>
      <c r="N154" s="26">
        <f t="shared" si="23"/>
        <v>119369.057</v>
      </c>
      <c r="O154" s="26">
        <f t="shared" si="18"/>
        <v>9033</v>
      </c>
      <c r="P154" s="26">
        <f t="shared" si="24"/>
        <v>101466.28038224801</v>
      </c>
      <c r="Q154" s="26">
        <f t="shared" si="25"/>
        <v>97615.701215000008</v>
      </c>
      <c r="W154" s="23">
        <v>42522</v>
      </c>
      <c r="X154" s="32">
        <v>7467</v>
      </c>
    </row>
    <row r="155" spans="1:24" ht="15" customHeight="1" x14ac:dyDescent="0.25">
      <c r="A155" s="23">
        <v>42634</v>
      </c>
      <c r="B155" s="22">
        <f t="shared" si="19"/>
        <v>39</v>
      </c>
      <c r="C155" s="22">
        <f t="shared" si="20"/>
        <v>9</v>
      </c>
      <c r="D155" s="27">
        <v>67.05</v>
      </c>
      <c r="E155" s="24">
        <v>545</v>
      </c>
      <c r="F155" s="25">
        <v>465</v>
      </c>
      <c r="G155" s="25">
        <v>595</v>
      </c>
      <c r="H155" s="25">
        <v>575</v>
      </c>
      <c r="I155" s="25">
        <v>555</v>
      </c>
      <c r="J155" s="25">
        <v>656</v>
      </c>
      <c r="K155" s="26">
        <f t="shared" si="21"/>
        <v>657.38749999999993</v>
      </c>
      <c r="L155" s="26">
        <f t="shared" si="22"/>
        <v>565.58749999999998</v>
      </c>
      <c r="M155" s="26">
        <v>1450</v>
      </c>
      <c r="N155" s="26">
        <f t="shared" si="23"/>
        <v>119437.685</v>
      </c>
      <c r="O155" s="26">
        <f t="shared" si="18"/>
        <v>9233</v>
      </c>
      <c r="P155" s="26">
        <f t="shared" si="24"/>
        <v>103536.97972937854</v>
      </c>
      <c r="Q155" s="26">
        <f t="shared" si="25"/>
        <v>97671.344075000001</v>
      </c>
      <c r="W155" s="23">
        <v>42523</v>
      </c>
      <c r="X155" s="32">
        <v>7400</v>
      </c>
    </row>
    <row r="156" spans="1:24" ht="15" customHeight="1" x14ac:dyDescent="0.25">
      <c r="A156" s="23">
        <v>42635</v>
      </c>
      <c r="B156" s="22">
        <f t="shared" si="19"/>
        <v>39</v>
      </c>
      <c r="C156" s="22">
        <f t="shared" si="20"/>
        <v>9</v>
      </c>
      <c r="D156" s="27">
        <v>66.66</v>
      </c>
      <c r="E156" s="24">
        <v>545</v>
      </c>
      <c r="F156" s="25">
        <v>465</v>
      </c>
      <c r="G156" s="25">
        <v>595</v>
      </c>
      <c r="H156" s="25">
        <v>575</v>
      </c>
      <c r="I156" s="25">
        <v>555</v>
      </c>
      <c r="J156" s="25">
        <v>656</v>
      </c>
      <c r="K156" s="26">
        <f t="shared" si="21"/>
        <v>657.38749999999993</v>
      </c>
      <c r="L156" s="26">
        <f t="shared" si="22"/>
        <v>565.58749999999998</v>
      </c>
      <c r="M156" s="26">
        <v>1450</v>
      </c>
      <c r="N156" s="26">
        <f t="shared" si="23"/>
        <v>118768.56199999999</v>
      </c>
      <c r="O156" s="26">
        <f t="shared" si="18"/>
        <v>9433</v>
      </c>
      <c r="P156" s="26">
        <f t="shared" si="24"/>
        <v>105607.67907650911</v>
      </c>
      <c r="Q156" s="26">
        <f t="shared" si="25"/>
        <v>97128.826189999992</v>
      </c>
      <c r="W156" s="23">
        <v>42524</v>
      </c>
      <c r="X156" s="32">
        <v>7467</v>
      </c>
    </row>
    <row r="157" spans="1:24" ht="15" customHeight="1" x14ac:dyDescent="0.25">
      <c r="A157" s="23">
        <v>42636</v>
      </c>
      <c r="B157" s="22">
        <f t="shared" si="19"/>
        <v>39</v>
      </c>
      <c r="C157" s="22">
        <f t="shared" si="20"/>
        <v>9</v>
      </c>
      <c r="D157" s="27">
        <v>66.650000000000006</v>
      </c>
      <c r="E157" s="24">
        <v>545</v>
      </c>
      <c r="F157" s="25">
        <v>465</v>
      </c>
      <c r="G157" s="25">
        <v>595</v>
      </c>
      <c r="H157" s="25">
        <v>575</v>
      </c>
      <c r="I157" s="25">
        <v>555</v>
      </c>
      <c r="J157" s="25">
        <v>656</v>
      </c>
      <c r="K157" s="26">
        <f t="shared" si="21"/>
        <v>657.38749999999993</v>
      </c>
      <c r="L157" s="26">
        <f t="shared" si="22"/>
        <v>565.58749999999998</v>
      </c>
      <c r="M157" s="26">
        <v>1450</v>
      </c>
      <c r="N157" s="26">
        <f t="shared" si="23"/>
        <v>118751.40500000001</v>
      </c>
      <c r="O157" s="26">
        <f t="shared" si="18"/>
        <v>9233</v>
      </c>
      <c r="P157" s="26">
        <f t="shared" si="24"/>
        <v>103536.97972937854</v>
      </c>
      <c r="Q157" s="26">
        <f t="shared" si="25"/>
        <v>97114.915475000002</v>
      </c>
      <c r="W157" s="23">
        <v>42525</v>
      </c>
      <c r="X157" s="32">
        <v>7467</v>
      </c>
    </row>
    <row r="158" spans="1:24" ht="15" customHeight="1" x14ac:dyDescent="0.25">
      <c r="A158" s="23">
        <v>42639</v>
      </c>
      <c r="B158" s="22">
        <f t="shared" si="19"/>
        <v>40</v>
      </c>
      <c r="C158" s="22">
        <f t="shared" si="20"/>
        <v>9</v>
      </c>
      <c r="D158" s="27">
        <v>66.599999999999994</v>
      </c>
      <c r="E158" s="24">
        <v>530</v>
      </c>
      <c r="F158" s="25">
        <v>455</v>
      </c>
      <c r="G158" s="25">
        <v>580</v>
      </c>
      <c r="H158" s="25">
        <v>565</v>
      </c>
      <c r="I158" s="25">
        <v>545</v>
      </c>
      <c r="J158" s="25">
        <v>651</v>
      </c>
      <c r="K158" s="26">
        <f t="shared" si="21"/>
        <v>640.17500000000007</v>
      </c>
      <c r="L158" s="26">
        <f t="shared" si="22"/>
        <v>554.11250000000007</v>
      </c>
      <c r="M158" s="26">
        <v>1440</v>
      </c>
      <c r="N158" s="26">
        <f t="shared" si="23"/>
        <v>117913.87249999997</v>
      </c>
      <c r="O158" s="26">
        <f t="shared" si="18"/>
        <v>9133</v>
      </c>
      <c r="P158" s="26">
        <f t="shared" si="24"/>
        <v>102501.63005581328</v>
      </c>
      <c r="Q158" s="26">
        <f t="shared" si="25"/>
        <v>96263.544499999989</v>
      </c>
      <c r="W158" s="23">
        <v>42526</v>
      </c>
      <c r="X158" s="32">
        <v>7467</v>
      </c>
    </row>
    <row r="159" spans="1:24" ht="15" customHeight="1" x14ac:dyDescent="0.25">
      <c r="A159" s="23">
        <v>42640</v>
      </c>
      <c r="B159" s="22">
        <f t="shared" si="19"/>
        <v>40</v>
      </c>
      <c r="C159" s="22">
        <f t="shared" si="20"/>
        <v>9</v>
      </c>
      <c r="D159" s="27">
        <v>66.48</v>
      </c>
      <c r="E159" s="24">
        <v>525</v>
      </c>
      <c r="F159" s="25">
        <v>450</v>
      </c>
      <c r="G159" s="25">
        <v>580</v>
      </c>
      <c r="H159" s="25">
        <v>565</v>
      </c>
      <c r="I159" s="25">
        <v>545</v>
      </c>
      <c r="J159" s="25">
        <v>646</v>
      </c>
      <c r="K159" s="26">
        <f t="shared" si="21"/>
        <v>634.4375</v>
      </c>
      <c r="L159" s="26">
        <f t="shared" si="22"/>
        <v>548.375</v>
      </c>
      <c r="M159" s="26">
        <v>1440</v>
      </c>
      <c r="N159" s="26">
        <f t="shared" si="23"/>
        <v>117709.34299999999</v>
      </c>
      <c r="O159" s="26">
        <f t="shared" si="18"/>
        <v>9067</v>
      </c>
      <c r="P159" s="26">
        <f t="shared" si="24"/>
        <v>101818.2992712602</v>
      </c>
      <c r="Q159" s="26">
        <f t="shared" si="25"/>
        <v>96098.02459999999</v>
      </c>
      <c r="W159" s="23">
        <v>42527</v>
      </c>
      <c r="X159" s="32">
        <v>7433</v>
      </c>
    </row>
    <row r="160" spans="1:24" ht="15" customHeight="1" x14ac:dyDescent="0.25">
      <c r="A160" s="23">
        <v>42641</v>
      </c>
      <c r="B160" s="22">
        <f t="shared" si="19"/>
        <v>40</v>
      </c>
      <c r="C160" s="22">
        <f t="shared" si="20"/>
        <v>9</v>
      </c>
      <c r="D160" s="27">
        <v>66.459999999999994</v>
      </c>
      <c r="E160" s="24">
        <v>525</v>
      </c>
      <c r="F160" s="25">
        <v>450</v>
      </c>
      <c r="G160" s="25">
        <v>580</v>
      </c>
      <c r="H160" s="25">
        <v>560</v>
      </c>
      <c r="I160" s="25">
        <v>545</v>
      </c>
      <c r="J160" s="25">
        <v>646</v>
      </c>
      <c r="K160" s="26">
        <f t="shared" si="21"/>
        <v>634.4375</v>
      </c>
      <c r="L160" s="26">
        <f t="shared" si="22"/>
        <v>548.375</v>
      </c>
      <c r="M160" s="26">
        <v>1370</v>
      </c>
      <c r="N160" s="26">
        <f t="shared" si="23"/>
        <v>112424.08399999999</v>
      </c>
      <c r="O160" s="26">
        <f t="shared" si="18"/>
        <v>8900</v>
      </c>
      <c r="P160" s="26">
        <f t="shared" si="24"/>
        <v>100089.26531640618</v>
      </c>
      <c r="Q160" s="26">
        <f t="shared" si="25"/>
        <v>90609.220369999981</v>
      </c>
      <c r="W160" s="23">
        <v>42528</v>
      </c>
      <c r="X160" s="32">
        <v>7400</v>
      </c>
    </row>
    <row r="161" spans="1:25" ht="15" customHeight="1" x14ac:dyDescent="0.25">
      <c r="A161" s="23">
        <v>42642</v>
      </c>
      <c r="B161" s="22">
        <f t="shared" si="19"/>
        <v>40</v>
      </c>
      <c r="C161" s="22">
        <f t="shared" si="20"/>
        <v>9</v>
      </c>
      <c r="D161" s="27">
        <v>66.48</v>
      </c>
      <c r="E161" s="24">
        <v>525</v>
      </c>
      <c r="F161" s="25">
        <v>450</v>
      </c>
      <c r="G161" s="25">
        <v>575</v>
      </c>
      <c r="H161" s="25">
        <v>555</v>
      </c>
      <c r="I161" s="25">
        <v>540</v>
      </c>
      <c r="J161" s="25">
        <v>646</v>
      </c>
      <c r="K161" s="26">
        <f t="shared" si="21"/>
        <v>634.4375</v>
      </c>
      <c r="L161" s="26">
        <f t="shared" si="22"/>
        <v>548.375</v>
      </c>
      <c r="M161" s="26">
        <v>1350</v>
      </c>
      <c r="N161" s="26">
        <f t="shared" si="23"/>
        <v>110955.806</v>
      </c>
      <c r="O161" s="26">
        <f t="shared" si="18"/>
        <v>8900</v>
      </c>
      <c r="P161" s="26">
        <f t="shared" si="24"/>
        <v>100089.26531640618</v>
      </c>
      <c r="Q161" s="26">
        <f t="shared" si="25"/>
        <v>89074.346120000002</v>
      </c>
      <c r="W161" s="23">
        <v>42529</v>
      </c>
      <c r="X161" s="32">
        <v>7433</v>
      </c>
    </row>
    <row r="162" spans="1:25" ht="15" customHeight="1" x14ac:dyDescent="0.25">
      <c r="A162" s="23">
        <v>42643</v>
      </c>
      <c r="B162" s="22">
        <f t="shared" si="19"/>
        <v>40</v>
      </c>
      <c r="C162" s="22">
        <f t="shared" si="20"/>
        <v>9</v>
      </c>
      <c r="D162" s="27">
        <v>66.61</v>
      </c>
      <c r="E162" s="24">
        <v>525</v>
      </c>
      <c r="F162" s="25">
        <v>450</v>
      </c>
      <c r="G162" s="25">
        <v>575</v>
      </c>
      <c r="H162" s="25">
        <v>555</v>
      </c>
      <c r="I162" s="25">
        <v>540</v>
      </c>
      <c r="J162" s="25">
        <v>646</v>
      </c>
      <c r="K162" s="26">
        <f t="shared" si="21"/>
        <v>634.4375</v>
      </c>
      <c r="L162" s="26">
        <f t="shared" si="22"/>
        <v>548.375</v>
      </c>
      <c r="M162" s="26">
        <v>1320</v>
      </c>
      <c r="N162" s="26">
        <f t="shared" si="23"/>
        <v>108908.59212499998</v>
      </c>
      <c r="O162" s="26">
        <f t="shared" si="18"/>
        <v>8900</v>
      </c>
      <c r="P162" s="26">
        <f t="shared" si="24"/>
        <v>100089.26531640618</v>
      </c>
      <c r="Q162" s="26">
        <f t="shared" si="25"/>
        <v>86894.120345000003</v>
      </c>
      <c r="W162" s="23">
        <v>42530</v>
      </c>
      <c r="X162" s="32">
        <v>7500</v>
      </c>
    </row>
    <row r="163" spans="1:25" ht="15" customHeight="1" x14ac:dyDescent="0.25">
      <c r="A163" s="23">
        <v>42646</v>
      </c>
      <c r="B163" s="22">
        <f t="shared" si="19"/>
        <v>41</v>
      </c>
      <c r="C163" s="22">
        <f t="shared" si="20"/>
        <v>10</v>
      </c>
      <c r="D163" s="27">
        <v>66.59</v>
      </c>
      <c r="E163" s="24">
        <v>525</v>
      </c>
      <c r="F163" s="25">
        <v>450</v>
      </c>
      <c r="G163" s="25">
        <v>575</v>
      </c>
      <c r="H163" s="25">
        <v>550</v>
      </c>
      <c r="I163" s="25">
        <v>540</v>
      </c>
      <c r="J163" s="25">
        <v>646</v>
      </c>
      <c r="K163" s="26">
        <f t="shared" si="21"/>
        <v>634.4375</v>
      </c>
      <c r="L163" s="26">
        <f t="shared" si="22"/>
        <v>548.375</v>
      </c>
      <c r="M163" s="26">
        <v>1320</v>
      </c>
      <c r="N163" s="26">
        <f t="shared" si="23"/>
        <v>108877.212875</v>
      </c>
      <c r="O163" s="26">
        <f t="shared" si="18"/>
        <v>8967</v>
      </c>
      <c r="P163" s="26">
        <f t="shared" si="24"/>
        <v>100782.94959769491</v>
      </c>
      <c r="Q163" s="26">
        <f t="shared" si="25"/>
        <v>86869.351054999992</v>
      </c>
      <c r="W163" s="23">
        <v>42531</v>
      </c>
      <c r="X163" s="32">
        <v>7500</v>
      </c>
    </row>
    <row r="164" spans="1:25" ht="15" customHeight="1" x14ac:dyDescent="0.25">
      <c r="A164" s="23">
        <v>42647</v>
      </c>
      <c r="B164" s="22">
        <f t="shared" si="19"/>
        <v>41</v>
      </c>
      <c r="C164" s="22">
        <f t="shared" si="20"/>
        <v>10</v>
      </c>
      <c r="D164" s="27">
        <v>66.459999999999994</v>
      </c>
      <c r="E164" s="24">
        <v>515</v>
      </c>
      <c r="F164" s="25">
        <v>450</v>
      </c>
      <c r="G164" s="25">
        <v>570</v>
      </c>
      <c r="H164" s="25">
        <v>550</v>
      </c>
      <c r="I164" s="25">
        <v>535</v>
      </c>
      <c r="J164" s="25">
        <v>641</v>
      </c>
      <c r="K164" s="26">
        <f t="shared" si="21"/>
        <v>622.96249999999998</v>
      </c>
      <c r="L164" s="26">
        <f t="shared" si="22"/>
        <v>548.375</v>
      </c>
      <c r="M164" s="26">
        <v>1320</v>
      </c>
      <c r="N164" s="26">
        <f t="shared" si="23"/>
        <v>108673.24774999998</v>
      </c>
      <c r="O164" s="26">
        <f t="shared" si="18"/>
        <v>8767</v>
      </c>
      <c r="P164" s="26">
        <f t="shared" si="24"/>
        <v>98712.250250564364</v>
      </c>
      <c r="Q164" s="26">
        <f t="shared" si="25"/>
        <v>86708.350669999985</v>
      </c>
      <c r="W164" s="23">
        <v>42532</v>
      </c>
      <c r="X164" s="32">
        <v>7567</v>
      </c>
    </row>
    <row r="165" spans="1:25" ht="15" customHeight="1" x14ac:dyDescent="0.25">
      <c r="A165" s="23">
        <v>42648</v>
      </c>
      <c r="B165" s="22">
        <f t="shared" si="19"/>
        <v>41</v>
      </c>
      <c r="C165" s="22">
        <f t="shared" si="20"/>
        <v>10</v>
      </c>
      <c r="D165" s="27">
        <v>66.5</v>
      </c>
      <c r="E165" s="24">
        <v>510</v>
      </c>
      <c r="F165" s="25">
        <v>445</v>
      </c>
      <c r="G165" s="25">
        <v>565</v>
      </c>
      <c r="H165" s="25">
        <v>545</v>
      </c>
      <c r="I165" s="25">
        <v>535</v>
      </c>
      <c r="J165" s="25">
        <v>636</v>
      </c>
      <c r="K165" s="26">
        <f t="shared" si="21"/>
        <v>617.22500000000002</v>
      </c>
      <c r="L165" s="26">
        <f t="shared" si="22"/>
        <v>542.63750000000005</v>
      </c>
      <c r="M165" s="26">
        <v>1320</v>
      </c>
      <c r="N165" s="26">
        <f t="shared" si="23"/>
        <v>108736.00624999999</v>
      </c>
      <c r="O165" s="26">
        <f t="shared" si="18"/>
        <v>8767</v>
      </c>
      <c r="P165" s="26">
        <f t="shared" si="24"/>
        <v>98712.250250564364</v>
      </c>
      <c r="Q165" s="26">
        <f t="shared" si="25"/>
        <v>86757.889249999993</v>
      </c>
      <c r="W165" s="23">
        <v>42533</v>
      </c>
      <c r="X165" s="32">
        <v>7567</v>
      </c>
    </row>
    <row r="166" spans="1:25" ht="15" customHeight="1" x14ac:dyDescent="0.25">
      <c r="A166" s="23">
        <v>42649</v>
      </c>
      <c r="B166" s="22">
        <f t="shared" si="19"/>
        <v>41</v>
      </c>
      <c r="C166" s="22">
        <f t="shared" si="20"/>
        <v>10</v>
      </c>
      <c r="D166" s="27">
        <v>66.78</v>
      </c>
      <c r="E166" s="24">
        <v>505</v>
      </c>
      <c r="F166" s="25">
        <v>445</v>
      </c>
      <c r="G166" s="25">
        <v>560</v>
      </c>
      <c r="H166" s="25">
        <v>540</v>
      </c>
      <c r="I166" s="25">
        <v>535</v>
      </c>
      <c r="J166" s="25">
        <v>636</v>
      </c>
      <c r="K166" s="26">
        <f t="shared" si="21"/>
        <v>611.48750000000007</v>
      </c>
      <c r="L166" s="26">
        <f t="shared" si="22"/>
        <v>542.63750000000005</v>
      </c>
      <c r="M166" s="26">
        <v>1300</v>
      </c>
      <c r="N166" s="26">
        <f t="shared" si="23"/>
        <v>107667.75725</v>
      </c>
      <c r="O166" s="26">
        <f t="shared" si="18"/>
        <v>8767</v>
      </c>
      <c r="P166" s="26">
        <f t="shared" si="24"/>
        <v>98712.250250564364</v>
      </c>
      <c r="Q166" s="26">
        <f t="shared" si="25"/>
        <v>85536.798469999994</v>
      </c>
      <c r="W166" s="23">
        <v>42534</v>
      </c>
      <c r="X166" s="32">
        <v>7567</v>
      </c>
    </row>
    <row r="167" spans="1:25" ht="15" customHeight="1" x14ac:dyDescent="0.25">
      <c r="A167" s="23">
        <v>42650</v>
      </c>
      <c r="B167" s="22">
        <f t="shared" si="19"/>
        <v>41</v>
      </c>
      <c r="C167" s="22">
        <f t="shared" si="20"/>
        <v>10</v>
      </c>
      <c r="D167" s="27">
        <v>66.69</v>
      </c>
      <c r="E167" s="24">
        <v>505</v>
      </c>
      <c r="F167" s="25">
        <v>445</v>
      </c>
      <c r="G167" s="25">
        <v>560</v>
      </c>
      <c r="H167" s="25">
        <v>540</v>
      </c>
      <c r="I167" s="25">
        <v>535</v>
      </c>
      <c r="J167" s="25">
        <v>636</v>
      </c>
      <c r="K167" s="26">
        <f t="shared" si="21"/>
        <v>611.48750000000007</v>
      </c>
      <c r="L167" s="26">
        <f t="shared" si="22"/>
        <v>542.63750000000005</v>
      </c>
      <c r="M167" s="26">
        <v>1300</v>
      </c>
      <c r="N167" s="26">
        <f t="shared" si="23"/>
        <v>107528.582375</v>
      </c>
      <c r="O167" s="26">
        <f t="shared" ref="O167:O213" si="26">VLOOKUP(A167,$W$2:$X$502,2,FALSE)</f>
        <v>8767</v>
      </c>
      <c r="P167" s="26">
        <f t="shared" si="24"/>
        <v>98712.250250564364</v>
      </c>
      <c r="Q167" s="26">
        <f t="shared" si="25"/>
        <v>85427.449684999985</v>
      </c>
      <c r="W167" s="23">
        <v>42535</v>
      </c>
      <c r="X167" s="32">
        <v>7667</v>
      </c>
    </row>
    <row r="168" spans="1:25" ht="15" customHeight="1" x14ac:dyDescent="0.25">
      <c r="A168" s="23">
        <v>42653</v>
      </c>
      <c r="B168" s="22">
        <f t="shared" si="19"/>
        <v>42</v>
      </c>
      <c r="C168" s="22">
        <f t="shared" si="20"/>
        <v>10</v>
      </c>
      <c r="D168" s="27">
        <v>66.53</v>
      </c>
      <c r="E168" s="24">
        <v>510</v>
      </c>
      <c r="F168" s="25">
        <v>445</v>
      </c>
      <c r="G168" s="25">
        <v>560</v>
      </c>
      <c r="H168" s="25">
        <v>538</v>
      </c>
      <c r="I168" s="25">
        <v>530</v>
      </c>
      <c r="J168" s="25">
        <v>600</v>
      </c>
      <c r="K168" s="26">
        <f t="shared" si="21"/>
        <v>617.22500000000002</v>
      </c>
      <c r="L168" s="26">
        <f t="shared" si="22"/>
        <v>542.63750000000005</v>
      </c>
      <c r="M168" s="26">
        <v>1300</v>
      </c>
      <c r="N168" s="26">
        <f t="shared" si="23"/>
        <v>107281.16037499999</v>
      </c>
      <c r="O168" s="26">
        <f t="shared" si="26"/>
        <v>8767</v>
      </c>
      <c r="P168" s="26">
        <f t="shared" si="24"/>
        <v>98712.250250564364</v>
      </c>
      <c r="Q168" s="26">
        <f t="shared" si="25"/>
        <v>85233.051844999995</v>
      </c>
      <c r="W168" s="23">
        <v>42536</v>
      </c>
      <c r="X168" s="32">
        <f t="shared" ref="X168:X201" si="27">Y168/15*100</f>
        <v>7733.333333333333</v>
      </c>
      <c r="Y168" s="33">
        <v>1160</v>
      </c>
    </row>
    <row r="169" spans="1:25" ht="15" customHeight="1" x14ac:dyDescent="0.25">
      <c r="A169" s="23">
        <v>42655</v>
      </c>
      <c r="B169" s="22">
        <f t="shared" si="19"/>
        <v>42</v>
      </c>
      <c r="C169" s="22">
        <f t="shared" si="20"/>
        <v>10</v>
      </c>
      <c r="D169" s="27">
        <v>66.78</v>
      </c>
      <c r="E169" s="24">
        <v>505</v>
      </c>
      <c r="F169" s="25">
        <v>435</v>
      </c>
      <c r="G169" s="25">
        <v>560</v>
      </c>
      <c r="H169" s="25">
        <v>535</v>
      </c>
      <c r="I169" s="25">
        <v>525</v>
      </c>
      <c r="J169" s="25">
        <v>600</v>
      </c>
      <c r="K169" s="26">
        <f t="shared" si="21"/>
        <v>611.48750000000007</v>
      </c>
      <c r="L169" s="26">
        <f t="shared" si="22"/>
        <v>531.16249999999991</v>
      </c>
      <c r="M169" s="26">
        <v>1285</v>
      </c>
      <c r="N169" s="26">
        <f t="shared" si="23"/>
        <v>106537.08837500001</v>
      </c>
      <c r="O169" s="26">
        <f t="shared" si="26"/>
        <v>8833</v>
      </c>
      <c r="P169" s="26">
        <f t="shared" si="24"/>
        <v>99395.58103511743</v>
      </c>
      <c r="Q169" s="26">
        <f t="shared" si="25"/>
        <v>84360.90284000001</v>
      </c>
      <c r="W169" s="23">
        <v>42537</v>
      </c>
      <c r="X169" s="32">
        <f t="shared" si="27"/>
        <v>7633.333333333333</v>
      </c>
      <c r="Y169" s="33">
        <v>1145</v>
      </c>
    </row>
    <row r="170" spans="1:25" ht="15" customHeight="1" x14ac:dyDescent="0.25">
      <c r="A170" s="23">
        <v>42656</v>
      </c>
      <c r="B170" s="22">
        <f t="shared" si="19"/>
        <v>42</v>
      </c>
      <c r="C170" s="22">
        <f t="shared" si="20"/>
        <v>10</v>
      </c>
      <c r="D170" s="27">
        <v>66.930000000000007</v>
      </c>
      <c r="E170" s="24">
        <v>505</v>
      </c>
      <c r="F170" s="25">
        <v>435</v>
      </c>
      <c r="G170" s="25">
        <v>560</v>
      </c>
      <c r="H170" s="25">
        <v>535</v>
      </c>
      <c r="I170" s="25">
        <v>525</v>
      </c>
      <c r="J170" s="25">
        <v>600</v>
      </c>
      <c r="K170" s="26">
        <f t="shared" si="21"/>
        <v>611.48750000000007</v>
      </c>
      <c r="L170" s="26">
        <f t="shared" si="22"/>
        <v>531.16249999999991</v>
      </c>
      <c r="M170" s="26">
        <v>1280</v>
      </c>
      <c r="N170" s="26">
        <f t="shared" si="23"/>
        <v>106388.770625</v>
      </c>
      <c r="O170" s="26">
        <f t="shared" si="26"/>
        <v>8767</v>
      </c>
      <c r="P170" s="26">
        <f t="shared" si="24"/>
        <v>98712.250250564364</v>
      </c>
      <c r="Q170" s="26">
        <f t="shared" si="25"/>
        <v>84147.663905000009</v>
      </c>
      <c r="W170" s="23">
        <v>42538</v>
      </c>
      <c r="X170" s="32">
        <f t="shared" si="27"/>
        <v>7633.333333333333</v>
      </c>
      <c r="Y170" s="33">
        <v>1145</v>
      </c>
    </row>
    <row r="171" spans="1:25" ht="15" customHeight="1" x14ac:dyDescent="0.25">
      <c r="A171" s="23">
        <v>42657</v>
      </c>
      <c r="B171" s="22">
        <f t="shared" si="19"/>
        <v>42</v>
      </c>
      <c r="C171" s="22">
        <f t="shared" si="20"/>
        <v>10</v>
      </c>
      <c r="D171" s="27">
        <v>66.72</v>
      </c>
      <c r="E171" s="24">
        <v>515</v>
      </c>
      <c r="F171" s="25">
        <v>445</v>
      </c>
      <c r="G171" s="25">
        <v>570</v>
      </c>
      <c r="H171" s="25">
        <v>545</v>
      </c>
      <c r="I171" s="25">
        <v>535</v>
      </c>
      <c r="J171" s="25">
        <v>621</v>
      </c>
      <c r="K171" s="26">
        <f t="shared" si="21"/>
        <v>622.96249999999998</v>
      </c>
      <c r="L171" s="26">
        <f t="shared" si="22"/>
        <v>542.63750000000005</v>
      </c>
      <c r="M171" s="26">
        <v>1280</v>
      </c>
      <c r="N171" s="26">
        <f t="shared" si="23"/>
        <v>106068.76999999999</v>
      </c>
      <c r="O171" s="26">
        <f t="shared" si="26"/>
        <v>8767</v>
      </c>
      <c r="P171" s="26">
        <f t="shared" si="24"/>
        <v>98712.250250564364</v>
      </c>
      <c r="Q171" s="26">
        <f t="shared" si="25"/>
        <v>83897.447119999997</v>
      </c>
      <c r="W171" s="23">
        <v>42539</v>
      </c>
      <c r="X171" s="32">
        <f t="shared" si="27"/>
        <v>7600</v>
      </c>
      <c r="Y171" s="33">
        <v>1140</v>
      </c>
    </row>
    <row r="172" spans="1:25" ht="15" customHeight="1" x14ac:dyDescent="0.25">
      <c r="A172" s="23">
        <v>42660</v>
      </c>
      <c r="B172" s="22">
        <f t="shared" si="19"/>
        <v>43</v>
      </c>
      <c r="C172" s="22">
        <f t="shared" si="20"/>
        <v>10</v>
      </c>
      <c r="D172" s="27">
        <v>66.89</v>
      </c>
      <c r="E172" s="24">
        <v>515</v>
      </c>
      <c r="F172" s="25">
        <v>455</v>
      </c>
      <c r="G172" s="25">
        <v>575</v>
      </c>
      <c r="H172" s="25">
        <v>550</v>
      </c>
      <c r="I172" s="25">
        <v>520</v>
      </c>
      <c r="J172" s="25">
        <v>621</v>
      </c>
      <c r="K172" s="26">
        <f t="shared" si="21"/>
        <v>622.96249999999998</v>
      </c>
      <c r="L172" s="26">
        <f t="shared" si="22"/>
        <v>554.11250000000007</v>
      </c>
      <c r="M172" s="26">
        <v>1300</v>
      </c>
      <c r="N172" s="26">
        <f t="shared" si="23"/>
        <v>107837.85987499999</v>
      </c>
      <c r="O172" s="26">
        <f t="shared" si="26"/>
        <v>8833</v>
      </c>
      <c r="P172" s="26">
        <f t="shared" si="24"/>
        <v>99395.58103511743</v>
      </c>
      <c r="Q172" s="26">
        <f t="shared" si="25"/>
        <v>85670.446984999988</v>
      </c>
      <c r="W172" s="23">
        <v>42540</v>
      </c>
      <c r="X172" s="32">
        <f t="shared" si="27"/>
        <v>7566.666666666667</v>
      </c>
      <c r="Y172" s="33">
        <v>1135</v>
      </c>
    </row>
    <row r="173" spans="1:25" ht="15" customHeight="1" x14ac:dyDescent="0.25">
      <c r="A173" s="23">
        <v>42661</v>
      </c>
      <c r="B173" s="22">
        <f t="shared" si="19"/>
        <v>43</v>
      </c>
      <c r="C173" s="22">
        <f t="shared" si="20"/>
        <v>10</v>
      </c>
      <c r="D173" s="27">
        <v>66.73</v>
      </c>
      <c r="E173" s="24">
        <v>515</v>
      </c>
      <c r="F173" s="25">
        <v>455</v>
      </c>
      <c r="G173" s="25">
        <v>570</v>
      </c>
      <c r="H173" s="25">
        <v>545</v>
      </c>
      <c r="I173" s="25">
        <v>515</v>
      </c>
      <c r="J173" s="25">
        <v>615</v>
      </c>
      <c r="K173" s="26">
        <f t="shared" si="21"/>
        <v>622.96249999999998</v>
      </c>
      <c r="L173" s="26">
        <f t="shared" si="22"/>
        <v>554.11250000000007</v>
      </c>
      <c r="M173" s="26">
        <v>1300</v>
      </c>
      <c r="N173" s="26">
        <f t="shared" si="23"/>
        <v>107590.437875</v>
      </c>
      <c r="O173" s="26">
        <f t="shared" si="26"/>
        <v>8767</v>
      </c>
      <c r="P173" s="26">
        <f t="shared" si="24"/>
        <v>98712.250250564364</v>
      </c>
      <c r="Q173" s="26">
        <f t="shared" si="25"/>
        <v>85476.049144999997</v>
      </c>
      <c r="W173" s="23">
        <v>42541</v>
      </c>
      <c r="X173" s="32">
        <f t="shared" si="27"/>
        <v>7566.666666666667</v>
      </c>
      <c r="Y173" s="33">
        <v>1135</v>
      </c>
    </row>
    <row r="174" spans="1:25" ht="15" customHeight="1" x14ac:dyDescent="0.25">
      <c r="A174" s="23">
        <v>42662</v>
      </c>
      <c r="B174" s="22">
        <f t="shared" si="19"/>
        <v>43</v>
      </c>
      <c r="C174" s="22">
        <f t="shared" si="20"/>
        <v>10</v>
      </c>
      <c r="D174" s="27">
        <v>66.69</v>
      </c>
      <c r="E174" s="24">
        <v>520</v>
      </c>
      <c r="F174" s="25">
        <v>460</v>
      </c>
      <c r="G174" s="25">
        <v>560</v>
      </c>
      <c r="H174" s="25">
        <v>545</v>
      </c>
      <c r="I174" s="25">
        <v>510</v>
      </c>
      <c r="J174" s="25">
        <v>621</v>
      </c>
      <c r="K174" s="26">
        <f t="shared" si="21"/>
        <v>628.69999999999993</v>
      </c>
      <c r="L174" s="26">
        <f t="shared" si="22"/>
        <v>559.85</v>
      </c>
      <c r="M174" s="26">
        <v>1300</v>
      </c>
      <c r="N174" s="26">
        <f t="shared" si="23"/>
        <v>107528.582375</v>
      </c>
      <c r="O174" s="26">
        <f t="shared" si="26"/>
        <v>8733</v>
      </c>
      <c r="P174" s="26">
        <f t="shared" si="24"/>
        <v>98360.231361552127</v>
      </c>
      <c r="Q174" s="26">
        <f t="shared" si="25"/>
        <v>85427.449684999985</v>
      </c>
      <c r="W174" s="23">
        <v>42542</v>
      </c>
      <c r="X174" s="32">
        <f t="shared" si="27"/>
        <v>7466.666666666667</v>
      </c>
      <c r="Y174" s="33">
        <v>1120</v>
      </c>
    </row>
    <row r="175" spans="1:25" ht="15" customHeight="1" x14ac:dyDescent="0.25">
      <c r="A175" s="23">
        <v>42663</v>
      </c>
      <c r="B175" s="22">
        <f t="shared" si="19"/>
        <v>43</v>
      </c>
      <c r="C175" s="22">
        <f t="shared" si="20"/>
        <v>10</v>
      </c>
      <c r="D175" s="27">
        <v>66.819999999999993</v>
      </c>
      <c r="E175" s="24">
        <v>515</v>
      </c>
      <c r="F175" s="25">
        <v>455</v>
      </c>
      <c r="G175" s="25">
        <v>555</v>
      </c>
      <c r="H175" s="25">
        <v>545</v>
      </c>
      <c r="I175" s="25">
        <v>510</v>
      </c>
      <c r="J175" s="25">
        <v>615</v>
      </c>
      <c r="K175" s="26">
        <f t="shared" si="21"/>
        <v>622.96249999999998</v>
      </c>
      <c r="L175" s="26">
        <f t="shared" si="22"/>
        <v>554.11250000000007</v>
      </c>
      <c r="M175" s="26">
        <v>1300</v>
      </c>
      <c r="N175" s="26">
        <f t="shared" si="23"/>
        <v>107729.61274999999</v>
      </c>
      <c r="O175" s="26">
        <f t="shared" si="26"/>
        <v>8833</v>
      </c>
      <c r="P175" s="26">
        <f t="shared" si="24"/>
        <v>99395.58103511743</v>
      </c>
      <c r="Q175" s="26">
        <f t="shared" si="25"/>
        <v>85585.397929999992</v>
      </c>
      <c r="W175" s="23">
        <v>42543</v>
      </c>
      <c r="X175" s="32">
        <f t="shared" si="27"/>
        <v>7400</v>
      </c>
      <c r="Y175" s="33">
        <v>1110</v>
      </c>
    </row>
    <row r="176" spans="1:25" ht="15" customHeight="1" x14ac:dyDescent="0.25">
      <c r="A176" s="23">
        <v>42664</v>
      </c>
      <c r="B176" s="22">
        <f t="shared" si="19"/>
        <v>43</v>
      </c>
      <c r="C176" s="22">
        <f t="shared" si="20"/>
        <v>10</v>
      </c>
      <c r="D176" s="27">
        <v>66.87</v>
      </c>
      <c r="E176" s="24">
        <v>510</v>
      </c>
      <c r="F176" s="25">
        <v>445</v>
      </c>
      <c r="G176" s="25">
        <v>555</v>
      </c>
      <c r="H176" s="25">
        <v>545</v>
      </c>
      <c r="I176" s="25">
        <v>510</v>
      </c>
      <c r="J176" s="25">
        <v>611</v>
      </c>
      <c r="K176" s="26">
        <f t="shared" si="21"/>
        <v>617.22500000000002</v>
      </c>
      <c r="L176" s="26">
        <f t="shared" si="22"/>
        <v>542.63750000000005</v>
      </c>
      <c r="M176" s="26">
        <v>1300</v>
      </c>
      <c r="N176" s="26">
        <f t="shared" si="23"/>
        <v>107806.93212500001</v>
      </c>
      <c r="O176" s="26">
        <f t="shared" si="26"/>
        <v>8867</v>
      </c>
      <c r="P176" s="26">
        <f t="shared" si="24"/>
        <v>99747.599924129609</v>
      </c>
      <c r="Q176" s="26">
        <f t="shared" si="25"/>
        <v>85646.147255000003</v>
      </c>
      <c r="W176" s="23">
        <v>42544</v>
      </c>
      <c r="X176" s="32">
        <f t="shared" si="27"/>
        <v>7400</v>
      </c>
      <c r="Y176" s="33">
        <v>1110</v>
      </c>
    </row>
    <row r="177" spans="1:25" ht="15" customHeight="1" x14ac:dyDescent="0.25">
      <c r="A177" s="23">
        <v>42667</v>
      </c>
      <c r="B177" s="22">
        <f t="shared" si="19"/>
        <v>44</v>
      </c>
      <c r="C177" s="22">
        <f t="shared" si="20"/>
        <v>10</v>
      </c>
      <c r="D177" s="27">
        <v>66.84</v>
      </c>
      <c r="E177" s="24">
        <v>515</v>
      </c>
      <c r="F177" s="25">
        <v>450</v>
      </c>
      <c r="G177" s="25">
        <v>560</v>
      </c>
      <c r="H177" s="25">
        <v>550</v>
      </c>
      <c r="I177" s="25">
        <v>515</v>
      </c>
      <c r="J177" s="25">
        <v>615</v>
      </c>
      <c r="K177" s="26">
        <f t="shared" si="21"/>
        <v>622.96249999999998</v>
      </c>
      <c r="L177" s="26">
        <f t="shared" si="22"/>
        <v>548.375</v>
      </c>
      <c r="M177" s="26">
        <v>1320</v>
      </c>
      <c r="N177" s="26">
        <f t="shared" si="23"/>
        <v>109269.4535</v>
      </c>
      <c r="O177" s="26">
        <f t="shared" si="26"/>
        <v>8867</v>
      </c>
      <c r="P177" s="26">
        <f t="shared" si="24"/>
        <v>99747.599924129609</v>
      </c>
      <c r="Q177" s="26">
        <f t="shared" si="25"/>
        <v>87178.967179999992</v>
      </c>
      <c r="W177" s="23">
        <v>42545</v>
      </c>
      <c r="X177" s="32">
        <f t="shared" si="27"/>
        <v>7500</v>
      </c>
      <c r="Y177" s="33">
        <v>1125</v>
      </c>
    </row>
    <row r="178" spans="1:25" ht="15" customHeight="1" x14ac:dyDescent="0.25">
      <c r="A178" s="23">
        <v>42668</v>
      </c>
      <c r="B178" s="22">
        <f t="shared" si="19"/>
        <v>44</v>
      </c>
      <c r="C178" s="22">
        <f t="shared" si="20"/>
        <v>10</v>
      </c>
      <c r="D178" s="27">
        <v>66.84</v>
      </c>
      <c r="E178" s="24">
        <v>505</v>
      </c>
      <c r="F178" s="25">
        <v>445</v>
      </c>
      <c r="G178" s="25">
        <v>560</v>
      </c>
      <c r="H178" s="25">
        <v>550</v>
      </c>
      <c r="I178" s="25">
        <v>515</v>
      </c>
      <c r="J178" s="25">
        <v>610</v>
      </c>
      <c r="K178" s="26">
        <f t="shared" si="21"/>
        <v>611.48750000000007</v>
      </c>
      <c r="L178" s="26">
        <f t="shared" si="22"/>
        <v>542.63750000000005</v>
      </c>
      <c r="M178" s="26">
        <v>1330</v>
      </c>
      <c r="N178" s="26">
        <f t="shared" si="23"/>
        <v>110023.90999999999</v>
      </c>
      <c r="O178" s="26">
        <f t="shared" si="26"/>
        <v>8867</v>
      </c>
      <c r="P178" s="26">
        <f t="shared" si="24"/>
        <v>99747.599924129609</v>
      </c>
      <c r="Q178" s="26">
        <f t="shared" si="25"/>
        <v>87963.601940000008</v>
      </c>
      <c r="W178" s="23">
        <v>42546</v>
      </c>
      <c r="X178" s="32">
        <f t="shared" si="27"/>
        <v>7400</v>
      </c>
      <c r="Y178" s="33">
        <v>1110</v>
      </c>
    </row>
    <row r="179" spans="1:25" ht="15" customHeight="1" x14ac:dyDescent="0.25">
      <c r="A179" s="23">
        <v>42669</v>
      </c>
      <c r="B179" s="22">
        <f t="shared" si="19"/>
        <v>44</v>
      </c>
      <c r="C179" s="22">
        <f t="shared" si="20"/>
        <v>10</v>
      </c>
      <c r="D179" s="27">
        <v>66.84</v>
      </c>
      <c r="E179" s="24">
        <v>510</v>
      </c>
      <c r="F179" s="25">
        <v>450</v>
      </c>
      <c r="G179" s="25">
        <v>565</v>
      </c>
      <c r="H179" s="25">
        <v>555</v>
      </c>
      <c r="I179" s="25">
        <v>515</v>
      </c>
      <c r="J179" s="25">
        <v>615</v>
      </c>
      <c r="K179" s="26">
        <f t="shared" si="21"/>
        <v>617.22500000000002</v>
      </c>
      <c r="L179" s="26">
        <f t="shared" si="22"/>
        <v>548.375</v>
      </c>
      <c r="M179" s="26">
        <v>1330</v>
      </c>
      <c r="N179" s="26">
        <f t="shared" si="23"/>
        <v>110023.90999999999</v>
      </c>
      <c r="O179" s="26">
        <f t="shared" si="26"/>
        <v>9000</v>
      </c>
      <c r="P179" s="26">
        <f t="shared" si="24"/>
        <v>101124.61498997147</v>
      </c>
      <c r="Q179" s="26">
        <f t="shared" si="25"/>
        <v>87963.601940000008</v>
      </c>
      <c r="W179" s="23">
        <v>42548</v>
      </c>
      <c r="X179" s="32">
        <f t="shared" si="27"/>
        <v>7333.333333333333</v>
      </c>
      <c r="Y179" s="33">
        <v>1100</v>
      </c>
    </row>
    <row r="180" spans="1:25" ht="15" customHeight="1" x14ac:dyDescent="0.25">
      <c r="A180" s="23">
        <v>42670</v>
      </c>
      <c r="B180" s="22">
        <f t="shared" si="19"/>
        <v>44</v>
      </c>
      <c r="C180" s="22">
        <f t="shared" si="20"/>
        <v>10</v>
      </c>
      <c r="D180" s="27">
        <v>66.87</v>
      </c>
      <c r="E180" s="24">
        <v>510</v>
      </c>
      <c r="F180" s="25">
        <v>450</v>
      </c>
      <c r="G180" s="25">
        <v>565</v>
      </c>
      <c r="H180" s="25">
        <v>555</v>
      </c>
      <c r="I180" s="25">
        <v>515</v>
      </c>
      <c r="J180" s="25">
        <v>615</v>
      </c>
      <c r="K180" s="26">
        <f t="shared" si="21"/>
        <v>617.22500000000002</v>
      </c>
      <c r="L180" s="26">
        <f t="shared" si="22"/>
        <v>548.375</v>
      </c>
      <c r="M180" s="26">
        <v>1370</v>
      </c>
      <c r="N180" s="26">
        <f t="shared" si="23"/>
        <v>113090.49799999999</v>
      </c>
      <c r="O180" s="26">
        <f t="shared" si="26"/>
        <v>9000</v>
      </c>
      <c r="P180" s="26">
        <f t="shared" si="24"/>
        <v>101124.61498997147</v>
      </c>
      <c r="Q180" s="26">
        <f t="shared" si="25"/>
        <v>91141.055764999997</v>
      </c>
      <c r="W180" s="23">
        <v>42551</v>
      </c>
      <c r="X180" s="32">
        <f t="shared" si="27"/>
        <v>7200</v>
      </c>
      <c r="Y180" s="33">
        <v>1080</v>
      </c>
    </row>
    <row r="181" spans="1:25" ht="15" customHeight="1" x14ac:dyDescent="0.25">
      <c r="A181" s="23">
        <v>42671</v>
      </c>
      <c r="B181" s="22">
        <f t="shared" si="19"/>
        <v>44</v>
      </c>
      <c r="C181" s="22">
        <f t="shared" si="20"/>
        <v>10</v>
      </c>
      <c r="D181" s="27">
        <v>66.790000000000006</v>
      </c>
      <c r="E181" s="24">
        <v>495</v>
      </c>
      <c r="F181" s="25">
        <v>450</v>
      </c>
      <c r="G181" s="25">
        <v>565</v>
      </c>
      <c r="H181" s="25">
        <v>555</v>
      </c>
      <c r="I181" s="25">
        <v>515</v>
      </c>
      <c r="J181" s="25">
        <v>615</v>
      </c>
      <c r="K181" s="26">
        <f t="shared" si="21"/>
        <v>600.01250000000005</v>
      </c>
      <c r="L181" s="26">
        <f t="shared" si="22"/>
        <v>548.375</v>
      </c>
      <c r="M181" s="26">
        <v>1360</v>
      </c>
      <c r="N181" s="26">
        <f t="shared" si="23"/>
        <v>112206.573875</v>
      </c>
      <c r="O181" s="26">
        <f t="shared" si="26"/>
        <v>9000</v>
      </c>
      <c r="P181" s="26">
        <f t="shared" si="24"/>
        <v>101124.61498997147</v>
      </c>
      <c r="Q181" s="26">
        <f t="shared" si="25"/>
        <v>90253.235195000001</v>
      </c>
      <c r="W181" s="23">
        <v>42552</v>
      </c>
      <c r="X181" s="32">
        <f t="shared" si="27"/>
        <v>7233.333333333333</v>
      </c>
      <c r="Y181" s="33">
        <v>1085</v>
      </c>
    </row>
    <row r="182" spans="1:25" ht="15" customHeight="1" x14ac:dyDescent="0.25">
      <c r="A182" s="23">
        <v>42676</v>
      </c>
      <c r="B182" s="22">
        <f t="shared" si="19"/>
        <v>45</v>
      </c>
      <c r="C182" s="22">
        <f t="shared" si="20"/>
        <v>11</v>
      </c>
      <c r="D182" s="27">
        <v>66.72</v>
      </c>
      <c r="E182" s="24">
        <v>490</v>
      </c>
      <c r="F182" s="25">
        <v>445</v>
      </c>
      <c r="G182" s="25">
        <v>565</v>
      </c>
      <c r="H182" s="25">
        <v>555</v>
      </c>
      <c r="I182" s="25">
        <v>510</v>
      </c>
      <c r="J182" s="25">
        <v>615</v>
      </c>
      <c r="K182" s="26">
        <f t="shared" si="21"/>
        <v>594.27499999999998</v>
      </c>
      <c r="L182" s="26">
        <f t="shared" si="22"/>
        <v>542.63750000000005</v>
      </c>
      <c r="M182" s="26">
        <v>1380</v>
      </c>
      <c r="N182" s="26">
        <f t="shared" si="23"/>
        <v>113599.79</v>
      </c>
      <c r="O182" s="26">
        <f t="shared" si="26"/>
        <v>9067</v>
      </c>
      <c r="P182" s="26">
        <f t="shared" si="24"/>
        <v>101818.2992712602</v>
      </c>
      <c r="Q182" s="26">
        <f t="shared" si="25"/>
        <v>91729.707920000001</v>
      </c>
      <c r="W182" s="23">
        <v>42553</v>
      </c>
      <c r="X182" s="32">
        <f t="shared" si="27"/>
        <v>7200</v>
      </c>
      <c r="Y182" s="33">
        <v>1080</v>
      </c>
    </row>
    <row r="183" spans="1:25" ht="15" customHeight="1" x14ac:dyDescent="0.25">
      <c r="A183" s="23">
        <v>42677</v>
      </c>
      <c r="B183" s="22">
        <f t="shared" si="19"/>
        <v>45</v>
      </c>
      <c r="C183" s="22">
        <f t="shared" si="20"/>
        <v>11</v>
      </c>
      <c r="D183" s="27">
        <v>66.739999999999995</v>
      </c>
      <c r="E183" s="24">
        <v>490</v>
      </c>
      <c r="F183" s="25">
        <v>445</v>
      </c>
      <c r="G183" s="25">
        <v>560</v>
      </c>
      <c r="H183" s="25">
        <v>550</v>
      </c>
      <c r="I183" s="25">
        <v>505</v>
      </c>
      <c r="J183" s="25">
        <v>615</v>
      </c>
      <c r="K183" s="26">
        <f t="shared" si="21"/>
        <v>594.27499999999998</v>
      </c>
      <c r="L183" s="26">
        <f t="shared" si="22"/>
        <v>542.63750000000005</v>
      </c>
      <c r="M183" s="26">
        <v>1380</v>
      </c>
      <c r="N183" s="26">
        <f t="shared" si="23"/>
        <v>113632.52374999998</v>
      </c>
      <c r="O183" s="26">
        <f t="shared" si="26"/>
        <v>9067</v>
      </c>
      <c r="P183" s="26">
        <f t="shared" si="24"/>
        <v>101818.2992712602</v>
      </c>
      <c r="Q183" s="26">
        <f t="shared" si="25"/>
        <v>91755.88588999999</v>
      </c>
      <c r="W183" s="23">
        <v>42555</v>
      </c>
      <c r="X183" s="32">
        <f t="shared" si="27"/>
        <v>7133.333333333333</v>
      </c>
      <c r="Y183" s="33">
        <v>1070</v>
      </c>
    </row>
    <row r="184" spans="1:25" ht="15" customHeight="1" x14ac:dyDescent="0.25">
      <c r="A184" s="23">
        <v>42678</v>
      </c>
      <c r="B184" s="22">
        <f t="shared" si="19"/>
        <v>45</v>
      </c>
      <c r="C184" s="22">
        <f t="shared" si="20"/>
        <v>11</v>
      </c>
      <c r="D184" s="27">
        <v>66.709999999999994</v>
      </c>
      <c r="E184" s="24">
        <v>490</v>
      </c>
      <c r="F184" s="25">
        <v>445</v>
      </c>
      <c r="G184" s="25">
        <v>560</v>
      </c>
      <c r="H184" s="25">
        <v>550</v>
      </c>
      <c r="I184" s="25">
        <v>505</v>
      </c>
      <c r="J184" s="25">
        <v>615</v>
      </c>
      <c r="K184" s="26">
        <f t="shared" si="21"/>
        <v>594.27499999999998</v>
      </c>
      <c r="L184" s="26">
        <f t="shared" si="22"/>
        <v>542.63750000000005</v>
      </c>
      <c r="M184" s="26">
        <v>1380</v>
      </c>
      <c r="N184" s="26">
        <f t="shared" si="23"/>
        <v>113583.42312499997</v>
      </c>
      <c r="O184" s="26">
        <f t="shared" si="26"/>
        <v>9067</v>
      </c>
      <c r="P184" s="26">
        <f t="shared" si="24"/>
        <v>101818.2992712602</v>
      </c>
      <c r="Q184" s="26">
        <f t="shared" si="25"/>
        <v>91716.618934999991</v>
      </c>
      <c r="W184" s="23">
        <v>42556</v>
      </c>
      <c r="X184" s="32">
        <f t="shared" si="27"/>
        <v>7066.666666666667</v>
      </c>
      <c r="Y184" s="33">
        <v>1060</v>
      </c>
    </row>
    <row r="185" spans="1:25" ht="15" customHeight="1" x14ac:dyDescent="0.25">
      <c r="A185" s="23">
        <v>42681</v>
      </c>
      <c r="B185" s="22">
        <f t="shared" si="19"/>
        <v>46</v>
      </c>
      <c r="C185" s="22">
        <f t="shared" si="20"/>
        <v>11</v>
      </c>
      <c r="D185" s="27">
        <v>66.739999999999995</v>
      </c>
      <c r="E185" s="24">
        <v>490</v>
      </c>
      <c r="F185" s="25">
        <v>445</v>
      </c>
      <c r="G185" s="25">
        <v>560</v>
      </c>
      <c r="H185" s="25">
        <v>550</v>
      </c>
      <c r="I185" s="25">
        <v>500</v>
      </c>
      <c r="J185" s="25">
        <v>610</v>
      </c>
      <c r="K185" s="26">
        <f t="shared" si="21"/>
        <v>594.27499999999998</v>
      </c>
      <c r="L185" s="26">
        <f t="shared" si="22"/>
        <v>542.63750000000005</v>
      </c>
      <c r="M185" s="26">
        <v>1380</v>
      </c>
      <c r="N185" s="26">
        <f t="shared" si="23"/>
        <v>113632.52374999998</v>
      </c>
      <c r="O185" s="26">
        <f t="shared" si="26"/>
        <v>8867</v>
      </c>
      <c r="P185" s="26">
        <f t="shared" si="24"/>
        <v>99747.599924129609</v>
      </c>
      <c r="Q185" s="26">
        <f t="shared" si="25"/>
        <v>91755.88588999999</v>
      </c>
      <c r="W185" s="23">
        <v>42557</v>
      </c>
      <c r="X185" s="32">
        <f t="shared" si="27"/>
        <v>7066.666666666667</v>
      </c>
      <c r="Y185" s="33">
        <v>1060</v>
      </c>
    </row>
    <row r="186" spans="1:25" ht="15" customHeight="1" x14ac:dyDescent="0.25">
      <c r="A186" s="23">
        <v>42682</v>
      </c>
      <c r="B186" s="22">
        <f t="shared" si="19"/>
        <v>46</v>
      </c>
      <c r="C186" s="22">
        <f t="shared" si="20"/>
        <v>11</v>
      </c>
      <c r="D186" s="27">
        <v>66.63</v>
      </c>
      <c r="E186" s="24">
        <v>500</v>
      </c>
      <c r="F186" s="25">
        <v>450</v>
      </c>
      <c r="G186" s="25">
        <v>565</v>
      </c>
      <c r="H186" s="25">
        <v>555</v>
      </c>
      <c r="I186" s="25">
        <v>500</v>
      </c>
      <c r="J186" s="25">
        <v>615</v>
      </c>
      <c r="K186" s="26">
        <f t="shared" si="21"/>
        <v>605.75</v>
      </c>
      <c r="L186" s="26">
        <f t="shared" si="22"/>
        <v>548.375</v>
      </c>
      <c r="M186" s="26">
        <v>1390</v>
      </c>
      <c r="N186" s="26">
        <f t="shared" si="23"/>
        <v>114204.57424999998</v>
      </c>
      <c r="O186" s="26">
        <f t="shared" si="26"/>
        <v>8867</v>
      </c>
      <c r="P186" s="26">
        <f t="shared" si="24"/>
        <v>99747.599924129609</v>
      </c>
      <c r="Q186" s="26">
        <f t="shared" si="25"/>
        <v>92394.076625000002</v>
      </c>
      <c r="W186" s="23">
        <v>42559</v>
      </c>
      <c r="X186" s="32">
        <f t="shared" si="27"/>
        <v>7100</v>
      </c>
      <c r="Y186" s="33">
        <v>1065</v>
      </c>
    </row>
    <row r="187" spans="1:25" ht="15" customHeight="1" x14ac:dyDescent="0.25">
      <c r="A187" s="23">
        <v>42683</v>
      </c>
      <c r="B187" s="22">
        <f t="shared" si="19"/>
        <v>46</v>
      </c>
      <c r="C187" s="22">
        <f t="shared" si="20"/>
        <v>11</v>
      </c>
      <c r="D187" s="27">
        <v>66.44</v>
      </c>
      <c r="E187" s="24">
        <v>495</v>
      </c>
      <c r="F187" s="25">
        <v>445</v>
      </c>
      <c r="G187" s="25">
        <v>565</v>
      </c>
      <c r="H187" s="25">
        <v>555</v>
      </c>
      <c r="I187" s="25">
        <v>500</v>
      </c>
      <c r="J187" s="25">
        <v>605</v>
      </c>
      <c r="K187" s="26">
        <f t="shared" si="21"/>
        <v>600.01250000000005</v>
      </c>
      <c r="L187" s="26">
        <f t="shared" si="22"/>
        <v>542.63750000000005</v>
      </c>
      <c r="M187" s="26">
        <v>1425</v>
      </c>
      <c r="N187" s="26">
        <f t="shared" si="23"/>
        <v>116516.25425</v>
      </c>
      <c r="O187" s="26">
        <f t="shared" si="26"/>
        <v>8867</v>
      </c>
      <c r="P187" s="26">
        <f>((0.985*O187*(1+$R$2*0)*(1+$R$3*0+5%)+$R$4*10)*(1+$R$5)*(1+$R$6)+$R$7)*(1+$R$9)*10+$S$8</f>
        <v>101512.04199362065</v>
      </c>
      <c r="Q187" s="26">
        <f t="shared" si="25"/>
        <v>94872.942559999996</v>
      </c>
      <c r="W187" s="23">
        <v>42560</v>
      </c>
      <c r="X187" s="32">
        <f t="shared" si="27"/>
        <v>7200</v>
      </c>
      <c r="Y187" s="33">
        <v>1080</v>
      </c>
    </row>
    <row r="188" spans="1:25" ht="15" customHeight="1" x14ac:dyDescent="0.25">
      <c r="A188" s="23">
        <v>42684</v>
      </c>
      <c r="B188" s="22">
        <f t="shared" si="19"/>
        <v>46</v>
      </c>
      <c r="C188" s="22">
        <f t="shared" si="20"/>
        <v>11</v>
      </c>
      <c r="D188" s="27">
        <v>66.62</v>
      </c>
      <c r="E188" s="24">
        <v>500</v>
      </c>
      <c r="F188" s="25">
        <v>450</v>
      </c>
      <c r="G188" s="25">
        <v>560</v>
      </c>
      <c r="H188" s="25">
        <v>550</v>
      </c>
      <c r="I188" s="25">
        <v>500</v>
      </c>
      <c r="J188" s="25">
        <v>605</v>
      </c>
      <c r="K188" s="26">
        <f t="shared" si="21"/>
        <v>605.75</v>
      </c>
      <c r="L188" s="26">
        <f t="shared" si="22"/>
        <v>548.375</v>
      </c>
      <c r="M188" s="26">
        <v>1430</v>
      </c>
      <c r="N188" s="26">
        <f t="shared" si="23"/>
        <v>117195.98749999999</v>
      </c>
      <c r="O188" s="26">
        <f t="shared" si="26"/>
        <v>8867</v>
      </c>
      <c r="P188" s="26">
        <f t="shared" ref="P188:P242" si="28">((0.985*O188*(1+$R$2*0)*(1+$R$3*0+5%)+$R$4*10)*(1+$R$5)*(1+$R$6)+$R$7)*(1+$R$9)*10+$S$8</f>
        <v>101512.04199362065</v>
      </c>
      <c r="Q188" s="26">
        <f t="shared" si="25"/>
        <v>95509.078970000002</v>
      </c>
      <c r="W188" s="23">
        <v>42562</v>
      </c>
      <c r="X188" s="32">
        <f t="shared" si="27"/>
        <v>7233.333333333333</v>
      </c>
      <c r="Y188" s="33">
        <v>1085</v>
      </c>
    </row>
    <row r="189" spans="1:25" ht="15" customHeight="1" x14ac:dyDescent="0.25">
      <c r="A189" s="23">
        <v>42685</v>
      </c>
      <c r="B189" s="22">
        <f t="shared" si="19"/>
        <v>46</v>
      </c>
      <c r="C189" s="22">
        <f t="shared" si="20"/>
        <v>11</v>
      </c>
      <c r="D189" s="27">
        <v>67.25</v>
      </c>
      <c r="E189" s="24">
        <v>505</v>
      </c>
      <c r="F189" s="25">
        <v>455</v>
      </c>
      <c r="G189" s="25">
        <v>565</v>
      </c>
      <c r="H189" s="25">
        <v>555</v>
      </c>
      <c r="I189" s="25">
        <v>505</v>
      </c>
      <c r="J189" s="25">
        <v>610</v>
      </c>
      <c r="K189" s="26">
        <f t="shared" si="21"/>
        <v>611.48750000000007</v>
      </c>
      <c r="L189" s="26">
        <f t="shared" si="22"/>
        <v>554.11250000000007</v>
      </c>
      <c r="M189" s="26">
        <v>1450</v>
      </c>
      <c r="N189" s="26">
        <f t="shared" si="23"/>
        <v>119780.825</v>
      </c>
      <c r="O189" s="26">
        <f t="shared" si="26"/>
        <v>8867</v>
      </c>
      <c r="P189" s="26">
        <f t="shared" si="28"/>
        <v>101512.04199362065</v>
      </c>
      <c r="Q189" s="26">
        <f t="shared" si="25"/>
        <v>97949.558374999993</v>
      </c>
      <c r="W189" s="23">
        <v>42563</v>
      </c>
      <c r="X189" s="32">
        <f t="shared" si="27"/>
        <v>7166.666666666667</v>
      </c>
      <c r="Y189" s="33">
        <v>1075</v>
      </c>
    </row>
    <row r="190" spans="1:25" ht="15" customHeight="1" x14ac:dyDescent="0.25">
      <c r="A190" s="23">
        <v>42688</v>
      </c>
      <c r="B190" s="22">
        <f t="shared" si="19"/>
        <v>47</v>
      </c>
      <c r="C190" s="22">
        <f t="shared" si="20"/>
        <v>11</v>
      </c>
      <c r="D190" s="27">
        <v>67.25</v>
      </c>
      <c r="E190" s="24">
        <v>495</v>
      </c>
      <c r="F190" s="25">
        <v>445</v>
      </c>
      <c r="G190" s="25">
        <v>555</v>
      </c>
      <c r="H190" s="25">
        <v>545</v>
      </c>
      <c r="I190" s="25">
        <v>500</v>
      </c>
      <c r="J190" s="25">
        <v>600</v>
      </c>
      <c r="K190" s="26">
        <f t="shared" si="21"/>
        <v>600.01250000000005</v>
      </c>
      <c r="L190" s="26">
        <f t="shared" si="22"/>
        <v>542.63750000000005</v>
      </c>
      <c r="M190" s="26">
        <v>1450</v>
      </c>
      <c r="N190" s="26">
        <f t="shared" si="23"/>
        <v>119780.825</v>
      </c>
      <c r="O190" s="26">
        <f t="shared" si="26"/>
        <v>9200</v>
      </c>
      <c r="P190" s="26">
        <f t="shared" si="28"/>
        <v>105026.01999169971</v>
      </c>
      <c r="Q190" s="26">
        <f t="shared" si="25"/>
        <v>97949.558374999993</v>
      </c>
      <c r="W190" s="23">
        <v>42564</v>
      </c>
      <c r="X190" s="32">
        <f t="shared" si="27"/>
        <v>7166.666666666667</v>
      </c>
      <c r="Y190" s="33">
        <v>1075</v>
      </c>
    </row>
    <row r="191" spans="1:25" ht="15" customHeight="1" x14ac:dyDescent="0.25">
      <c r="A191" s="23">
        <v>42689</v>
      </c>
      <c r="B191" s="22">
        <f t="shared" si="19"/>
        <v>47</v>
      </c>
      <c r="C191" s="22">
        <f t="shared" si="20"/>
        <v>11</v>
      </c>
      <c r="D191" s="27">
        <v>67.75</v>
      </c>
      <c r="E191" s="24">
        <v>500</v>
      </c>
      <c r="F191" s="25">
        <v>440</v>
      </c>
      <c r="G191" s="25">
        <v>555</v>
      </c>
      <c r="H191" s="25">
        <v>545</v>
      </c>
      <c r="I191" s="25">
        <v>500</v>
      </c>
      <c r="J191" s="25">
        <v>600</v>
      </c>
      <c r="K191" s="26">
        <f t="shared" si="21"/>
        <v>605.75</v>
      </c>
      <c r="L191" s="26">
        <f t="shared" si="22"/>
        <v>536.90000000000009</v>
      </c>
      <c r="M191" s="26">
        <v>1450</v>
      </c>
      <c r="N191" s="26">
        <f t="shared" si="23"/>
        <v>120638.67499999999</v>
      </c>
      <c r="O191" s="26">
        <f t="shared" si="26"/>
        <v>9333</v>
      </c>
      <c r="P191" s="26">
        <f t="shared" si="28"/>
        <v>106429.50069363517</v>
      </c>
      <c r="Q191" s="26">
        <f t="shared" si="25"/>
        <v>98645.094124999989</v>
      </c>
      <c r="W191" s="23">
        <v>42565</v>
      </c>
      <c r="X191" s="32">
        <f t="shared" si="27"/>
        <v>7166.666666666667</v>
      </c>
      <c r="Y191" s="33">
        <v>1075</v>
      </c>
    </row>
    <row r="192" spans="1:25" ht="15" customHeight="1" x14ac:dyDescent="0.25">
      <c r="A192" s="23">
        <v>42690</v>
      </c>
      <c r="B192" s="22">
        <f t="shared" si="19"/>
        <v>47</v>
      </c>
      <c r="C192" s="22">
        <f t="shared" si="20"/>
        <v>11</v>
      </c>
      <c r="D192" s="27">
        <v>67.86</v>
      </c>
      <c r="E192" s="24">
        <v>505</v>
      </c>
      <c r="F192" s="25">
        <v>445</v>
      </c>
      <c r="G192" s="25">
        <v>560</v>
      </c>
      <c r="H192" s="25">
        <v>545</v>
      </c>
      <c r="I192" s="25">
        <v>500</v>
      </c>
      <c r="J192" s="25">
        <v>605</v>
      </c>
      <c r="K192" s="26">
        <f t="shared" si="21"/>
        <v>611.48750000000007</v>
      </c>
      <c r="L192" s="26">
        <f t="shared" si="22"/>
        <v>542.63750000000005</v>
      </c>
      <c r="M192" s="26">
        <v>1450</v>
      </c>
      <c r="N192" s="26">
        <f t="shared" si="23"/>
        <v>120827.40199999999</v>
      </c>
      <c r="O192" s="26">
        <f t="shared" si="26"/>
        <v>9333</v>
      </c>
      <c r="P192" s="26">
        <f t="shared" si="28"/>
        <v>106429.50069363517</v>
      </c>
      <c r="Q192" s="26">
        <f t="shared" si="25"/>
        <v>98798.111990000005</v>
      </c>
      <c r="W192" s="23">
        <v>42566</v>
      </c>
      <c r="X192" s="32">
        <f t="shared" si="27"/>
        <v>7300</v>
      </c>
      <c r="Y192" s="33">
        <v>1095</v>
      </c>
    </row>
    <row r="193" spans="1:25" ht="15" customHeight="1" x14ac:dyDescent="0.25">
      <c r="A193" s="23">
        <v>42691</v>
      </c>
      <c r="B193" s="22">
        <f t="shared" si="19"/>
        <v>47</v>
      </c>
      <c r="C193" s="22">
        <f t="shared" si="20"/>
        <v>11</v>
      </c>
      <c r="D193" s="27">
        <v>67.8</v>
      </c>
      <c r="E193" s="24">
        <v>505</v>
      </c>
      <c r="F193" s="25">
        <v>405</v>
      </c>
      <c r="G193" s="25">
        <v>560</v>
      </c>
      <c r="H193" s="25">
        <v>545</v>
      </c>
      <c r="I193" s="25">
        <v>500</v>
      </c>
      <c r="J193" s="25">
        <v>615</v>
      </c>
      <c r="K193" s="26">
        <f t="shared" si="21"/>
        <v>611.48750000000007</v>
      </c>
      <c r="L193" s="26">
        <f t="shared" si="22"/>
        <v>496.73750000000001</v>
      </c>
      <c r="M193" s="26">
        <v>1450</v>
      </c>
      <c r="N193" s="26">
        <f t="shared" si="23"/>
        <v>120724.45999999999</v>
      </c>
      <c r="O193" s="26">
        <f t="shared" si="26"/>
        <v>9333</v>
      </c>
      <c r="P193" s="26">
        <f t="shared" si="28"/>
        <v>106429.50069363517</v>
      </c>
      <c r="Q193" s="26">
        <f t="shared" si="25"/>
        <v>98714.647700000001</v>
      </c>
      <c r="W193" s="23">
        <v>42567</v>
      </c>
      <c r="X193" s="32">
        <f t="shared" si="27"/>
        <v>7200</v>
      </c>
      <c r="Y193" s="33">
        <v>1080</v>
      </c>
    </row>
    <row r="194" spans="1:25" ht="15" customHeight="1" x14ac:dyDescent="0.25">
      <c r="A194" s="23">
        <v>42692</v>
      </c>
      <c r="B194" s="22">
        <f t="shared" ref="B194:B245" si="29">WEEKNUM(A194)</f>
        <v>47</v>
      </c>
      <c r="C194" s="22">
        <f t="shared" ref="C194:C245" si="30">MONTH(A194)</f>
        <v>11</v>
      </c>
      <c r="D194" s="27">
        <v>68.14</v>
      </c>
      <c r="E194" s="24">
        <v>500</v>
      </c>
      <c r="F194" s="25">
        <v>450</v>
      </c>
      <c r="G194" s="25">
        <v>560</v>
      </c>
      <c r="H194" s="25">
        <v>545</v>
      </c>
      <c r="I194" s="25">
        <v>500</v>
      </c>
      <c r="J194" s="25">
        <v>615</v>
      </c>
      <c r="K194" s="26">
        <f t="shared" ref="K194:K245" si="31">E194*1.02*1.125+32</f>
        <v>605.75</v>
      </c>
      <c r="L194" s="26">
        <f t="shared" ref="L194:L245" si="32">F194*1.02*1.125+32</f>
        <v>548.375</v>
      </c>
      <c r="M194" s="26">
        <v>1450</v>
      </c>
      <c r="N194" s="26">
        <f t="shared" ref="N194:N242" si="33">(M194+25+45)*D194*(1+12.5%*1.03)+4400</f>
        <v>121307.798</v>
      </c>
      <c r="O194" s="26">
        <f t="shared" si="26"/>
        <v>9333</v>
      </c>
      <c r="P194" s="26">
        <f t="shared" si="28"/>
        <v>106429.50069363517</v>
      </c>
      <c r="Q194" s="26">
        <f t="shared" ref="Q194:Q242" si="34">(M194-300+35)*D194*1.1739+4400</f>
        <v>99187.612009999983</v>
      </c>
      <c r="W194" s="23">
        <v>42569</v>
      </c>
      <c r="X194" s="32">
        <f t="shared" si="27"/>
        <v>7200</v>
      </c>
      <c r="Y194" s="33">
        <v>1080</v>
      </c>
    </row>
    <row r="195" spans="1:25" ht="15" customHeight="1" x14ac:dyDescent="0.25">
      <c r="A195" s="23">
        <v>42695</v>
      </c>
      <c r="B195" s="22">
        <f t="shared" si="29"/>
        <v>48</v>
      </c>
      <c r="C195" s="22">
        <f t="shared" si="30"/>
        <v>11</v>
      </c>
      <c r="D195" s="27">
        <v>68.16</v>
      </c>
      <c r="E195" s="24">
        <v>505</v>
      </c>
      <c r="F195" s="25">
        <v>455</v>
      </c>
      <c r="G195" s="25">
        <v>552</v>
      </c>
      <c r="H195" s="25">
        <v>565</v>
      </c>
      <c r="I195" s="25">
        <v>500</v>
      </c>
      <c r="J195" s="25">
        <v>621</v>
      </c>
      <c r="K195" s="26">
        <f t="shared" si="31"/>
        <v>611.48750000000007</v>
      </c>
      <c r="L195" s="26">
        <f t="shared" si="32"/>
        <v>554.11250000000007</v>
      </c>
      <c r="M195" s="26">
        <v>1500</v>
      </c>
      <c r="N195" s="26">
        <f t="shared" si="33"/>
        <v>125188.89199999999</v>
      </c>
      <c r="O195" s="26">
        <f t="shared" si="26"/>
        <v>9467</v>
      </c>
      <c r="P195" s="26">
        <f t="shared" si="28"/>
        <v>107843.53388205134</v>
      </c>
      <c r="Q195" s="26">
        <f t="shared" si="34"/>
        <v>103216.08463999999</v>
      </c>
      <c r="W195" s="23">
        <v>42570</v>
      </c>
      <c r="X195" s="32">
        <f t="shared" si="27"/>
        <v>7166.666666666667</v>
      </c>
      <c r="Y195" s="33">
        <v>1075</v>
      </c>
    </row>
    <row r="196" spans="1:25" ht="15" customHeight="1" x14ac:dyDescent="0.25">
      <c r="A196" s="23">
        <v>42696</v>
      </c>
      <c r="B196" s="22">
        <f t="shared" si="29"/>
        <v>48</v>
      </c>
      <c r="C196" s="22">
        <f t="shared" si="30"/>
        <v>11</v>
      </c>
      <c r="D196" s="27">
        <v>68.25</v>
      </c>
      <c r="E196" s="24">
        <v>505</v>
      </c>
      <c r="F196" s="25">
        <v>455</v>
      </c>
      <c r="G196" s="25">
        <v>565</v>
      </c>
      <c r="H196" s="25">
        <v>555</v>
      </c>
      <c r="I196" s="25">
        <v>495</v>
      </c>
      <c r="J196" s="25">
        <v>621</v>
      </c>
      <c r="K196" s="26">
        <f t="shared" si="31"/>
        <v>611.48750000000007</v>
      </c>
      <c r="L196" s="26">
        <f t="shared" si="32"/>
        <v>554.11250000000007</v>
      </c>
      <c r="M196" s="26">
        <v>1500</v>
      </c>
      <c r="N196" s="26">
        <f t="shared" si="33"/>
        <v>125348.38437499999</v>
      </c>
      <c r="O196" s="26">
        <f t="shared" si="26"/>
        <v>9400</v>
      </c>
      <c r="P196" s="26">
        <f t="shared" si="28"/>
        <v>107136.51728784325</v>
      </c>
      <c r="Q196" s="26">
        <f t="shared" si="34"/>
        <v>103346.563625</v>
      </c>
      <c r="W196" s="23">
        <v>42571</v>
      </c>
      <c r="X196" s="32">
        <f t="shared" si="27"/>
        <v>7266.666666666667</v>
      </c>
      <c r="Y196" s="33">
        <v>1090</v>
      </c>
    </row>
    <row r="197" spans="1:25" ht="15" customHeight="1" x14ac:dyDescent="0.25">
      <c r="A197" s="23">
        <v>42697</v>
      </c>
      <c r="B197" s="22">
        <f t="shared" si="29"/>
        <v>48</v>
      </c>
      <c r="C197" s="22">
        <f t="shared" si="30"/>
        <v>11</v>
      </c>
      <c r="D197" s="27">
        <v>68.56</v>
      </c>
      <c r="E197" s="24">
        <v>505</v>
      </c>
      <c r="F197" s="25">
        <v>450</v>
      </c>
      <c r="G197" s="25">
        <v>565</v>
      </c>
      <c r="H197" s="25">
        <v>555</v>
      </c>
      <c r="I197" s="25">
        <v>500</v>
      </c>
      <c r="J197" s="25">
        <v>615</v>
      </c>
      <c r="K197" s="26">
        <f t="shared" si="31"/>
        <v>611.48750000000007</v>
      </c>
      <c r="L197" s="26">
        <f t="shared" si="32"/>
        <v>548.375</v>
      </c>
      <c r="M197" s="26">
        <v>1500</v>
      </c>
      <c r="N197" s="26">
        <f t="shared" si="33"/>
        <v>125897.74699999999</v>
      </c>
      <c r="O197" s="26">
        <f t="shared" si="26"/>
        <v>9467</v>
      </c>
      <c r="P197" s="26">
        <f t="shared" si="28"/>
        <v>107843.53388205134</v>
      </c>
      <c r="Q197" s="26">
        <f t="shared" si="34"/>
        <v>103795.99124</v>
      </c>
      <c r="W197" s="23">
        <v>42572</v>
      </c>
      <c r="X197" s="32">
        <f t="shared" si="27"/>
        <v>7266.666666666667</v>
      </c>
      <c r="Y197" s="33">
        <v>1090</v>
      </c>
    </row>
    <row r="198" spans="1:25" ht="15" customHeight="1" x14ac:dyDescent="0.25">
      <c r="A198" s="23">
        <v>42698</v>
      </c>
      <c r="B198" s="22">
        <f t="shared" si="29"/>
        <v>48</v>
      </c>
      <c r="C198" s="22">
        <f t="shared" si="30"/>
        <v>11</v>
      </c>
      <c r="D198" s="27">
        <v>68.73</v>
      </c>
      <c r="E198" s="24">
        <v>520</v>
      </c>
      <c r="F198" s="25">
        <v>460</v>
      </c>
      <c r="G198" s="25">
        <v>570</v>
      </c>
      <c r="H198" s="25">
        <v>560</v>
      </c>
      <c r="I198" s="25">
        <v>510</v>
      </c>
      <c r="J198" s="25">
        <v>631</v>
      </c>
      <c r="K198" s="26">
        <f t="shared" si="31"/>
        <v>628.69999999999993</v>
      </c>
      <c r="L198" s="26">
        <f t="shared" si="32"/>
        <v>559.85</v>
      </c>
      <c r="M198" s="26">
        <v>1500</v>
      </c>
      <c r="N198" s="26">
        <f t="shared" si="33"/>
        <v>126199.010375</v>
      </c>
      <c r="O198" s="26">
        <f t="shared" si="26"/>
        <v>9533</v>
      </c>
      <c r="P198" s="26">
        <f t="shared" si="28"/>
        <v>108539.99798977873</v>
      </c>
      <c r="Q198" s="26">
        <f t="shared" si="34"/>
        <v>104042.451545</v>
      </c>
      <c r="W198" s="23">
        <v>42573</v>
      </c>
      <c r="X198" s="32">
        <f t="shared" si="27"/>
        <v>7333.333333333333</v>
      </c>
      <c r="Y198" s="33">
        <v>1100</v>
      </c>
    </row>
    <row r="199" spans="1:25" ht="15" customHeight="1" x14ac:dyDescent="0.25">
      <c r="A199" s="23">
        <v>42699</v>
      </c>
      <c r="B199" s="22">
        <f t="shared" si="29"/>
        <v>48</v>
      </c>
      <c r="C199" s="22">
        <f t="shared" si="30"/>
        <v>11</v>
      </c>
      <c r="D199" s="27">
        <v>68.45</v>
      </c>
      <c r="E199" s="24">
        <v>520</v>
      </c>
      <c r="F199" s="25">
        <v>460</v>
      </c>
      <c r="G199" s="25">
        <v>570</v>
      </c>
      <c r="H199" s="25">
        <v>560</v>
      </c>
      <c r="I199" s="25">
        <v>510</v>
      </c>
      <c r="J199" s="25">
        <v>631</v>
      </c>
      <c r="K199" s="26">
        <f t="shared" si="31"/>
        <v>628.69999999999993</v>
      </c>
      <c r="L199" s="26">
        <f t="shared" si="32"/>
        <v>559.85</v>
      </c>
      <c r="M199" s="26">
        <v>1510</v>
      </c>
      <c r="N199" s="26">
        <f t="shared" si="33"/>
        <v>126475.44124999999</v>
      </c>
      <c r="O199" s="26">
        <f t="shared" si="26"/>
        <v>9867</v>
      </c>
      <c r="P199" s="26">
        <f t="shared" si="28"/>
        <v>112064.52847433845</v>
      </c>
      <c r="Q199" s="26">
        <f t="shared" si="34"/>
        <v>104440.051475</v>
      </c>
      <c r="W199" s="23">
        <v>42574</v>
      </c>
      <c r="X199" s="32">
        <f t="shared" si="27"/>
        <v>7400</v>
      </c>
      <c r="Y199" s="33">
        <v>1110</v>
      </c>
    </row>
    <row r="200" spans="1:25" ht="15" customHeight="1" x14ac:dyDescent="0.25">
      <c r="A200" s="23">
        <v>42702</v>
      </c>
      <c r="B200" s="22">
        <f t="shared" si="29"/>
        <v>49</v>
      </c>
      <c r="C200" s="22">
        <f t="shared" si="30"/>
        <v>11</v>
      </c>
      <c r="D200" s="27">
        <v>68.760000000000005</v>
      </c>
      <c r="E200" s="24">
        <v>525</v>
      </c>
      <c r="F200" s="25">
        <v>465</v>
      </c>
      <c r="G200" s="25">
        <v>570</v>
      </c>
      <c r="H200" s="25">
        <v>560</v>
      </c>
      <c r="I200" s="25">
        <v>510</v>
      </c>
      <c r="J200" s="25">
        <v>636</v>
      </c>
      <c r="K200" s="26">
        <f t="shared" si="31"/>
        <v>634.4375</v>
      </c>
      <c r="L200" s="26">
        <f t="shared" si="32"/>
        <v>565.58749999999998</v>
      </c>
      <c r="M200" s="26">
        <v>1510</v>
      </c>
      <c r="N200" s="26">
        <f t="shared" si="33"/>
        <v>127028.303</v>
      </c>
      <c r="O200" s="26">
        <f t="shared" si="26"/>
        <v>9333</v>
      </c>
      <c r="P200" s="26">
        <f t="shared" si="28"/>
        <v>106429.50069363517</v>
      </c>
      <c r="Q200" s="26">
        <f t="shared" si="34"/>
        <v>104893.11818</v>
      </c>
      <c r="W200" s="23">
        <v>42576</v>
      </c>
      <c r="X200" s="32">
        <f t="shared" si="27"/>
        <v>7533.333333333333</v>
      </c>
      <c r="Y200" s="33">
        <v>1130</v>
      </c>
    </row>
    <row r="201" spans="1:25" ht="15" customHeight="1" x14ac:dyDescent="0.25">
      <c r="A201" s="23">
        <v>42703</v>
      </c>
      <c r="B201" s="22">
        <f t="shared" si="29"/>
        <v>49</v>
      </c>
      <c r="C201" s="22">
        <f t="shared" si="30"/>
        <v>11</v>
      </c>
      <c r="D201" s="27">
        <v>68.650000000000006</v>
      </c>
      <c r="E201" s="24">
        <v>525</v>
      </c>
      <c r="F201" s="25">
        <v>465</v>
      </c>
      <c r="G201" s="25">
        <v>575</v>
      </c>
      <c r="H201" s="25">
        <v>565</v>
      </c>
      <c r="I201" s="25">
        <v>510</v>
      </c>
      <c r="J201" s="25">
        <v>636</v>
      </c>
      <c r="K201" s="26">
        <f t="shared" si="31"/>
        <v>634.4375</v>
      </c>
      <c r="L201" s="26">
        <f t="shared" si="32"/>
        <v>565.58749999999998</v>
      </c>
      <c r="M201" s="26">
        <v>1520</v>
      </c>
      <c r="N201" s="26">
        <f t="shared" si="33"/>
        <v>127607.01312500001</v>
      </c>
      <c r="O201" s="26">
        <f t="shared" si="26"/>
        <v>9200</v>
      </c>
      <c r="P201" s="26">
        <f t="shared" si="28"/>
        <v>105026.01999169971</v>
      </c>
      <c r="Q201" s="26">
        <f t="shared" si="34"/>
        <v>105538.234925</v>
      </c>
      <c r="W201" s="23">
        <v>42577</v>
      </c>
      <c r="X201" s="32">
        <f t="shared" si="27"/>
        <v>7400</v>
      </c>
      <c r="Y201" s="33">
        <v>1110</v>
      </c>
    </row>
    <row r="202" spans="1:25" ht="15" customHeight="1" x14ac:dyDescent="0.25">
      <c r="A202" s="23">
        <v>42704</v>
      </c>
      <c r="B202" s="22">
        <f t="shared" si="29"/>
        <v>49</v>
      </c>
      <c r="C202" s="22">
        <f t="shared" si="30"/>
        <v>11</v>
      </c>
      <c r="D202" s="27">
        <v>68.38</v>
      </c>
      <c r="E202" s="24">
        <v>525</v>
      </c>
      <c r="F202" s="25">
        <v>465</v>
      </c>
      <c r="G202" s="25">
        <v>575</v>
      </c>
      <c r="H202" s="25">
        <v>565</v>
      </c>
      <c r="I202" s="25">
        <v>510</v>
      </c>
      <c r="J202" s="25">
        <v>636</v>
      </c>
      <c r="K202" s="26">
        <f t="shared" si="31"/>
        <v>634.4375</v>
      </c>
      <c r="L202" s="26">
        <f t="shared" si="32"/>
        <v>565.58749999999998</v>
      </c>
      <c r="M202" s="26">
        <v>1520</v>
      </c>
      <c r="N202" s="26">
        <f t="shared" si="33"/>
        <v>127122.44074999999</v>
      </c>
      <c r="O202" s="26">
        <f t="shared" si="26"/>
        <v>9200</v>
      </c>
      <c r="P202" s="26">
        <f t="shared" si="28"/>
        <v>105026.01999169971</v>
      </c>
      <c r="Q202" s="26">
        <f t="shared" si="34"/>
        <v>105140.45890999999</v>
      </c>
      <c r="W202" s="23">
        <v>42578</v>
      </c>
      <c r="X202" s="32">
        <v>7500</v>
      </c>
    </row>
    <row r="203" spans="1:25" ht="15" customHeight="1" x14ac:dyDescent="0.25">
      <c r="A203" s="23">
        <v>42705</v>
      </c>
      <c r="B203" s="22">
        <f t="shared" si="29"/>
        <v>49</v>
      </c>
      <c r="C203" s="22">
        <f t="shared" si="30"/>
        <v>12</v>
      </c>
      <c r="D203" s="27">
        <v>68.34</v>
      </c>
      <c r="E203" s="24">
        <v>530</v>
      </c>
      <c r="F203" s="25">
        <v>470</v>
      </c>
      <c r="G203" s="25">
        <v>580</v>
      </c>
      <c r="H203" s="25">
        <v>570</v>
      </c>
      <c r="I203" s="25">
        <v>515</v>
      </c>
      <c r="J203" s="25">
        <v>641</v>
      </c>
      <c r="K203" s="26">
        <f t="shared" si="31"/>
        <v>640.17500000000007</v>
      </c>
      <c r="L203" s="26">
        <f t="shared" si="32"/>
        <v>571.32500000000005</v>
      </c>
      <c r="M203" s="26">
        <v>1530</v>
      </c>
      <c r="N203" s="26">
        <f t="shared" si="33"/>
        <v>127822.04</v>
      </c>
      <c r="O203" s="26">
        <f t="shared" si="26"/>
        <v>9667</v>
      </c>
      <c r="P203" s="26">
        <f t="shared" si="28"/>
        <v>109954.03117819493</v>
      </c>
      <c r="Q203" s="26">
        <f t="shared" si="34"/>
        <v>105883.77239</v>
      </c>
      <c r="W203" s="23">
        <v>42579</v>
      </c>
      <c r="X203" s="32">
        <f t="shared" ref="X203:X223" si="35">Y203/15*100</f>
        <v>7566.666666666667</v>
      </c>
      <c r="Y203" s="33">
        <v>1135</v>
      </c>
    </row>
    <row r="204" spans="1:25" ht="15" customHeight="1" x14ac:dyDescent="0.25">
      <c r="A204" s="23">
        <v>42706</v>
      </c>
      <c r="B204" s="22">
        <f t="shared" si="29"/>
        <v>49</v>
      </c>
      <c r="C204" s="22">
        <f t="shared" si="30"/>
        <v>12</v>
      </c>
      <c r="D204" s="27">
        <v>68.19</v>
      </c>
      <c r="E204" s="24">
        <v>530</v>
      </c>
      <c r="F204" s="25">
        <v>470</v>
      </c>
      <c r="G204" s="25">
        <v>580</v>
      </c>
      <c r="H204" s="25">
        <v>570</v>
      </c>
      <c r="I204" s="25">
        <v>515</v>
      </c>
      <c r="J204" s="25">
        <v>641</v>
      </c>
      <c r="K204" s="26">
        <f t="shared" si="31"/>
        <v>640.17500000000007</v>
      </c>
      <c r="L204" s="26">
        <f t="shared" si="32"/>
        <v>571.32500000000005</v>
      </c>
      <c r="M204" s="26">
        <v>1540</v>
      </c>
      <c r="N204" s="26">
        <f t="shared" si="33"/>
        <v>128320.83462499999</v>
      </c>
      <c r="O204" s="26">
        <f t="shared" si="26"/>
        <v>9800</v>
      </c>
      <c r="P204" s="26">
        <f t="shared" si="28"/>
        <v>111357.51188013039</v>
      </c>
      <c r="Q204" s="26">
        <f t="shared" si="34"/>
        <v>106461.507275</v>
      </c>
      <c r="W204" s="23">
        <v>42580</v>
      </c>
      <c r="X204" s="32">
        <f t="shared" si="35"/>
        <v>7566.666666666667</v>
      </c>
      <c r="Y204" s="33">
        <v>1135</v>
      </c>
    </row>
    <row r="205" spans="1:25" ht="15" customHeight="1" x14ac:dyDescent="0.25">
      <c r="A205" s="23">
        <v>42709</v>
      </c>
      <c r="B205" s="22">
        <f t="shared" si="29"/>
        <v>50</v>
      </c>
      <c r="C205" s="22">
        <f t="shared" si="30"/>
        <v>12</v>
      </c>
      <c r="D205" s="27">
        <v>68.23</v>
      </c>
      <c r="E205" s="24">
        <v>535</v>
      </c>
      <c r="F205" s="25">
        <v>475</v>
      </c>
      <c r="G205" s="25">
        <v>585</v>
      </c>
      <c r="H205" s="25">
        <v>575</v>
      </c>
      <c r="I205" s="25">
        <v>520</v>
      </c>
      <c r="J205" s="25">
        <v>646</v>
      </c>
      <c r="K205" s="26">
        <f t="shared" si="31"/>
        <v>645.91250000000002</v>
      </c>
      <c r="L205" s="26">
        <f t="shared" si="32"/>
        <v>577.0625</v>
      </c>
      <c r="M205" s="26">
        <v>1550</v>
      </c>
      <c r="N205" s="26">
        <f t="shared" si="33"/>
        <v>129163.67225</v>
      </c>
      <c r="O205" s="26">
        <f t="shared" si="26"/>
        <v>9867</v>
      </c>
      <c r="P205" s="26">
        <f t="shared" si="28"/>
        <v>112064.52847433845</v>
      </c>
      <c r="Q205" s="26">
        <f t="shared" si="34"/>
        <v>107322.32814499999</v>
      </c>
      <c r="W205" s="23">
        <v>42581</v>
      </c>
      <c r="X205" s="32">
        <f t="shared" si="35"/>
        <v>7700</v>
      </c>
      <c r="Y205" s="33">
        <f>77*15</f>
        <v>1155</v>
      </c>
    </row>
    <row r="206" spans="1:25" ht="15" customHeight="1" x14ac:dyDescent="0.25">
      <c r="A206" s="23">
        <v>42710</v>
      </c>
      <c r="B206" s="22">
        <f t="shared" si="29"/>
        <v>50</v>
      </c>
      <c r="C206" s="22">
        <f t="shared" si="30"/>
        <v>12</v>
      </c>
      <c r="D206" s="27">
        <v>67.900000000000006</v>
      </c>
      <c r="E206" s="24">
        <v>535</v>
      </c>
      <c r="F206" s="25">
        <v>475</v>
      </c>
      <c r="G206" s="25">
        <v>585</v>
      </c>
      <c r="H206" s="25">
        <v>575</v>
      </c>
      <c r="I206" s="25">
        <v>520</v>
      </c>
      <c r="J206" s="25">
        <v>646</v>
      </c>
      <c r="K206" s="26">
        <f t="shared" si="31"/>
        <v>645.91250000000002</v>
      </c>
      <c r="L206" s="26">
        <f t="shared" si="32"/>
        <v>577.0625</v>
      </c>
      <c r="M206" s="26">
        <v>1560</v>
      </c>
      <c r="N206" s="26">
        <f t="shared" si="33"/>
        <v>129326.66375000001</v>
      </c>
      <c r="O206" s="26">
        <f t="shared" si="26"/>
        <v>9867</v>
      </c>
      <c r="P206" s="26">
        <f t="shared" si="28"/>
        <v>112064.52847433845</v>
      </c>
      <c r="Q206" s="26">
        <f t="shared" si="34"/>
        <v>107621.61395000001</v>
      </c>
      <c r="W206" s="23">
        <v>42582</v>
      </c>
      <c r="X206" s="32">
        <f t="shared" si="35"/>
        <v>7700</v>
      </c>
      <c r="Y206" s="33">
        <f>77*15</f>
        <v>1155</v>
      </c>
    </row>
    <row r="207" spans="1:25" ht="15" customHeight="1" x14ac:dyDescent="0.25">
      <c r="A207" s="23">
        <v>42711</v>
      </c>
      <c r="B207" s="22">
        <f t="shared" si="29"/>
        <v>50</v>
      </c>
      <c r="C207" s="22">
        <f t="shared" si="30"/>
        <v>12</v>
      </c>
      <c r="D207" s="27">
        <v>67.63</v>
      </c>
      <c r="E207" s="24">
        <v>530</v>
      </c>
      <c r="F207" s="25">
        <v>470</v>
      </c>
      <c r="G207" s="25">
        <v>585</v>
      </c>
      <c r="H207" s="25">
        <v>575</v>
      </c>
      <c r="I207" s="25">
        <v>520</v>
      </c>
      <c r="J207" s="25">
        <v>641</v>
      </c>
      <c r="K207" s="26">
        <f t="shared" si="31"/>
        <v>640.17500000000007</v>
      </c>
      <c r="L207" s="26">
        <f t="shared" si="32"/>
        <v>571.32500000000005</v>
      </c>
      <c r="M207" s="26">
        <v>1580</v>
      </c>
      <c r="N207" s="26">
        <f t="shared" si="33"/>
        <v>130356.64812499998</v>
      </c>
      <c r="O207" s="26">
        <f t="shared" si="26"/>
        <v>10200</v>
      </c>
      <c r="P207" s="26">
        <f t="shared" si="28"/>
        <v>115578.5064724175</v>
      </c>
      <c r="Q207" s="26">
        <f t="shared" si="34"/>
        <v>108798.97695499999</v>
      </c>
      <c r="W207" s="23">
        <v>42583</v>
      </c>
      <c r="X207" s="32">
        <f t="shared" si="35"/>
        <v>7866.666666666667</v>
      </c>
      <c r="Y207" s="33">
        <v>1180</v>
      </c>
    </row>
    <row r="208" spans="1:25" ht="15" customHeight="1" x14ac:dyDescent="0.25">
      <c r="A208" s="23">
        <v>42712</v>
      </c>
      <c r="B208" s="22">
        <f t="shared" si="29"/>
        <v>50</v>
      </c>
      <c r="C208" s="22">
        <f t="shared" si="30"/>
        <v>12</v>
      </c>
      <c r="D208" s="27">
        <v>67.36</v>
      </c>
      <c r="E208" s="24">
        <v>540</v>
      </c>
      <c r="F208" s="25">
        <v>470</v>
      </c>
      <c r="G208" s="25">
        <v>585</v>
      </c>
      <c r="H208" s="25">
        <v>575</v>
      </c>
      <c r="I208" s="25">
        <v>520</v>
      </c>
      <c r="J208" s="25">
        <v>636</v>
      </c>
      <c r="K208" s="26">
        <f t="shared" si="31"/>
        <v>651.65</v>
      </c>
      <c r="L208" s="26">
        <f t="shared" si="32"/>
        <v>571.32500000000005</v>
      </c>
      <c r="M208" s="26">
        <v>1580</v>
      </c>
      <c r="N208" s="26">
        <f t="shared" si="33"/>
        <v>129853.79</v>
      </c>
      <c r="O208" s="26">
        <f t="shared" si="26"/>
        <v>10200</v>
      </c>
      <c r="P208" s="26">
        <f t="shared" si="28"/>
        <v>115578.5064724175</v>
      </c>
      <c r="Q208" s="26">
        <f t="shared" si="34"/>
        <v>108382.18375999999</v>
      </c>
      <c r="W208" s="23">
        <v>42584</v>
      </c>
      <c r="X208" s="32">
        <f t="shared" si="35"/>
        <v>7866.666666666667</v>
      </c>
      <c r="Y208" s="33">
        <v>1180</v>
      </c>
    </row>
    <row r="209" spans="1:25" ht="15" customHeight="1" x14ac:dyDescent="0.25">
      <c r="A209" s="23">
        <v>42713</v>
      </c>
      <c r="B209" s="22">
        <f t="shared" si="29"/>
        <v>50</v>
      </c>
      <c r="C209" s="22">
        <f t="shared" si="30"/>
        <v>12</v>
      </c>
      <c r="D209" s="27">
        <v>67.42</v>
      </c>
      <c r="E209" s="24">
        <v>540</v>
      </c>
      <c r="F209" s="25">
        <v>470</v>
      </c>
      <c r="G209" s="25">
        <v>585</v>
      </c>
      <c r="H209" s="25">
        <v>575</v>
      </c>
      <c r="I209" s="25">
        <v>520</v>
      </c>
      <c r="J209" s="25">
        <v>631</v>
      </c>
      <c r="K209" s="26">
        <f t="shared" si="31"/>
        <v>651.65</v>
      </c>
      <c r="L209" s="26">
        <f t="shared" si="32"/>
        <v>571.32500000000005</v>
      </c>
      <c r="M209" s="26">
        <v>1580</v>
      </c>
      <c r="N209" s="26">
        <f t="shared" si="33"/>
        <v>129965.53624999999</v>
      </c>
      <c r="O209" s="26">
        <f t="shared" si="26"/>
        <v>10533</v>
      </c>
      <c r="P209" s="26">
        <f t="shared" si="28"/>
        <v>119092.48447049654</v>
      </c>
      <c r="Q209" s="26">
        <f t="shared" si="34"/>
        <v>108474.80447</v>
      </c>
      <c r="W209" s="23">
        <v>42585</v>
      </c>
      <c r="X209" s="32">
        <f t="shared" si="35"/>
        <v>7766.666666666667</v>
      </c>
      <c r="Y209" s="33">
        <v>1165</v>
      </c>
    </row>
    <row r="210" spans="1:25" ht="15" customHeight="1" x14ac:dyDescent="0.25">
      <c r="A210" s="23">
        <v>42717</v>
      </c>
      <c r="B210" s="22">
        <f t="shared" si="29"/>
        <v>51</v>
      </c>
      <c r="C210" s="22">
        <f t="shared" si="30"/>
        <v>12</v>
      </c>
      <c r="D210" s="27">
        <v>67.540000000000006</v>
      </c>
      <c r="E210" s="24">
        <v>540</v>
      </c>
      <c r="F210" s="25">
        <v>470</v>
      </c>
      <c r="G210" s="25">
        <v>585</v>
      </c>
      <c r="H210" s="25">
        <v>575</v>
      </c>
      <c r="I210" s="25">
        <v>520</v>
      </c>
      <c r="J210" s="25">
        <v>631</v>
      </c>
      <c r="K210" s="26">
        <f t="shared" si="31"/>
        <v>651.65</v>
      </c>
      <c r="L210" s="26">
        <f t="shared" si="32"/>
        <v>571.32500000000005</v>
      </c>
      <c r="M210" s="26">
        <v>1580</v>
      </c>
      <c r="N210" s="26">
        <f t="shared" si="33"/>
        <v>130189.02875000001</v>
      </c>
      <c r="O210" s="26">
        <f t="shared" si="26"/>
        <v>10600</v>
      </c>
      <c r="P210" s="26">
        <f t="shared" si="28"/>
        <v>119799.50106470464</v>
      </c>
      <c r="Q210" s="26">
        <f t="shared" si="34"/>
        <v>108660.04589000001</v>
      </c>
      <c r="W210" s="23">
        <v>42586</v>
      </c>
      <c r="X210" s="32">
        <f t="shared" si="35"/>
        <v>7766.666666666667</v>
      </c>
      <c r="Y210" s="33">
        <v>1165</v>
      </c>
    </row>
    <row r="211" spans="1:25" ht="15" customHeight="1" x14ac:dyDescent="0.25">
      <c r="A211" s="23">
        <v>42718</v>
      </c>
      <c r="B211" s="22">
        <f t="shared" si="29"/>
        <v>51</v>
      </c>
      <c r="C211" s="22">
        <f t="shared" si="30"/>
        <v>12</v>
      </c>
      <c r="D211" s="27">
        <v>67.430000000000007</v>
      </c>
      <c r="E211" s="24">
        <v>545</v>
      </c>
      <c r="F211" s="25">
        <v>475</v>
      </c>
      <c r="G211" s="25">
        <v>590</v>
      </c>
      <c r="H211" s="25">
        <v>580</v>
      </c>
      <c r="I211" s="25">
        <v>520</v>
      </c>
      <c r="J211" s="25">
        <v>631</v>
      </c>
      <c r="K211" s="26">
        <f t="shared" si="31"/>
        <v>657.38749999999993</v>
      </c>
      <c r="L211" s="26">
        <f t="shared" si="32"/>
        <v>577.0625</v>
      </c>
      <c r="M211" s="26">
        <v>1595</v>
      </c>
      <c r="N211" s="26">
        <f t="shared" si="33"/>
        <v>131125.83481249999</v>
      </c>
      <c r="O211" s="26">
        <f t="shared" si="26"/>
        <v>10667</v>
      </c>
      <c r="P211" s="26">
        <f t="shared" si="28"/>
        <v>120506.51765891272</v>
      </c>
      <c r="Q211" s="26">
        <f t="shared" si="34"/>
        <v>109677.58241</v>
      </c>
      <c r="W211" s="23">
        <v>42587</v>
      </c>
      <c r="X211" s="32">
        <f t="shared" si="35"/>
        <v>7833.333333333333</v>
      </c>
      <c r="Y211" s="33">
        <v>1175</v>
      </c>
    </row>
    <row r="212" spans="1:25" ht="15" customHeight="1" x14ac:dyDescent="0.25">
      <c r="A212" s="23">
        <v>42719</v>
      </c>
      <c r="B212" s="22">
        <f t="shared" si="29"/>
        <v>51</v>
      </c>
      <c r="C212" s="22">
        <f t="shared" si="30"/>
        <v>12</v>
      </c>
      <c r="D212" s="27">
        <v>67.83</v>
      </c>
      <c r="E212" s="24">
        <v>545</v>
      </c>
      <c r="F212" s="25">
        <v>475</v>
      </c>
      <c r="G212" s="25">
        <v>590</v>
      </c>
      <c r="H212" s="25">
        <v>580</v>
      </c>
      <c r="I212" s="25">
        <v>520</v>
      </c>
      <c r="J212" s="25">
        <v>631</v>
      </c>
      <c r="K212" s="26">
        <f t="shared" si="31"/>
        <v>657.38749999999993</v>
      </c>
      <c r="L212" s="26">
        <f t="shared" si="32"/>
        <v>577.0625</v>
      </c>
      <c r="M212" s="26">
        <v>1600</v>
      </c>
      <c r="N212" s="26">
        <f t="shared" si="33"/>
        <v>132260.39787499997</v>
      </c>
      <c r="O212" s="26">
        <f t="shared" si="26"/>
        <v>10733</v>
      </c>
      <c r="P212" s="26">
        <f t="shared" si="28"/>
        <v>121202.98176664009</v>
      </c>
      <c r="Q212" s="26">
        <f t="shared" si="34"/>
        <v>110700.225395</v>
      </c>
      <c r="W212" s="23">
        <v>42588</v>
      </c>
      <c r="X212" s="32">
        <f t="shared" si="35"/>
        <v>7900</v>
      </c>
      <c r="Y212" s="33">
        <v>1185</v>
      </c>
    </row>
    <row r="213" spans="1:25" ht="15" customHeight="1" x14ac:dyDescent="0.25">
      <c r="A213" s="23">
        <v>42720</v>
      </c>
      <c r="B213" s="22">
        <f t="shared" si="29"/>
        <v>51</v>
      </c>
      <c r="C213" s="22">
        <f t="shared" si="30"/>
        <v>12</v>
      </c>
      <c r="D213" s="27">
        <v>67.75</v>
      </c>
      <c r="E213" s="24">
        <v>545</v>
      </c>
      <c r="F213" s="25">
        <v>475</v>
      </c>
      <c r="G213" s="25">
        <v>590</v>
      </c>
      <c r="H213" s="25">
        <v>580</v>
      </c>
      <c r="I213" s="25">
        <v>520</v>
      </c>
      <c r="J213" s="25">
        <v>631</v>
      </c>
      <c r="K213" s="26">
        <f t="shared" si="31"/>
        <v>657.38749999999993</v>
      </c>
      <c r="L213" s="26">
        <f t="shared" si="32"/>
        <v>577.0625</v>
      </c>
      <c r="M213" s="26">
        <v>1600</v>
      </c>
      <c r="N213" s="26">
        <f t="shared" si="33"/>
        <v>132109.59687499999</v>
      </c>
      <c r="O213" s="26">
        <f t="shared" si="26"/>
        <v>10867</v>
      </c>
      <c r="P213" s="26">
        <f t="shared" si="28"/>
        <v>122617.01495505625</v>
      </c>
      <c r="Q213" s="26">
        <f t="shared" si="34"/>
        <v>110574.852875</v>
      </c>
      <c r="W213" s="23">
        <v>42589</v>
      </c>
      <c r="X213" s="32">
        <f t="shared" si="35"/>
        <v>7900</v>
      </c>
      <c r="Y213" s="33">
        <v>1185</v>
      </c>
    </row>
    <row r="214" spans="1:25" ht="15" customHeight="1" x14ac:dyDescent="0.25">
      <c r="A214" s="23">
        <v>42723</v>
      </c>
      <c r="B214" s="22">
        <f t="shared" si="29"/>
        <v>52</v>
      </c>
      <c r="C214" s="22">
        <f t="shared" si="30"/>
        <v>12</v>
      </c>
      <c r="D214" s="27">
        <v>67.88</v>
      </c>
      <c r="E214" s="24">
        <v>545</v>
      </c>
      <c r="F214" s="25">
        <v>475</v>
      </c>
      <c r="G214" s="25">
        <v>590</v>
      </c>
      <c r="H214" s="25">
        <v>580</v>
      </c>
      <c r="I214" s="25">
        <v>530</v>
      </c>
      <c r="J214" s="25">
        <v>631</v>
      </c>
      <c r="K214" s="26">
        <f t="shared" si="31"/>
        <v>657.38749999999993</v>
      </c>
      <c r="L214" s="26">
        <f t="shared" si="32"/>
        <v>577.0625</v>
      </c>
      <c r="M214" s="26">
        <v>1620</v>
      </c>
      <c r="N214" s="26">
        <f t="shared" si="33"/>
        <v>133887.03949999998</v>
      </c>
      <c r="O214" s="26">
        <f>VLOOKUP(A214,$W$2:$X$502,2,FALSE)</f>
        <v>10733</v>
      </c>
      <c r="P214" s="26">
        <f t="shared" si="28"/>
        <v>121202.98176664009</v>
      </c>
      <c r="Q214" s="26">
        <f t="shared" si="34"/>
        <v>112372.26985999999</v>
      </c>
      <c r="W214" s="23">
        <v>42590</v>
      </c>
      <c r="X214" s="32">
        <f t="shared" si="35"/>
        <v>8000</v>
      </c>
      <c r="Y214" s="33">
        <v>1200</v>
      </c>
    </row>
    <row r="215" spans="1:25" ht="15" customHeight="1" x14ac:dyDescent="0.25">
      <c r="A215" s="23">
        <v>42724</v>
      </c>
      <c r="B215" s="22">
        <f t="shared" si="29"/>
        <v>52</v>
      </c>
      <c r="C215" s="22">
        <f t="shared" si="30"/>
        <v>12</v>
      </c>
      <c r="D215" s="27">
        <v>68.05</v>
      </c>
      <c r="E215" s="24">
        <v>540</v>
      </c>
      <c r="F215" s="25">
        <v>470</v>
      </c>
      <c r="G215" s="25">
        <v>585</v>
      </c>
      <c r="H215" s="25">
        <v>575</v>
      </c>
      <c r="I215" s="25">
        <v>530</v>
      </c>
      <c r="J215" s="25">
        <v>626</v>
      </c>
      <c r="K215" s="26">
        <f t="shared" si="31"/>
        <v>651.65</v>
      </c>
      <c r="L215" s="26">
        <f t="shared" si="32"/>
        <v>571.32500000000005</v>
      </c>
      <c r="M215" s="26">
        <v>1615</v>
      </c>
      <c r="N215" s="26">
        <f t="shared" si="33"/>
        <v>133827.27218749997</v>
      </c>
      <c r="O215" s="26">
        <f t="shared" ref="O215:O242" si="36">VLOOKUP(A215,$W$2:$X$502,2,FALSE)</f>
        <v>10533</v>
      </c>
      <c r="P215" s="26">
        <f t="shared" si="28"/>
        <v>119092.48447049654</v>
      </c>
      <c r="Q215" s="26">
        <f t="shared" si="34"/>
        <v>112243.25825</v>
      </c>
      <c r="W215" s="23">
        <v>42591</v>
      </c>
      <c r="X215" s="32">
        <f t="shared" si="35"/>
        <v>7933.333333333333</v>
      </c>
      <c r="Y215" s="33">
        <v>1190</v>
      </c>
    </row>
    <row r="216" spans="1:25" ht="15" customHeight="1" x14ac:dyDescent="0.25">
      <c r="A216" s="23">
        <v>42725</v>
      </c>
      <c r="B216" s="22">
        <f t="shared" si="29"/>
        <v>52</v>
      </c>
      <c r="C216" s="22">
        <f t="shared" si="30"/>
        <v>12</v>
      </c>
      <c r="D216" s="27">
        <v>67.92</v>
      </c>
      <c r="E216" s="24">
        <v>545</v>
      </c>
      <c r="F216" s="25">
        <v>470</v>
      </c>
      <c r="G216" s="25">
        <v>580</v>
      </c>
      <c r="H216" s="25">
        <v>570</v>
      </c>
      <c r="I216" s="25">
        <v>525</v>
      </c>
      <c r="J216" s="25">
        <v>636</v>
      </c>
      <c r="K216" s="26">
        <f t="shared" si="31"/>
        <v>657.38749999999993</v>
      </c>
      <c r="L216" s="26">
        <f t="shared" si="32"/>
        <v>571.32500000000005</v>
      </c>
      <c r="M216" s="26">
        <v>1615</v>
      </c>
      <c r="N216" s="26">
        <f t="shared" si="33"/>
        <v>133580.01949999999</v>
      </c>
      <c r="O216" s="26">
        <f t="shared" si="36"/>
        <v>10400</v>
      </c>
      <c r="P216" s="26">
        <f t="shared" si="28"/>
        <v>117689.00376856107</v>
      </c>
      <c r="Q216" s="26">
        <f t="shared" si="34"/>
        <v>112037.23879999999</v>
      </c>
      <c r="W216" s="23">
        <v>42592</v>
      </c>
      <c r="X216" s="32">
        <f t="shared" si="35"/>
        <v>7966.666666666667</v>
      </c>
      <c r="Y216" s="33">
        <v>1195</v>
      </c>
    </row>
    <row r="217" spans="1:25" ht="15" customHeight="1" x14ac:dyDescent="0.25">
      <c r="A217" s="23">
        <v>42726</v>
      </c>
      <c r="B217" s="22">
        <f t="shared" si="29"/>
        <v>52</v>
      </c>
      <c r="C217" s="22">
        <f t="shared" si="30"/>
        <v>12</v>
      </c>
      <c r="D217" s="27">
        <v>67.989999999999995</v>
      </c>
      <c r="E217" s="24">
        <v>540</v>
      </c>
      <c r="F217" s="25">
        <v>470</v>
      </c>
      <c r="G217" s="25">
        <v>580</v>
      </c>
      <c r="H217" s="25">
        <v>570</v>
      </c>
      <c r="I217" s="25">
        <v>525</v>
      </c>
      <c r="J217" s="25">
        <v>636</v>
      </c>
      <c r="K217" s="26">
        <f t="shared" si="31"/>
        <v>651.65</v>
      </c>
      <c r="L217" s="26">
        <f t="shared" si="32"/>
        <v>571.32500000000005</v>
      </c>
      <c r="M217" s="26">
        <v>1615</v>
      </c>
      <c r="N217" s="26">
        <f t="shared" si="33"/>
        <v>133713.1555625</v>
      </c>
      <c r="O217" s="26">
        <f t="shared" si="36"/>
        <v>10267</v>
      </c>
      <c r="P217" s="26">
        <f t="shared" si="28"/>
        <v>116285.5230666256</v>
      </c>
      <c r="Q217" s="26">
        <f t="shared" si="34"/>
        <v>112148.17234999999</v>
      </c>
      <c r="W217" s="23">
        <v>42593</v>
      </c>
      <c r="X217" s="32">
        <f t="shared" si="35"/>
        <v>7966.666666666667</v>
      </c>
      <c r="Y217" s="33">
        <v>1195</v>
      </c>
    </row>
    <row r="218" spans="1:25" ht="15" customHeight="1" x14ac:dyDescent="0.25">
      <c r="A218" s="23">
        <v>42727</v>
      </c>
      <c r="B218" s="22">
        <f t="shared" si="29"/>
        <v>52</v>
      </c>
      <c r="C218" s="22">
        <f t="shared" si="30"/>
        <v>12</v>
      </c>
      <c r="D218" s="27">
        <v>67.83</v>
      </c>
      <c r="E218" s="24">
        <v>540</v>
      </c>
      <c r="F218" s="25">
        <v>470</v>
      </c>
      <c r="G218" s="25">
        <v>580</v>
      </c>
      <c r="H218" s="25">
        <v>570</v>
      </c>
      <c r="I218" s="25">
        <v>525</v>
      </c>
      <c r="J218" s="25">
        <v>636</v>
      </c>
      <c r="K218" s="26">
        <f t="shared" si="31"/>
        <v>651.65</v>
      </c>
      <c r="L218" s="26">
        <f t="shared" si="32"/>
        <v>571.32500000000005</v>
      </c>
      <c r="M218" s="26">
        <v>1615</v>
      </c>
      <c r="N218" s="26">
        <f t="shared" si="33"/>
        <v>133408.84456249999</v>
      </c>
      <c r="O218" s="26">
        <f t="shared" si="36"/>
        <v>10267</v>
      </c>
      <c r="P218" s="26">
        <f t="shared" si="28"/>
        <v>116285.5230666256</v>
      </c>
      <c r="Q218" s="26">
        <f t="shared" si="34"/>
        <v>111894.60995</v>
      </c>
      <c r="W218" s="23">
        <v>42594</v>
      </c>
      <c r="X218" s="32">
        <f t="shared" si="35"/>
        <v>8233.3333333333321</v>
      </c>
      <c r="Y218" s="33">
        <v>1235</v>
      </c>
    </row>
    <row r="219" spans="1:25" ht="15" customHeight="1" x14ac:dyDescent="0.25">
      <c r="A219" s="23">
        <v>42731</v>
      </c>
      <c r="B219" s="22">
        <f t="shared" si="29"/>
        <v>53</v>
      </c>
      <c r="C219" s="22">
        <f t="shared" si="30"/>
        <v>12</v>
      </c>
      <c r="D219" s="27">
        <v>68.06</v>
      </c>
      <c r="E219" s="24">
        <v>545</v>
      </c>
      <c r="F219" s="25">
        <v>465</v>
      </c>
      <c r="G219" s="25">
        <v>580</v>
      </c>
      <c r="H219" s="25">
        <v>570</v>
      </c>
      <c r="I219" s="25">
        <v>525</v>
      </c>
      <c r="J219" s="25">
        <v>646</v>
      </c>
      <c r="K219" s="26">
        <f t="shared" si="31"/>
        <v>657.38749999999993</v>
      </c>
      <c r="L219" s="26">
        <f t="shared" si="32"/>
        <v>565.58749999999998</v>
      </c>
      <c r="M219" s="26">
        <v>1620</v>
      </c>
      <c r="N219" s="26">
        <f t="shared" si="33"/>
        <v>134230.40525000001</v>
      </c>
      <c r="O219" s="26">
        <f t="shared" si="36"/>
        <v>10533</v>
      </c>
      <c r="P219" s="26">
        <f t="shared" si="28"/>
        <v>119092.48447049654</v>
      </c>
      <c r="Q219" s="26">
        <f t="shared" si="34"/>
        <v>112658.58407</v>
      </c>
      <c r="W219" s="23">
        <v>42595</v>
      </c>
      <c r="X219" s="32">
        <f t="shared" si="35"/>
        <v>8500</v>
      </c>
      <c r="Y219" s="33">
        <v>1275</v>
      </c>
    </row>
    <row r="220" spans="1:25" ht="15" customHeight="1" x14ac:dyDescent="0.25">
      <c r="A220" s="23">
        <v>42732</v>
      </c>
      <c r="B220" s="22">
        <f t="shared" si="29"/>
        <v>53</v>
      </c>
      <c r="C220" s="22">
        <f t="shared" si="30"/>
        <v>12</v>
      </c>
      <c r="D220" s="27">
        <v>68.25</v>
      </c>
      <c r="E220" s="24">
        <v>540</v>
      </c>
      <c r="F220" s="25">
        <v>470</v>
      </c>
      <c r="G220" s="25">
        <v>580</v>
      </c>
      <c r="H220" s="25">
        <v>570</v>
      </c>
      <c r="I220" s="25">
        <v>525</v>
      </c>
      <c r="J220" s="25">
        <v>646</v>
      </c>
      <c r="K220" s="26">
        <f t="shared" si="31"/>
        <v>651.65</v>
      </c>
      <c r="L220" s="26">
        <f t="shared" si="32"/>
        <v>571.32500000000005</v>
      </c>
      <c r="M220" s="26">
        <v>1620</v>
      </c>
      <c r="N220" s="26">
        <f t="shared" si="33"/>
        <v>134592.84687499999</v>
      </c>
      <c r="O220" s="26">
        <f t="shared" si="36"/>
        <v>10667</v>
      </c>
      <c r="P220" s="26">
        <f t="shared" si="28"/>
        <v>120506.51765891272</v>
      </c>
      <c r="Q220" s="26">
        <f t="shared" si="34"/>
        <v>112960.80462499999</v>
      </c>
      <c r="W220" s="23">
        <v>42596</v>
      </c>
      <c r="X220" s="32">
        <f t="shared" si="35"/>
        <v>8500</v>
      </c>
      <c r="Y220" s="33">
        <v>1275</v>
      </c>
    </row>
    <row r="221" spans="1:25" ht="15" customHeight="1" x14ac:dyDescent="0.25">
      <c r="A221" s="23">
        <v>42733</v>
      </c>
      <c r="B221" s="22">
        <f t="shared" si="29"/>
        <v>53</v>
      </c>
      <c r="C221" s="22">
        <f t="shared" si="30"/>
        <v>12</v>
      </c>
      <c r="D221" s="27">
        <v>68.11</v>
      </c>
      <c r="E221" s="24">
        <v>540</v>
      </c>
      <c r="F221" s="25">
        <v>470</v>
      </c>
      <c r="G221" s="25">
        <v>575</v>
      </c>
      <c r="H221" s="25">
        <v>565</v>
      </c>
      <c r="I221" s="25">
        <v>525</v>
      </c>
      <c r="J221" s="25">
        <v>646</v>
      </c>
      <c r="K221" s="26">
        <f t="shared" si="31"/>
        <v>651.65</v>
      </c>
      <c r="L221" s="26">
        <f t="shared" si="32"/>
        <v>571.32500000000005</v>
      </c>
      <c r="M221" s="26">
        <v>1610</v>
      </c>
      <c r="N221" s="26">
        <f t="shared" si="33"/>
        <v>133556.99299999999</v>
      </c>
      <c r="O221" s="26">
        <f t="shared" si="36"/>
        <v>10867</v>
      </c>
      <c r="P221" s="26">
        <f t="shared" si="28"/>
        <v>122617.01495505625</v>
      </c>
      <c r="Q221" s="26">
        <f t="shared" si="34"/>
        <v>111938.57250499999</v>
      </c>
      <c r="W221" s="23">
        <v>42597</v>
      </c>
      <c r="X221" s="32">
        <f t="shared" si="35"/>
        <v>8500</v>
      </c>
      <c r="Y221" s="33">
        <v>1275</v>
      </c>
    </row>
    <row r="222" spans="1:25" ht="15" customHeight="1" x14ac:dyDescent="0.25">
      <c r="A222" s="23">
        <v>42734</v>
      </c>
      <c r="B222" s="22">
        <f t="shared" si="29"/>
        <v>53</v>
      </c>
      <c r="C222" s="22">
        <f t="shared" si="30"/>
        <v>12</v>
      </c>
      <c r="D222" s="27">
        <v>67.92</v>
      </c>
      <c r="E222" s="24">
        <v>540</v>
      </c>
      <c r="F222" s="25">
        <v>470</v>
      </c>
      <c r="G222" s="25">
        <v>575</v>
      </c>
      <c r="H222" s="25">
        <v>565</v>
      </c>
      <c r="I222" s="25">
        <v>525</v>
      </c>
      <c r="J222" s="25">
        <v>646</v>
      </c>
      <c r="K222" s="26">
        <f t="shared" si="31"/>
        <v>651.65</v>
      </c>
      <c r="L222" s="26">
        <f t="shared" si="32"/>
        <v>571.32500000000005</v>
      </c>
      <c r="M222" s="26">
        <v>1595</v>
      </c>
      <c r="N222" s="26">
        <f t="shared" si="33"/>
        <v>132046.7255</v>
      </c>
      <c r="O222" s="26">
        <f t="shared" si="36"/>
        <v>10867</v>
      </c>
      <c r="P222" s="26">
        <f t="shared" si="28"/>
        <v>122617.01495505625</v>
      </c>
      <c r="Q222" s="26">
        <f t="shared" si="34"/>
        <v>110442.61304</v>
      </c>
      <c r="W222" s="23">
        <v>42598</v>
      </c>
      <c r="X222" s="32">
        <f t="shared" si="35"/>
        <v>8900</v>
      </c>
      <c r="Y222" s="33">
        <v>1335</v>
      </c>
    </row>
    <row r="223" spans="1:25" ht="15" customHeight="1" x14ac:dyDescent="0.25">
      <c r="A223" s="23">
        <v>42738</v>
      </c>
      <c r="B223" s="22">
        <f t="shared" si="29"/>
        <v>1</v>
      </c>
      <c r="C223" s="22">
        <f t="shared" si="30"/>
        <v>1</v>
      </c>
      <c r="D223" s="27">
        <v>68.33</v>
      </c>
      <c r="E223" s="24">
        <v>540</v>
      </c>
      <c r="F223" s="25">
        <v>470</v>
      </c>
      <c r="G223" s="25">
        <v>570</v>
      </c>
      <c r="H223" s="25">
        <v>570</v>
      </c>
      <c r="I223" s="25">
        <v>520</v>
      </c>
      <c r="J223" s="25">
        <v>646</v>
      </c>
      <c r="K223" s="26">
        <f t="shared" si="31"/>
        <v>651.65</v>
      </c>
      <c r="L223" s="26">
        <f t="shared" si="32"/>
        <v>571.32500000000005</v>
      </c>
      <c r="M223" s="26">
        <v>1610</v>
      </c>
      <c r="N223" s="26">
        <f t="shared" si="33"/>
        <v>133974.179</v>
      </c>
      <c r="O223" s="26">
        <f t="shared" si="36"/>
        <v>10733</v>
      </c>
      <c r="P223" s="26">
        <f t="shared" si="28"/>
        <v>121202.98176664009</v>
      </c>
      <c r="Q223" s="26">
        <f t="shared" si="34"/>
        <v>112285.92951499998</v>
      </c>
      <c r="W223" s="23">
        <v>42599</v>
      </c>
      <c r="X223" s="32">
        <f t="shared" si="35"/>
        <v>8833.3333333333321</v>
      </c>
      <c r="Y223" s="33">
        <v>1325</v>
      </c>
    </row>
    <row r="224" spans="1:25" ht="15" customHeight="1" x14ac:dyDescent="0.25">
      <c r="A224" s="23">
        <v>42739</v>
      </c>
      <c r="B224" s="22">
        <f t="shared" si="29"/>
        <v>1</v>
      </c>
      <c r="C224" s="22">
        <f t="shared" si="30"/>
        <v>1</v>
      </c>
      <c r="D224" s="27">
        <v>68.09</v>
      </c>
      <c r="E224" s="24">
        <v>560</v>
      </c>
      <c r="F224" s="25">
        <v>475</v>
      </c>
      <c r="G224" s="25">
        <v>570</v>
      </c>
      <c r="H224" s="25">
        <v>570</v>
      </c>
      <c r="I224" s="25">
        <v>520</v>
      </c>
      <c r="J224" s="25">
        <v>641</v>
      </c>
      <c r="K224" s="26">
        <f t="shared" si="31"/>
        <v>674.6</v>
      </c>
      <c r="L224" s="26">
        <f t="shared" si="32"/>
        <v>577.0625</v>
      </c>
      <c r="M224" s="26">
        <v>1610</v>
      </c>
      <c r="N224" s="26">
        <f t="shared" si="33"/>
        <v>133519.06700000001</v>
      </c>
      <c r="O224" s="26">
        <f t="shared" si="36"/>
        <v>10667</v>
      </c>
      <c r="P224" s="26">
        <f t="shared" si="28"/>
        <v>120506.51765891272</v>
      </c>
      <c r="Q224" s="26">
        <f t="shared" si="34"/>
        <v>111906.994595</v>
      </c>
      <c r="V224" s="28"/>
      <c r="W224" s="23">
        <v>42600</v>
      </c>
      <c r="X224" s="32">
        <v>9233</v>
      </c>
    </row>
    <row r="225" spans="1:24" ht="15" customHeight="1" x14ac:dyDescent="0.25">
      <c r="A225" s="23">
        <v>42740</v>
      </c>
      <c r="B225" s="22">
        <f t="shared" si="29"/>
        <v>1</v>
      </c>
      <c r="C225" s="22">
        <f t="shared" si="30"/>
        <v>1</v>
      </c>
      <c r="D225" s="27">
        <v>67.97</v>
      </c>
      <c r="E225" s="24">
        <v>545</v>
      </c>
      <c r="F225" s="25">
        <v>465</v>
      </c>
      <c r="G225" s="25">
        <v>565</v>
      </c>
      <c r="H225" s="25">
        <v>565</v>
      </c>
      <c r="I225" s="25">
        <v>520</v>
      </c>
      <c r="J225" s="25">
        <v>636</v>
      </c>
      <c r="K225" s="26">
        <f t="shared" si="31"/>
        <v>657.38749999999993</v>
      </c>
      <c r="L225" s="26">
        <f t="shared" si="32"/>
        <v>565.58749999999998</v>
      </c>
      <c r="M225" s="26">
        <v>1610</v>
      </c>
      <c r="N225" s="26">
        <f t="shared" si="33"/>
        <v>133291.511</v>
      </c>
      <c r="O225" s="26">
        <f t="shared" si="36"/>
        <v>10677</v>
      </c>
      <c r="P225" s="26">
        <f t="shared" si="28"/>
        <v>120612.04252371988</v>
      </c>
      <c r="Q225" s="26">
        <f t="shared" si="34"/>
        <v>111717.52713499998</v>
      </c>
      <c r="V225" s="28"/>
      <c r="W225" s="23">
        <v>42601</v>
      </c>
      <c r="X225" s="32">
        <v>9233</v>
      </c>
    </row>
    <row r="226" spans="1:24" ht="15" customHeight="1" x14ac:dyDescent="0.25">
      <c r="A226" s="23">
        <v>42741</v>
      </c>
      <c r="B226" s="22">
        <f t="shared" si="29"/>
        <v>1</v>
      </c>
      <c r="C226" s="22">
        <f t="shared" si="30"/>
        <v>1</v>
      </c>
      <c r="D226" s="27">
        <v>67.97</v>
      </c>
      <c r="E226" s="24">
        <v>540</v>
      </c>
      <c r="F226" s="25">
        <v>460</v>
      </c>
      <c r="G226" s="25">
        <v>565</v>
      </c>
      <c r="H226" s="25">
        <v>565</v>
      </c>
      <c r="I226" s="25">
        <v>520</v>
      </c>
      <c r="J226" s="25">
        <v>646</v>
      </c>
      <c r="K226" s="26">
        <f t="shared" si="31"/>
        <v>651.65</v>
      </c>
      <c r="L226" s="26">
        <f t="shared" si="32"/>
        <v>559.85</v>
      </c>
      <c r="M226" s="26">
        <v>1610</v>
      </c>
      <c r="N226" s="26">
        <f t="shared" si="33"/>
        <v>133291.511</v>
      </c>
      <c r="O226" s="26">
        <f t="shared" si="36"/>
        <v>10667</v>
      </c>
      <c r="P226" s="26">
        <f t="shared" si="28"/>
        <v>120506.51765891272</v>
      </c>
      <c r="Q226" s="26">
        <f t="shared" si="34"/>
        <v>111717.52713499998</v>
      </c>
      <c r="V226" s="28"/>
      <c r="W226" s="23">
        <v>42602</v>
      </c>
      <c r="X226" s="32">
        <v>9433</v>
      </c>
    </row>
    <row r="227" spans="1:24" ht="15" customHeight="1" x14ac:dyDescent="0.25">
      <c r="A227" s="23">
        <v>42744</v>
      </c>
      <c r="B227" s="22">
        <f t="shared" si="29"/>
        <v>2</v>
      </c>
      <c r="C227" s="22">
        <f t="shared" si="30"/>
        <v>1</v>
      </c>
      <c r="D227" s="27">
        <v>68.209999999999994</v>
      </c>
      <c r="E227" s="24">
        <v>545</v>
      </c>
      <c r="F227" s="25">
        <v>465</v>
      </c>
      <c r="G227" s="25">
        <v>565</v>
      </c>
      <c r="H227" s="25">
        <v>565</v>
      </c>
      <c r="I227" s="25">
        <v>520</v>
      </c>
      <c r="J227" s="25">
        <v>651</v>
      </c>
      <c r="K227" s="26">
        <f t="shared" si="31"/>
        <v>657.38749999999993</v>
      </c>
      <c r="L227" s="26">
        <f t="shared" si="32"/>
        <v>565.58749999999998</v>
      </c>
      <c r="M227" s="26">
        <v>1630</v>
      </c>
      <c r="N227" s="26">
        <f t="shared" si="33"/>
        <v>135286.46375</v>
      </c>
      <c r="O227" s="26">
        <f t="shared" si="36"/>
        <v>10733</v>
      </c>
      <c r="P227" s="26">
        <f t="shared" si="28"/>
        <v>121202.98176664009</v>
      </c>
      <c r="Q227" s="26">
        <f t="shared" si="34"/>
        <v>113697.89643499999</v>
      </c>
      <c r="V227" s="28"/>
      <c r="W227" s="23">
        <v>42603</v>
      </c>
      <c r="X227" s="32">
        <v>9433</v>
      </c>
    </row>
    <row r="228" spans="1:24" ht="15" customHeight="1" x14ac:dyDescent="0.25">
      <c r="A228" s="23">
        <v>42745</v>
      </c>
      <c r="B228" s="22">
        <f t="shared" si="29"/>
        <v>2</v>
      </c>
      <c r="C228" s="22">
        <f t="shared" si="30"/>
        <v>1</v>
      </c>
      <c r="D228" s="27">
        <v>68.180000000000007</v>
      </c>
      <c r="E228" s="24">
        <v>545</v>
      </c>
      <c r="F228" s="25">
        <v>465</v>
      </c>
      <c r="G228" s="25">
        <v>565</v>
      </c>
      <c r="H228" s="25">
        <v>565</v>
      </c>
      <c r="I228" s="25">
        <v>520</v>
      </c>
      <c r="J228" s="25">
        <v>651</v>
      </c>
      <c r="K228" s="26">
        <f t="shared" si="31"/>
        <v>657.38749999999993</v>
      </c>
      <c r="L228" s="26">
        <f t="shared" si="32"/>
        <v>565.58749999999998</v>
      </c>
      <c r="M228" s="26">
        <v>1640</v>
      </c>
      <c r="N228" s="26">
        <f t="shared" si="33"/>
        <v>135998.47925</v>
      </c>
      <c r="O228" s="26">
        <f t="shared" si="36"/>
        <v>10867</v>
      </c>
      <c r="P228" s="26">
        <f t="shared" si="28"/>
        <v>122617.01495505625</v>
      </c>
      <c r="Q228" s="26">
        <f t="shared" si="34"/>
        <v>114450.19025000001</v>
      </c>
      <c r="V228" s="28"/>
      <c r="W228" s="23">
        <v>42604</v>
      </c>
      <c r="X228" s="32">
        <v>9233</v>
      </c>
    </row>
    <row r="229" spans="1:24" ht="15" customHeight="1" x14ac:dyDescent="0.25">
      <c r="A229" s="23">
        <v>42746</v>
      </c>
      <c r="B229" s="22">
        <f t="shared" si="29"/>
        <v>2</v>
      </c>
      <c r="C229" s="22">
        <f t="shared" si="30"/>
        <v>1</v>
      </c>
      <c r="D229" s="27">
        <v>68.319999999999993</v>
      </c>
      <c r="E229" s="24">
        <v>550</v>
      </c>
      <c r="F229" s="25">
        <v>470</v>
      </c>
      <c r="G229" s="25">
        <v>570</v>
      </c>
      <c r="H229" s="25">
        <v>570</v>
      </c>
      <c r="I229" s="25">
        <v>525</v>
      </c>
      <c r="J229" s="25">
        <v>656</v>
      </c>
      <c r="K229" s="26">
        <f t="shared" si="31"/>
        <v>663.125</v>
      </c>
      <c r="L229" s="26">
        <f t="shared" si="32"/>
        <v>571.32500000000005</v>
      </c>
      <c r="M229" s="26">
        <v>1640</v>
      </c>
      <c r="N229" s="26">
        <f t="shared" si="33"/>
        <v>136268.70199999996</v>
      </c>
      <c r="O229" s="26">
        <f t="shared" si="36"/>
        <v>10867</v>
      </c>
      <c r="P229" s="26">
        <f t="shared" si="28"/>
        <v>122617.01495505625</v>
      </c>
      <c r="Q229" s="26">
        <f t="shared" si="34"/>
        <v>114676.16599999998</v>
      </c>
      <c r="V229" s="28"/>
      <c r="W229" s="23">
        <v>42605</v>
      </c>
      <c r="X229" s="32">
        <v>8900</v>
      </c>
    </row>
    <row r="230" spans="1:24" ht="15" customHeight="1" x14ac:dyDescent="0.25">
      <c r="A230" s="23">
        <v>42747</v>
      </c>
      <c r="B230" s="22">
        <f t="shared" si="29"/>
        <v>2</v>
      </c>
      <c r="C230" s="22">
        <f t="shared" si="30"/>
        <v>1</v>
      </c>
      <c r="D230" s="27">
        <v>68.08</v>
      </c>
      <c r="E230" s="24">
        <v>545</v>
      </c>
      <c r="F230" s="25">
        <v>465</v>
      </c>
      <c r="G230" s="25">
        <v>570</v>
      </c>
      <c r="H230" s="25">
        <v>570</v>
      </c>
      <c r="I230" s="25">
        <v>525</v>
      </c>
      <c r="J230" s="25">
        <v>651</v>
      </c>
      <c r="K230" s="26">
        <f t="shared" si="31"/>
        <v>657.38749999999993</v>
      </c>
      <c r="L230" s="26">
        <f t="shared" si="32"/>
        <v>565.58749999999998</v>
      </c>
      <c r="M230" s="26">
        <v>1690</v>
      </c>
      <c r="N230" s="26">
        <f t="shared" si="33"/>
        <v>139647.728</v>
      </c>
      <c r="O230" s="26">
        <f t="shared" si="36"/>
        <v>11000</v>
      </c>
      <c r="P230" s="26">
        <f t="shared" si="28"/>
        <v>124020.49565699177</v>
      </c>
      <c r="Q230" s="26">
        <f t="shared" si="34"/>
        <v>118284.7346</v>
      </c>
      <c r="V230" s="28"/>
      <c r="W230" s="23">
        <v>42606</v>
      </c>
      <c r="X230" s="32">
        <v>8967</v>
      </c>
    </row>
    <row r="231" spans="1:24" ht="15" customHeight="1" x14ac:dyDescent="0.25">
      <c r="A231" s="23">
        <v>42748</v>
      </c>
      <c r="B231" s="22">
        <f t="shared" si="29"/>
        <v>2</v>
      </c>
      <c r="C231" s="22">
        <f t="shared" si="30"/>
        <v>1</v>
      </c>
      <c r="D231" s="27">
        <v>68.16</v>
      </c>
      <c r="E231" s="24">
        <v>545</v>
      </c>
      <c r="F231" s="25">
        <v>460</v>
      </c>
      <c r="G231" s="25">
        <v>570</v>
      </c>
      <c r="H231" s="25">
        <v>570</v>
      </c>
      <c r="I231" s="25">
        <v>525</v>
      </c>
      <c r="J231" s="25">
        <v>651</v>
      </c>
      <c r="K231" s="26">
        <f t="shared" si="31"/>
        <v>657.38749999999993</v>
      </c>
      <c r="L231" s="26">
        <f t="shared" si="32"/>
        <v>559.85</v>
      </c>
      <c r="M231" s="26">
        <v>1690</v>
      </c>
      <c r="N231" s="26">
        <f t="shared" si="33"/>
        <v>139806.65599999999</v>
      </c>
      <c r="O231" s="26">
        <f t="shared" si="36"/>
        <v>11200</v>
      </c>
      <c r="P231" s="26">
        <f t="shared" si="28"/>
        <v>126130.99295313531</v>
      </c>
      <c r="Q231" s="26">
        <f t="shared" si="34"/>
        <v>118418.55919999999</v>
      </c>
      <c r="V231" s="28"/>
      <c r="W231" s="23">
        <v>42607</v>
      </c>
      <c r="X231" s="32">
        <v>8800</v>
      </c>
    </row>
    <row r="232" spans="1:24" ht="15" customHeight="1" x14ac:dyDescent="0.25">
      <c r="A232" s="23">
        <v>42751</v>
      </c>
      <c r="B232" s="22">
        <f t="shared" si="29"/>
        <v>3</v>
      </c>
      <c r="C232" s="22">
        <f t="shared" si="30"/>
        <v>1</v>
      </c>
      <c r="D232" s="27">
        <v>68.099999999999994</v>
      </c>
      <c r="E232" s="24">
        <v>550</v>
      </c>
      <c r="F232" s="25">
        <v>465</v>
      </c>
      <c r="G232" s="25">
        <v>570</v>
      </c>
      <c r="H232" s="25">
        <v>570</v>
      </c>
      <c r="I232" s="25">
        <v>525</v>
      </c>
      <c r="J232" s="25">
        <v>651</v>
      </c>
      <c r="K232" s="26">
        <f t="shared" si="31"/>
        <v>663.125</v>
      </c>
      <c r="L232" s="26">
        <f t="shared" si="32"/>
        <v>565.58749999999998</v>
      </c>
      <c r="M232" s="26">
        <v>1690</v>
      </c>
      <c r="N232" s="26">
        <f t="shared" si="33"/>
        <v>139687.45999999996</v>
      </c>
      <c r="O232" s="26">
        <f t="shared" si="36"/>
        <v>11200</v>
      </c>
      <c r="P232" s="26">
        <f t="shared" si="28"/>
        <v>126130.99295313531</v>
      </c>
      <c r="Q232" s="26">
        <f t="shared" si="34"/>
        <v>118318.19074999998</v>
      </c>
      <c r="V232" s="28"/>
      <c r="W232" s="23">
        <v>42608</v>
      </c>
      <c r="X232" s="32">
        <v>8600</v>
      </c>
    </row>
    <row r="233" spans="1:24" ht="15" customHeight="1" x14ac:dyDescent="0.25">
      <c r="A233" s="23">
        <v>42752</v>
      </c>
      <c r="B233" s="22">
        <f t="shared" si="29"/>
        <v>3</v>
      </c>
      <c r="C233" s="22">
        <f t="shared" si="30"/>
        <v>1</v>
      </c>
      <c r="D233" s="27">
        <v>67.98</v>
      </c>
      <c r="E233" s="24">
        <v>555</v>
      </c>
      <c r="F233" s="25">
        <v>470</v>
      </c>
      <c r="G233" s="25">
        <v>572</v>
      </c>
      <c r="H233" s="25">
        <v>560</v>
      </c>
      <c r="I233" s="25">
        <v>525</v>
      </c>
      <c r="J233" s="25">
        <v>656</v>
      </c>
      <c r="K233" s="26">
        <f t="shared" si="31"/>
        <v>668.86250000000007</v>
      </c>
      <c r="L233" s="26">
        <f t="shared" si="32"/>
        <v>571.32500000000005</v>
      </c>
      <c r="M233" s="26">
        <v>1750</v>
      </c>
      <c r="N233" s="26">
        <f t="shared" si="33"/>
        <v>144053.0135</v>
      </c>
      <c r="O233" s="26">
        <f t="shared" si="36"/>
        <v>11533</v>
      </c>
      <c r="P233" s="26">
        <f t="shared" si="28"/>
        <v>129644.97095121435</v>
      </c>
      <c r="Q233" s="26">
        <f t="shared" si="34"/>
        <v>122905.55717</v>
      </c>
      <c r="V233" s="28"/>
      <c r="W233" s="23">
        <v>42609</v>
      </c>
      <c r="X233" s="32">
        <v>8567</v>
      </c>
    </row>
    <row r="234" spans="1:24" ht="15" customHeight="1" x14ac:dyDescent="0.25">
      <c r="A234" s="23">
        <v>42753</v>
      </c>
      <c r="B234" s="22">
        <f t="shared" si="29"/>
        <v>3</v>
      </c>
      <c r="C234" s="22">
        <f t="shared" si="30"/>
        <v>1</v>
      </c>
      <c r="D234" s="27">
        <v>68.08</v>
      </c>
      <c r="E234" s="24">
        <v>560</v>
      </c>
      <c r="F234" s="25">
        <v>465</v>
      </c>
      <c r="G234" s="25">
        <v>575</v>
      </c>
      <c r="H234" s="25">
        <v>570</v>
      </c>
      <c r="I234" s="25">
        <v>525</v>
      </c>
      <c r="J234" s="25">
        <v>656</v>
      </c>
      <c r="K234" s="26">
        <f t="shared" si="31"/>
        <v>674.6</v>
      </c>
      <c r="L234" s="26">
        <f t="shared" si="32"/>
        <v>565.58749999999998</v>
      </c>
      <c r="M234" s="26">
        <v>1750</v>
      </c>
      <c r="N234" s="26">
        <f t="shared" si="33"/>
        <v>144258.44599999997</v>
      </c>
      <c r="O234" s="26">
        <f t="shared" si="36"/>
        <v>11867</v>
      </c>
      <c r="P234" s="26">
        <f t="shared" si="28"/>
        <v>133169.50143577409</v>
      </c>
      <c r="Q234" s="26">
        <f t="shared" si="34"/>
        <v>123079.88132</v>
      </c>
      <c r="V234" s="28"/>
      <c r="W234" s="23">
        <v>42610</v>
      </c>
      <c r="X234" s="32">
        <v>8567</v>
      </c>
    </row>
    <row r="235" spans="1:24" ht="15" customHeight="1" x14ac:dyDescent="0.25">
      <c r="A235" s="23">
        <v>42754</v>
      </c>
      <c r="B235" s="22">
        <f t="shared" si="29"/>
        <v>3</v>
      </c>
      <c r="C235" s="22">
        <f t="shared" si="30"/>
        <v>1</v>
      </c>
      <c r="D235" s="27">
        <v>68.180000000000007</v>
      </c>
      <c r="E235" s="24">
        <v>570</v>
      </c>
      <c r="F235" s="25">
        <v>470</v>
      </c>
      <c r="G235" s="25">
        <v>580</v>
      </c>
      <c r="H235" s="25">
        <v>575</v>
      </c>
      <c r="I235" s="25">
        <v>530</v>
      </c>
      <c r="J235" s="25">
        <v>656</v>
      </c>
      <c r="K235" s="26">
        <f t="shared" si="31"/>
        <v>686.07499999999993</v>
      </c>
      <c r="L235" s="26">
        <f t="shared" si="32"/>
        <v>571.32500000000005</v>
      </c>
      <c r="M235" s="26">
        <v>1775</v>
      </c>
      <c r="N235" s="26">
        <f t="shared" si="33"/>
        <v>146387.83287499999</v>
      </c>
      <c r="O235" s="26">
        <f t="shared" si="36"/>
        <v>12067</v>
      </c>
      <c r="P235" s="26">
        <f t="shared" si="28"/>
        <v>135279.99873191764</v>
      </c>
      <c r="Q235" s="26">
        <f t="shared" si="34"/>
        <v>125255.11802000001</v>
      </c>
      <c r="V235" s="28"/>
      <c r="W235" s="23">
        <v>42611</v>
      </c>
      <c r="X235" s="32">
        <v>8767</v>
      </c>
    </row>
    <row r="236" spans="1:24" ht="15" customHeight="1" x14ac:dyDescent="0.25">
      <c r="A236" s="23">
        <v>42755</v>
      </c>
      <c r="B236" s="22">
        <f t="shared" si="29"/>
        <v>3</v>
      </c>
      <c r="C236" s="22">
        <f t="shared" si="30"/>
        <v>1</v>
      </c>
      <c r="D236" s="27">
        <v>68.180000000000007</v>
      </c>
      <c r="E236" s="24">
        <v>570</v>
      </c>
      <c r="F236" s="25">
        <v>470</v>
      </c>
      <c r="G236" s="25">
        <v>585</v>
      </c>
      <c r="H236" s="25">
        <v>575</v>
      </c>
      <c r="I236" s="25">
        <v>530</v>
      </c>
      <c r="J236" s="25">
        <v>651</v>
      </c>
      <c r="K236" s="26">
        <f t="shared" si="31"/>
        <v>686.07499999999993</v>
      </c>
      <c r="L236" s="26">
        <f t="shared" si="32"/>
        <v>571.32500000000005</v>
      </c>
      <c r="M236" s="26">
        <v>1805</v>
      </c>
      <c r="N236" s="26">
        <f t="shared" si="33"/>
        <v>148696.578125</v>
      </c>
      <c r="O236" s="26">
        <f t="shared" si="36"/>
        <v>12067</v>
      </c>
      <c r="P236" s="26">
        <f t="shared" si="28"/>
        <v>135279.99873191764</v>
      </c>
      <c r="Q236" s="26">
        <f t="shared" si="34"/>
        <v>127656.21308</v>
      </c>
      <c r="V236" s="28"/>
      <c r="W236" s="23">
        <v>42612</v>
      </c>
      <c r="X236" s="32">
        <v>8500</v>
      </c>
    </row>
    <row r="237" spans="1:24" ht="15" customHeight="1" x14ac:dyDescent="0.25">
      <c r="A237" s="23">
        <v>42758</v>
      </c>
      <c r="B237" s="22">
        <f t="shared" si="29"/>
        <v>4</v>
      </c>
      <c r="C237" s="22">
        <f t="shared" si="30"/>
        <v>1</v>
      </c>
      <c r="D237" s="27">
        <v>68.2</v>
      </c>
      <c r="E237" s="24">
        <v>570</v>
      </c>
      <c r="F237" s="25">
        <v>470</v>
      </c>
      <c r="G237" s="25">
        <v>590</v>
      </c>
      <c r="H237" s="25">
        <v>580</v>
      </c>
      <c r="I237" s="25">
        <v>530</v>
      </c>
      <c r="J237" s="25">
        <v>651</v>
      </c>
      <c r="K237" s="26">
        <f t="shared" si="31"/>
        <v>686.07499999999993</v>
      </c>
      <c r="L237" s="26">
        <f t="shared" si="32"/>
        <v>571.32500000000005</v>
      </c>
      <c r="M237" s="26">
        <v>1800</v>
      </c>
      <c r="N237" s="26">
        <f t="shared" si="33"/>
        <v>148354.0025</v>
      </c>
      <c r="O237" s="26">
        <f t="shared" si="36"/>
        <v>13000</v>
      </c>
      <c r="P237" s="26">
        <f t="shared" si="28"/>
        <v>145125.46861842735</v>
      </c>
      <c r="Q237" s="26">
        <f t="shared" si="34"/>
        <v>127292.06929999999</v>
      </c>
      <c r="V237" s="28"/>
      <c r="W237" s="23">
        <v>42613</v>
      </c>
      <c r="X237" s="32">
        <v>8500</v>
      </c>
    </row>
    <row r="238" spans="1:24" ht="15" customHeight="1" x14ac:dyDescent="0.25">
      <c r="A238" s="23">
        <v>42759</v>
      </c>
      <c r="B238" s="22">
        <f t="shared" si="29"/>
        <v>4</v>
      </c>
      <c r="C238" s="22">
        <f t="shared" si="30"/>
        <v>1</v>
      </c>
      <c r="D238" s="27">
        <v>68.14</v>
      </c>
      <c r="E238" s="24">
        <v>575</v>
      </c>
      <c r="F238" s="25">
        <v>480</v>
      </c>
      <c r="G238" s="25">
        <v>595</v>
      </c>
      <c r="H238" s="25">
        <v>585</v>
      </c>
      <c r="I238" s="25">
        <v>530</v>
      </c>
      <c r="J238" s="25">
        <v>656</v>
      </c>
      <c r="K238" s="26">
        <f t="shared" si="31"/>
        <v>691.8125</v>
      </c>
      <c r="L238" s="26">
        <f t="shared" si="32"/>
        <v>582.80000000000007</v>
      </c>
      <c r="M238" s="26">
        <v>1800</v>
      </c>
      <c r="N238" s="26">
        <f t="shared" si="33"/>
        <v>148227.35675000001</v>
      </c>
      <c r="O238" s="26">
        <f t="shared" si="36"/>
        <v>13000</v>
      </c>
      <c r="P238" s="26">
        <f t="shared" si="28"/>
        <v>145125.46861842735</v>
      </c>
      <c r="Q238" s="26">
        <f t="shared" si="34"/>
        <v>127183.95310999999</v>
      </c>
      <c r="V238" s="28"/>
      <c r="W238" s="23">
        <v>42614</v>
      </c>
      <c r="X238" s="32">
        <v>8567</v>
      </c>
    </row>
    <row r="239" spans="1:24" s="28" customFormat="1" ht="15" customHeight="1" x14ac:dyDescent="0.25">
      <c r="A239" s="23">
        <v>42760</v>
      </c>
      <c r="B239" s="22">
        <f t="shared" si="29"/>
        <v>4</v>
      </c>
      <c r="C239" s="22">
        <f t="shared" si="30"/>
        <v>1</v>
      </c>
      <c r="D239" s="27">
        <v>68.069999999999993</v>
      </c>
      <c r="E239" s="24">
        <v>570</v>
      </c>
      <c r="F239" s="25">
        <v>475</v>
      </c>
      <c r="G239" s="25">
        <v>595</v>
      </c>
      <c r="H239" s="25">
        <v>585</v>
      </c>
      <c r="I239" s="25">
        <v>530</v>
      </c>
      <c r="J239" s="25">
        <v>651</v>
      </c>
      <c r="K239" s="26">
        <f t="shared" si="31"/>
        <v>686.07499999999993</v>
      </c>
      <c r="L239" s="26">
        <f t="shared" si="32"/>
        <v>577.0625</v>
      </c>
      <c r="M239" s="26">
        <v>1800</v>
      </c>
      <c r="N239" s="26">
        <f t="shared" si="33"/>
        <v>148079.60337499998</v>
      </c>
      <c r="O239" s="26">
        <f t="shared" si="36"/>
        <v>13200</v>
      </c>
      <c r="P239" s="26">
        <f t="shared" si="28"/>
        <v>147235.96591457093</v>
      </c>
      <c r="Q239" s="26">
        <f t="shared" si="34"/>
        <v>127057.81755499997</v>
      </c>
      <c r="W239" s="23">
        <v>42615</v>
      </c>
      <c r="X239" s="32">
        <v>8500</v>
      </c>
    </row>
    <row r="240" spans="1:24" s="28" customFormat="1" ht="15" customHeight="1" x14ac:dyDescent="0.25">
      <c r="A240" s="23">
        <v>42762</v>
      </c>
      <c r="B240" s="22">
        <f t="shared" si="29"/>
        <v>4</v>
      </c>
      <c r="C240" s="22">
        <f t="shared" si="30"/>
        <v>1</v>
      </c>
      <c r="D240" s="27">
        <v>68.040000000000006</v>
      </c>
      <c r="E240" s="24">
        <v>565</v>
      </c>
      <c r="F240" s="25">
        <v>470</v>
      </c>
      <c r="G240" s="25">
        <v>590</v>
      </c>
      <c r="H240" s="25">
        <v>580</v>
      </c>
      <c r="I240" s="25">
        <v>525</v>
      </c>
      <c r="J240" s="25">
        <v>651</v>
      </c>
      <c r="K240" s="26">
        <f t="shared" si="31"/>
        <v>680.33749999999998</v>
      </c>
      <c r="L240" s="26">
        <f t="shared" si="32"/>
        <v>571.32500000000005</v>
      </c>
      <c r="M240" s="26">
        <v>1810</v>
      </c>
      <c r="N240" s="26">
        <f t="shared" si="33"/>
        <v>148784.28200000001</v>
      </c>
      <c r="O240" s="26">
        <f t="shared" si="36"/>
        <v>13200</v>
      </c>
      <c r="P240" s="26">
        <f t="shared" si="28"/>
        <v>147235.96591457093</v>
      </c>
      <c r="Q240" s="26">
        <f t="shared" si="34"/>
        <v>127802.48101999999</v>
      </c>
      <c r="W240" s="23">
        <v>42616</v>
      </c>
      <c r="X240" s="32">
        <v>8367</v>
      </c>
    </row>
    <row r="241" spans="1:24" s="28" customFormat="1" ht="15" customHeight="1" x14ac:dyDescent="0.25">
      <c r="A241" s="23">
        <v>42765</v>
      </c>
      <c r="B241" s="22">
        <f t="shared" si="29"/>
        <v>5</v>
      </c>
      <c r="C241" s="22">
        <f t="shared" si="30"/>
        <v>1</v>
      </c>
      <c r="D241" s="27">
        <v>67.95</v>
      </c>
      <c r="E241" s="24">
        <v>565</v>
      </c>
      <c r="F241" s="25">
        <v>470</v>
      </c>
      <c r="G241" s="25">
        <v>590</v>
      </c>
      <c r="H241" s="25">
        <v>580</v>
      </c>
      <c r="I241" s="25">
        <v>525</v>
      </c>
      <c r="J241" s="25">
        <v>646</v>
      </c>
      <c r="K241" s="26">
        <f t="shared" si="31"/>
        <v>680.33749999999998</v>
      </c>
      <c r="L241" s="26">
        <f t="shared" si="32"/>
        <v>571.32500000000005</v>
      </c>
      <c r="M241" s="26">
        <v>1810</v>
      </c>
      <c r="N241" s="26">
        <f t="shared" si="33"/>
        <v>148593.29749999999</v>
      </c>
      <c r="O241" s="26">
        <f t="shared" si="36"/>
        <v>13467</v>
      </c>
      <c r="P241" s="26">
        <f t="shared" si="28"/>
        <v>150053.47980492256</v>
      </c>
      <c r="Q241" s="26">
        <f t="shared" si="34"/>
        <v>127639.250225</v>
      </c>
      <c r="W241" s="23">
        <v>42617</v>
      </c>
      <c r="X241" s="32">
        <v>8367</v>
      </c>
    </row>
    <row r="242" spans="1:24" s="28" customFormat="1" ht="15" customHeight="1" x14ac:dyDescent="0.25">
      <c r="A242" s="23">
        <v>42766</v>
      </c>
      <c r="B242" s="22">
        <f t="shared" si="29"/>
        <v>5</v>
      </c>
      <c r="C242" s="22">
        <f t="shared" si="30"/>
        <v>1</v>
      </c>
      <c r="D242" s="27">
        <v>67.87</v>
      </c>
      <c r="E242" s="24">
        <v>565</v>
      </c>
      <c r="F242" s="25">
        <v>470</v>
      </c>
      <c r="G242" s="25">
        <v>590</v>
      </c>
      <c r="H242" s="25">
        <v>580</v>
      </c>
      <c r="I242" s="25">
        <v>525</v>
      </c>
      <c r="J242" s="25">
        <v>646</v>
      </c>
      <c r="K242" s="26">
        <f t="shared" si="31"/>
        <v>680.33749999999998</v>
      </c>
      <c r="L242" s="26">
        <f t="shared" si="32"/>
        <v>571.32500000000005</v>
      </c>
      <c r="M242" s="26">
        <v>1820</v>
      </c>
      <c r="N242" s="26">
        <f t="shared" si="33"/>
        <v>149189.616125</v>
      </c>
      <c r="O242" s="26">
        <f t="shared" si="36"/>
        <v>13733</v>
      </c>
      <c r="P242" s="26">
        <f t="shared" si="28"/>
        <v>152860.44120879352</v>
      </c>
      <c r="Q242" s="26">
        <f t="shared" si="34"/>
        <v>128290.882115</v>
      </c>
      <c r="W242" s="23">
        <v>42618</v>
      </c>
      <c r="X242" s="32">
        <v>8367</v>
      </c>
    </row>
    <row r="243" spans="1:24" s="28" customFormat="1" ht="15" customHeight="1" x14ac:dyDescent="0.25">
      <c r="A243" s="23">
        <v>42767</v>
      </c>
      <c r="B243" s="22">
        <f t="shared" si="29"/>
        <v>5</v>
      </c>
      <c r="C243" s="22">
        <f t="shared" si="30"/>
        <v>2</v>
      </c>
      <c r="D243" s="27">
        <v>67.48</v>
      </c>
      <c r="E243" s="24">
        <v>565</v>
      </c>
      <c r="F243" s="25">
        <v>470</v>
      </c>
      <c r="G243" s="25">
        <v>590</v>
      </c>
      <c r="H243" s="25">
        <v>580</v>
      </c>
      <c r="I243" s="25">
        <v>525</v>
      </c>
      <c r="J243" s="25">
        <v>646</v>
      </c>
      <c r="K243" s="26">
        <f t="shared" si="31"/>
        <v>680.33749999999998</v>
      </c>
      <c r="L243" s="26">
        <f t="shared" si="32"/>
        <v>571.32500000000005</v>
      </c>
      <c r="M243" s="26">
        <v>1820</v>
      </c>
      <c r="N243" s="26">
        <f t="shared" ref="N243:N245" si="37">(M243+25+45)*D243*(1+12.5%*1.03)+4400</f>
        <v>148357.6145</v>
      </c>
      <c r="O243" s="26">
        <f t="shared" ref="O243:O245" si="38">VLOOKUP(A243,$W$2:$X$502,2,FALSE)</f>
        <v>13600</v>
      </c>
      <c r="P243" s="26">
        <f t="shared" ref="P243:P245" si="39">((0.985*O243*(1+$R$2*0)*(1+$R$3*0+5%)+$R$4*10)*(1+$R$5)*(1+$R$6)+$R$7)*(1+$R$9)*10+$S$8</f>
        <v>151456.96050685804</v>
      </c>
      <c r="Q243" s="26">
        <f t="shared" ref="Q243:Q245" si="40">(M243-300+35)*D243*1.1739+4400</f>
        <v>127578.97046000001</v>
      </c>
      <c r="W243" s="23">
        <v>42619</v>
      </c>
      <c r="X243" s="32">
        <v>8367</v>
      </c>
    </row>
    <row r="244" spans="1:24" s="28" customFormat="1" ht="15" customHeight="1" x14ac:dyDescent="0.25">
      <c r="A244" s="23">
        <v>42768</v>
      </c>
      <c r="B244" s="22">
        <f t="shared" si="29"/>
        <v>5</v>
      </c>
      <c r="C244" s="22">
        <f t="shared" si="30"/>
        <v>2</v>
      </c>
      <c r="D244" s="27">
        <v>67.37</v>
      </c>
      <c r="E244" s="24">
        <v>570</v>
      </c>
      <c r="F244" s="25">
        <v>475</v>
      </c>
      <c r="G244" s="25">
        <v>595</v>
      </c>
      <c r="H244" s="25">
        <v>585</v>
      </c>
      <c r="I244" s="25">
        <v>530</v>
      </c>
      <c r="J244" s="25">
        <v>651</v>
      </c>
      <c r="K244" s="26">
        <f t="shared" si="31"/>
        <v>686.07499999999993</v>
      </c>
      <c r="L244" s="26">
        <f t="shared" si="32"/>
        <v>577.0625</v>
      </c>
      <c r="M244" s="26">
        <v>1820</v>
      </c>
      <c r="N244" s="26">
        <f t="shared" si="37"/>
        <v>148122.94737499999</v>
      </c>
      <c r="O244" s="26">
        <f t="shared" si="38"/>
        <v>13667</v>
      </c>
      <c r="P244" s="26">
        <f t="shared" si="39"/>
        <v>152163.97710106615</v>
      </c>
      <c r="Q244" s="26">
        <f t="shared" si="40"/>
        <v>127378.17486500001</v>
      </c>
      <c r="W244" s="23">
        <v>42620</v>
      </c>
      <c r="X244" s="32">
        <v>8567</v>
      </c>
    </row>
    <row r="245" spans="1:24" s="28" customFormat="1" ht="15" customHeight="1" x14ac:dyDescent="0.25">
      <c r="A245" s="23">
        <v>42769</v>
      </c>
      <c r="B245" s="22">
        <f t="shared" si="29"/>
        <v>5</v>
      </c>
      <c r="C245" s="22">
        <f t="shared" si="30"/>
        <v>2</v>
      </c>
      <c r="D245" s="27">
        <v>67.31</v>
      </c>
      <c r="E245" s="24">
        <v>565</v>
      </c>
      <c r="F245" s="25">
        <v>470</v>
      </c>
      <c r="G245" s="25">
        <v>595</v>
      </c>
      <c r="H245" s="25">
        <v>585</v>
      </c>
      <c r="I245" s="25">
        <v>530</v>
      </c>
      <c r="J245" s="25">
        <v>646</v>
      </c>
      <c r="K245" s="26">
        <f t="shared" si="31"/>
        <v>680.33749999999998</v>
      </c>
      <c r="L245" s="26">
        <f t="shared" si="32"/>
        <v>571.32500000000005</v>
      </c>
      <c r="M245" s="26">
        <v>1800</v>
      </c>
      <c r="N245" s="26">
        <f t="shared" si="37"/>
        <v>146475.42387499998</v>
      </c>
      <c r="O245" s="26">
        <f t="shared" si="38"/>
        <v>13467</v>
      </c>
      <c r="P245" s="26">
        <f t="shared" si="39"/>
        <v>150053.47980492256</v>
      </c>
      <c r="Q245" s="26">
        <f t="shared" si="40"/>
        <v>125688.34581500001</v>
      </c>
      <c r="W245" s="23">
        <v>42621</v>
      </c>
      <c r="X245" s="32">
        <v>8500</v>
      </c>
    </row>
    <row r="246" spans="1:24" s="28" customFormat="1" ht="15" customHeight="1" x14ac:dyDescent="0.25">
      <c r="A246" s="23"/>
      <c r="B246" s="22"/>
      <c r="C246" s="22"/>
      <c r="D246" s="27"/>
      <c r="E246" s="24"/>
      <c r="F246" s="25"/>
      <c r="G246" s="25"/>
      <c r="H246" s="25"/>
      <c r="I246" s="25"/>
      <c r="J246" s="25"/>
      <c r="K246" s="26"/>
      <c r="L246" s="26"/>
      <c r="M246" s="26"/>
      <c r="N246" s="26"/>
      <c r="O246" s="26"/>
      <c r="P246" s="26"/>
      <c r="Q246" s="26"/>
      <c r="W246" s="23"/>
      <c r="X246" s="32"/>
    </row>
    <row r="247" spans="1:24" s="28" customFormat="1" ht="15" customHeight="1" x14ac:dyDescent="0.25">
      <c r="A247" s="23"/>
      <c r="B247" s="22"/>
      <c r="C247" s="22"/>
      <c r="D247" s="27"/>
      <c r="E247" s="24"/>
      <c r="F247" s="25"/>
      <c r="G247" s="25"/>
      <c r="H247" s="25"/>
      <c r="I247" s="25"/>
      <c r="J247" s="25"/>
      <c r="K247" s="26"/>
      <c r="L247" s="26"/>
      <c r="M247" s="26"/>
      <c r="N247" s="26"/>
      <c r="O247" s="26"/>
      <c r="P247" s="26"/>
      <c r="Q247" s="26"/>
      <c r="W247" s="23"/>
      <c r="X247" s="32"/>
    </row>
    <row r="248" spans="1:24" s="28" customFormat="1" ht="15" customHeight="1" x14ac:dyDescent="0.25">
      <c r="A248" s="22" t="s">
        <v>55</v>
      </c>
      <c r="B248" s="18" t="s">
        <v>36</v>
      </c>
      <c r="C248" s="19" t="s">
        <v>35</v>
      </c>
      <c r="D248" s="20" t="s">
        <v>44</v>
      </c>
      <c r="E248" s="19" t="s">
        <v>45</v>
      </c>
      <c r="F248" s="20" t="s">
        <v>46</v>
      </c>
      <c r="G248" s="19" t="s">
        <v>47</v>
      </c>
      <c r="H248" s="19" t="s">
        <v>48</v>
      </c>
      <c r="I248" s="21" t="s">
        <v>49</v>
      </c>
      <c r="J248" s="21" t="s">
        <v>50</v>
      </c>
      <c r="K248" s="19" t="s">
        <v>45</v>
      </c>
      <c r="L248" s="20" t="s">
        <v>46</v>
      </c>
      <c r="M248" s="19" t="s">
        <v>51</v>
      </c>
      <c r="N248" s="22" t="s">
        <v>52</v>
      </c>
      <c r="O248" s="22" t="s">
        <v>53</v>
      </c>
      <c r="P248" s="22" t="s">
        <v>54</v>
      </c>
      <c r="Q248" s="22" t="s">
        <v>71</v>
      </c>
      <c r="W248" s="23">
        <v>42622</v>
      </c>
      <c r="X248" s="32">
        <v>8567</v>
      </c>
    </row>
    <row r="249" spans="1:24" s="28" customFormat="1" ht="15" customHeight="1" x14ac:dyDescent="0.25">
      <c r="A249" s="23">
        <v>42767</v>
      </c>
      <c r="B249" s="22">
        <f t="shared" ref="B249" si="41">WEEKNUM(A249)</f>
        <v>5</v>
      </c>
      <c r="C249" s="22">
        <f t="shared" ref="C249" si="42">MONTH(A249)</f>
        <v>2</v>
      </c>
      <c r="D249" s="27">
        <v>67.48</v>
      </c>
      <c r="E249" s="24">
        <v>565</v>
      </c>
      <c r="F249" s="25">
        <v>470</v>
      </c>
      <c r="G249" s="25">
        <v>590</v>
      </c>
      <c r="H249" s="25">
        <v>580</v>
      </c>
      <c r="I249" s="25">
        <v>525</v>
      </c>
      <c r="J249" s="25">
        <v>646</v>
      </c>
      <c r="K249" s="26">
        <f t="shared" ref="K249" si="43">E249*1.02*1.125+32</f>
        <v>680.33749999999998</v>
      </c>
      <c r="L249" s="26">
        <f t="shared" ref="L249" si="44">F249*1.02*1.125+32</f>
        <v>571.32500000000005</v>
      </c>
      <c r="M249" s="26">
        <v>1820</v>
      </c>
      <c r="N249" s="26">
        <f t="shared" ref="N249" si="45">(M249+25+45)*D249*(1+12.5%*1.03)+4400</f>
        <v>148357.6145</v>
      </c>
      <c r="O249" s="26">
        <f t="shared" ref="O249" si="46">VLOOKUP(A249,$W$2:$X$502,2,FALSE)</f>
        <v>13600</v>
      </c>
      <c r="P249" s="26">
        <f t="shared" ref="P249" si="47">((0.985*O249*(1+$R$2*0)*(1+$R$3*0+5%)+$R$4*10)*(1+$R$5)*(1+$R$6)+$R$7)*(1+$R$9)*10+$S$8</f>
        <v>151456.96050685804</v>
      </c>
      <c r="Q249" s="26">
        <f t="shared" ref="Q249" si="48">(M249-300+35)*D249*1.1739+4400</f>
        <v>127578.97046000001</v>
      </c>
      <c r="W249" s="23">
        <v>42623</v>
      </c>
      <c r="X249" s="32">
        <v>8633</v>
      </c>
    </row>
    <row r="250" spans="1:24" s="28" customFormat="1" ht="15" customHeight="1" x14ac:dyDescent="0.25">
      <c r="A250" s="23">
        <v>42768</v>
      </c>
      <c r="B250" s="22">
        <f t="shared" ref="B250:B287" si="49">WEEKNUM(A250)</f>
        <v>5</v>
      </c>
      <c r="C250" s="22">
        <f t="shared" ref="C250:C287" si="50">MONTH(A250)</f>
        <v>2</v>
      </c>
      <c r="D250" s="27">
        <v>67.37</v>
      </c>
      <c r="E250" s="24">
        <v>570</v>
      </c>
      <c r="F250" s="25">
        <v>475</v>
      </c>
      <c r="G250" s="25">
        <v>595</v>
      </c>
      <c r="H250" s="25">
        <v>585</v>
      </c>
      <c r="I250" s="25">
        <v>530</v>
      </c>
      <c r="J250" s="25">
        <v>651</v>
      </c>
      <c r="K250" s="26">
        <f t="shared" ref="K250:K287" si="51">E250*1.02*1.125+32</f>
        <v>686.07499999999993</v>
      </c>
      <c r="L250" s="26">
        <f t="shared" ref="L250:L287" si="52">F250*1.02*1.125+32</f>
        <v>577.0625</v>
      </c>
      <c r="M250" s="26">
        <v>1820</v>
      </c>
      <c r="N250" s="26">
        <f t="shared" ref="N250:N287" si="53">(M250+25+45)*D250*(1+12.5%*1.03)+4400</f>
        <v>148122.94737499999</v>
      </c>
      <c r="O250" s="26">
        <f t="shared" ref="O250:O287" si="54">VLOOKUP(A250,$W$2:$X$502,2,FALSE)</f>
        <v>13667</v>
      </c>
      <c r="P250" s="26">
        <f t="shared" ref="P250:P287" si="55">((0.985*O250*(1+$R$2*0)*(1+$R$3*0+5%)+$R$4*10)*(1+$R$5)*(1+$R$6)+$R$7)*(1+$R$9)*10+$S$8</f>
        <v>152163.97710106615</v>
      </c>
      <c r="Q250" s="26">
        <f t="shared" ref="Q250:Q287" si="56">(M250-300+35)*D250*1.1739+4400</f>
        <v>127378.17486500001</v>
      </c>
      <c r="W250" s="23">
        <v>42624</v>
      </c>
      <c r="X250" s="32">
        <v>8633</v>
      </c>
    </row>
    <row r="251" spans="1:24" s="28" customFormat="1" ht="15" customHeight="1" x14ac:dyDescent="0.25">
      <c r="A251" s="23">
        <v>42769</v>
      </c>
      <c r="B251" s="22">
        <f t="shared" si="49"/>
        <v>5</v>
      </c>
      <c r="C251" s="22">
        <f t="shared" si="50"/>
        <v>2</v>
      </c>
      <c r="D251" s="27">
        <v>67.31</v>
      </c>
      <c r="E251" s="24">
        <v>565</v>
      </c>
      <c r="F251" s="25">
        <v>470</v>
      </c>
      <c r="G251" s="25">
        <v>595</v>
      </c>
      <c r="H251" s="25">
        <v>585</v>
      </c>
      <c r="I251" s="25">
        <v>530</v>
      </c>
      <c r="J251" s="25">
        <v>646</v>
      </c>
      <c r="K251" s="26">
        <f t="shared" si="51"/>
        <v>680.33749999999998</v>
      </c>
      <c r="L251" s="26">
        <f t="shared" si="52"/>
        <v>571.32500000000005</v>
      </c>
      <c r="M251" s="26">
        <v>1800</v>
      </c>
      <c r="N251" s="26">
        <f t="shared" si="53"/>
        <v>146475.42387499998</v>
      </c>
      <c r="O251" s="26">
        <f t="shared" si="54"/>
        <v>13467</v>
      </c>
      <c r="P251" s="26">
        <f t="shared" si="55"/>
        <v>150053.47980492256</v>
      </c>
      <c r="Q251" s="26">
        <f t="shared" si="56"/>
        <v>125688.34581500001</v>
      </c>
      <c r="W251" s="23">
        <v>42625</v>
      </c>
      <c r="X251" s="32">
        <v>8733</v>
      </c>
    </row>
    <row r="252" spans="1:24" s="28" customFormat="1" ht="15" customHeight="1" x14ac:dyDescent="0.25">
      <c r="A252" s="23">
        <v>42772</v>
      </c>
      <c r="B252" s="22">
        <f t="shared" si="49"/>
        <v>6</v>
      </c>
      <c r="C252" s="22">
        <f t="shared" si="50"/>
        <v>2</v>
      </c>
      <c r="D252" s="27">
        <v>67.22</v>
      </c>
      <c r="E252" s="24">
        <v>560</v>
      </c>
      <c r="F252" s="25">
        <v>470</v>
      </c>
      <c r="G252" s="25">
        <v>590</v>
      </c>
      <c r="H252" s="25">
        <v>580</v>
      </c>
      <c r="I252" s="25">
        <v>525</v>
      </c>
      <c r="J252" s="25">
        <v>646</v>
      </c>
      <c r="K252" s="26">
        <f t="shared" si="51"/>
        <v>674.6</v>
      </c>
      <c r="L252" s="26">
        <f t="shared" si="52"/>
        <v>571.32500000000005</v>
      </c>
      <c r="M252" s="26">
        <v>1780</v>
      </c>
      <c r="N252" s="26">
        <f t="shared" si="53"/>
        <v>144767.96375</v>
      </c>
      <c r="O252" s="26">
        <f t="shared" si="54"/>
        <v>12667</v>
      </c>
      <c r="P252" s="26">
        <f t="shared" si="55"/>
        <v>141611.49062034834</v>
      </c>
      <c r="Q252" s="26">
        <f t="shared" si="56"/>
        <v>123947.98037</v>
      </c>
      <c r="W252" s="23">
        <v>42626</v>
      </c>
      <c r="X252" s="32">
        <v>8733</v>
      </c>
    </row>
    <row r="253" spans="1:24" s="28" customFormat="1" ht="15" customHeight="1" x14ac:dyDescent="0.25">
      <c r="A253" s="23">
        <v>42773</v>
      </c>
      <c r="B253" s="22">
        <f t="shared" si="49"/>
        <v>6</v>
      </c>
      <c r="C253" s="22">
        <f t="shared" si="50"/>
        <v>2</v>
      </c>
      <c r="D253" s="27">
        <v>67.41</v>
      </c>
      <c r="E253" s="24">
        <v>560</v>
      </c>
      <c r="F253" s="25">
        <v>470</v>
      </c>
      <c r="G253" s="25">
        <v>590</v>
      </c>
      <c r="H253" s="25">
        <v>580</v>
      </c>
      <c r="I253" s="25">
        <v>525</v>
      </c>
      <c r="J253" s="25">
        <v>646</v>
      </c>
      <c r="K253" s="26">
        <f t="shared" si="51"/>
        <v>674.6</v>
      </c>
      <c r="L253" s="26">
        <f t="shared" si="52"/>
        <v>571.32500000000005</v>
      </c>
      <c r="M253" s="26">
        <v>1790</v>
      </c>
      <c r="N253" s="26">
        <f t="shared" si="53"/>
        <v>145925.60974999997</v>
      </c>
      <c r="O253" s="26">
        <f t="shared" si="54"/>
        <v>12667</v>
      </c>
      <c r="P253" s="26">
        <f t="shared" si="55"/>
        <v>141611.49062034834</v>
      </c>
      <c r="Q253" s="26">
        <f t="shared" si="56"/>
        <v>125077.213475</v>
      </c>
      <c r="W253" s="23">
        <v>42627</v>
      </c>
      <c r="X253" s="32">
        <v>8900</v>
      </c>
    </row>
    <row r="254" spans="1:24" s="28" customFormat="1" ht="15" customHeight="1" x14ac:dyDescent="0.25">
      <c r="A254" s="23">
        <v>42774</v>
      </c>
      <c r="B254" s="22">
        <f t="shared" si="49"/>
        <v>6</v>
      </c>
      <c r="C254" s="22">
        <f t="shared" si="50"/>
        <v>2</v>
      </c>
      <c r="D254" s="27">
        <v>67.19</v>
      </c>
      <c r="E254" s="24">
        <v>545</v>
      </c>
      <c r="F254" s="25">
        <v>475</v>
      </c>
      <c r="G254" s="25">
        <v>590</v>
      </c>
      <c r="H254" s="25">
        <v>580</v>
      </c>
      <c r="I254" s="25">
        <v>525</v>
      </c>
      <c r="J254" s="25">
        <v>651</v>
      </c>
      <c r="K254" s="26">
        <f t="shared" si="51"/>
        <v>657.38749999999993</v>
      </c>
      <c r="L254" s="26">
        <f t="shared" si="52"/>
        <v>577.0625</v>
      </c>
      <c r="M254" s="26">
        <v>1790</v>
      </c>
      <c r="N254" s="26">
        <f t="shared" si="53"/>
        <v>145463.72524999999</v>
      </c>
      <c r="O254" s="26">
        <f t="shared" si="54"/>
        <v>12800</v>
      </c>
      <c r="P254" s="26">
        <f t="shared" si="55"/>
        <v>143014.97132228379</v>
      </c>
      <c r="Q254" s="26">
        <f t="shared" si="56"/>
        <v>124683.370025</v>
      </c>
      <c r="W254" s="23">
        <v>42628</v>
      </c>
      <c r="X254" s="32">
        <v>9233</v>
      </c>
    </row>
    <row r="255" spans="1:24" s="28" customFormat="1" ht="15" customHeight="1" x14ac:dyDescent="0.25">
      <c r="A255" s="23">
        <v>42775</v>
      </c>
      <c r="B255" s="22">
        <f t="shared" si="49"/>
        <v>6</v>
      </c>
      <c r="C255" s="22">
        <f t="shared" si="50"/>
        <v>2</v>
      </c>
      <c r="D255" s="27">
        <v>66.930000000000007</v>
      </c>
      <c r="E255" s="24">
        <v>550</v>
      </c>
      <c r="F255" s="25">
        <v>485</v>
      </c>
      <c r="G255" s="25">
        <v>590</v>
      </c>
      <c r="H255" s="25">
        <v>580</v>
      </c>
      <c r="I255" s="25">
        <v>525</v>
      </c>
      <c r="J255" s="25">
        <v>651</v>
      </c>
      <c r="K255" s="26">
        <f t="shared" si="51"/>
        <v>663.125</v>
      </c>
      <c r="L255" s="26">
        <f t="shared" si="52"/>
        <v>588.53750000000002</v>
      </c>
      <c r="M255" s="26">
        <v>1790</v>
      </c>
      <c r="N255" s="26">
        <f t="shared" si="53"/>
        <v>144917.86175000001</v>
      </c>
      <c r="O255" s="26">
        <f t="shared" si="54"/>
        <v>12800</v>
      </c>
      <c r="P255" s="26">
        <f t="shared" si="55"/>
        <v>143014.97132228379</v>
      </c>
      <c r="Q255" s="26">
        <f t="shared" si="56"/>
        <v>124217.91867500001</v>
      </c>
      <c r="W255" s="23">
        <v>42629</v>
      </c>
      <c r="X255" s="32">
        <v>9067</v>
      </c>
    </row>
    <row r="256" spans="1:24" s="28" customFormat="1" ht="15" customHeight="1" x14ac:dyDescent="0.25">
      <c r="A256" s="23">
        <v>42776</v>
      </c>
      <c r="B256" s="22">
        <f t="shared" si="49"/>
        <v>6</v>
      </c>
      <c r="C256" s="22">
        <f t="shared" si="50"/>
        <v>2</v>
      </c>
      <c r="D256" s="27">
        <v>66.89</v>
      </c>
      <c r="E256" s="24">
        <v>545</v>
      </c>
      <c r="F256" s="25">
        <v>475</v>
      </c>
      <c r="G256" s="25">
        <v>590</v>
      </c>
      <c r="H256" s="25">
        <v>580</v>
      </c>
      <c r="I256" s="25">
        <v>525</v>
      </c>
      <c r="J256" s="25">
        <v>646</v>
      </c>
      <c r="K256" s="26">
        <f t="shared" si="51"/>
        <v>657.38749999999993</v>
      </c>
      <c r="L256" s="26">
        <f t="shared" si="52"/>
        <v>577.0625</v>
      </c>
      <c r="M256" s="26">
        <v>1790</v>
      </c>
      <c r="N256" s="26">
        <f t="shared" si="53"/>
        <v>144833.88274999999</v>
      </c>
      <c r="O256" s="26">
        <f t="shared" si="54"/>
        <v>12533</v>
      </c>
      <c r="P256" s="26">
        <f t="shared" si="55"/>
        <v>140197.45743193215</v>
      </c>
      <c r="Q256" s="26">
        <f t="shared" si="56"/>
        <v>124146.31077499999</v>
      </c>
      <c r="W256" s="23">
        <v>42630</v>
      </c>
      <c r="X256" s="32">
        <v>8967</v>
      </c>
    </row>
    <row r="257" spans="1:24" s="28" customFormat="1" ht="15" customHeight="1" x14ac:dyDescent="0.25">
      <c r="A257" s="23">
        <v>42779</v>
      </c>
      <c r="B257" s="22">
        <f t="shared" si="49"/>
        <v>7</v>
      </c>
      <c r="C257" s="22">
        <f t="shared" si="50"/>
        <v>2</v>
      </c>
      <c r="D257" s="27">
        <v>67</v>
      </c>
      <c r="E257" s="24">
        <v>545</v>
      </c>
      <c r="F257" s="25">
        <v>472</v>
      </c>
      <c r="G257" s="25">
        <v>590</v>
      </c>
      <c r="H257" s="25">
        <v>580</v>
      </c>
      <c r="I257" s="25">
        <v>525</v>
      </c>
      <c r="J257" s="25">
        <v>641</v>
      </c>
      <c r="K257" s="26">
        <f t="shared" si="51"/>
        <v>657.38749999999993</v>
      </c>
      <c r="L257" s="26">
        <f t="shared" si="52"/>
        <v>573.62</v>
      </c>
      <c r="M257" s="26">
        <v>1685</v>
      </c>
      <c r="N257" s="26">
        <f t="shared" si="53"/>
        <v>137124.06874999998</v>
      </c>
      <c r="O257" s="26">
        <f t="shared" si="54"/>
        <v>11867</v>
      </c>
      <c r="P257" s="26">
        <f t="shared" si="55"/>
        <v>133169.50143577409</v>
      </c>
      <c r="Q257" s="26">
        <f t="shared" si="56"/>
        <v>116084.84599999999</v>
      </c>
      <c r="W257" s="23">
        <v>42631</v>
      </c>
      <c r="X257" s="32">
        <v>8967</v>
      </c>
    </row>
    <row r="258" spans="1:24" s="28" customFormat="1" ht="15" customHeight="1" x14ac:dyDescent="0.25">
      <c r="A258" s="23">
        <v>42780</v>
      </c>
      <c r="B258" s="22">
        <f t="shared" si="49"/>
        <v>7</v>
      </c>
      <c r="C258" s="22">
        <f t="shared" si="50"/>
        <v>2</v>
      </c>
      <c r="D258" s="27">
        <v>68.930000000000007</v>
      </c>
      <c r="E258" s="24">
        <v>545</v>
      </c>
      <c r="F258" s="25">
        <v>472</v>
      </c>
      <c r="G258" s="25">
        <v>590</v>
      </c>
      <c r="H258" s="25">
        <v>580</v>
      </c>
      <c r="I258" s="25">
        <v>525</v>
      </c>
      <c r="J258" s="25">
        <v>641</v>
      </c>
      <c r="K258" s="26">
        <f t="shared" si="51"/>
        <v>657.38749999999993</v>
      </c>
      <c r="L258" s="26">
        <f t="shared" si="52"/>
        <v>573.62</v>
      </c>
      <c r="M258" s="26">
        <v>1650</v>
      </c>
      <c r="N258" s="26">
        <f t="shared" si="53"/>
        <v>138224.14850000001</v>
      </c>
      <c r="O258" s="26">
        <f t="shared" si="54"/>
        <v>11867</v>
      </c>
      <c r="P258" s="26">
        <f t="shared" si="55"/>
        <v>133169.50143577409</v>
      </c>
      <c r="Q258" s="26">
        <f t="shared" si="56"/>
        <v>116469.943895</v>
      </c>
      <c r="W258" s="23">
        <v>42632</v>
      </c>
      <c r="X258" s="32">
        <v>9000</v>
      </c>
    </row>
    <row r="259" spans="1:24" s="28" customFormat="1" ht="15" customHeight="1" x14ac:dyDescent="0.25">
      <c r="A259" s="23">
        <v>42781</v>
      </c>
      <c r="B259" s="22">
        <f t="shared" si="49"/>
        <v>7</v>
      </c>
      <c r="C259" s="22">
        <f t="shared" si="50"/>
        <v>2</v>
      </c>
      <c r="D259" s="27">
        <v>66.91</v>
      </c>
      <c r="E259" s="24">
        <v>545</v>
      </c>
      <c r="F259" s="25">
        <v>475</v>
      </c>
      <c r="G259" s="25">
        <v>585</v>
      </c>
      <c r="H259" s="25">
        <v>585</v>
      </c>
      <c r="I259" s="25">
        <v>525</v>
      </c>
      <c r="J259" s="25">
        <v>646</v>
      </c>
      <c r="K259" s="26">
        <f t="shared" si="51"/>
        <v>657.38749999999993</v>
      </c>
      <c r="L259" s="26">
        <f t="shared" si="52"/>
        <v>577.0625</v>
      </c>
      <c r="M259" s="26">
        <v>1650</v>
      </c>
      <c r="N259" s="26">
        <f t="shared" si="53"/>
        <v>134302.41949999999</v>
      </c>
      <c r="O259" s="26">
        <f t="shared" si="54"/>
        <v>12067</v>
      </c>
      <c r="P259" s="26">
        <f t="shared" si="55"/>
        <v>135279.99873191764</v>
      </c>
      <c r="Q259" s="26">
        <f t="shared" si="56"/>
        <v>113185.72386499998</v>
      </c>
      <c r="W259" s="23">
        <v>42633</v>
      </c>
      <c r="X259" s="32">
        <v>9033</v>
      </c>
    </row>
    <row r="260" spans="1:24" s="28" customFormat="1" ht="15" customHeight="1" x14ac:dyDescent="0.25">
      <c r="A260" s="23">
        <v>42782</v>
      </c>
      <c r="B260" s="22">
        <f t="shared" si="49"/>
        <v>7</v>
      </c>
      <c r="C260" s="22">
        <f t="shared" si="50"/>
        <v>2</v>
      </c>
      <c r="D260" s="27">
        <v>67.08</v>
      </c>
      <c r="E260" s="24">
        <v>545</v>
      </c>
      <c r="F260" s="25">
        <v>471</v>
      </c>
      <c r="G260" s="25">
        <v>580</v>
      </c>
      <c r="H260" s="25">
        <v>580</v>
      </c>
      <c r="I260" s="25">
        <v>520</v>
      </c>
      <c r="J260" s="25">
        <v>641</v>
      </c>
      <c r="K260" s="26">
        <f t="shared" si="51"/>
        <v>657.38749999999993</v>
      </c>
      <c r="L260" s="26">
        <f t="shared" si="52"/>
        <v>572.47249999999997</v>
      </c>
      <c r="M260" s="26">
        <v>1640</v>
      </c>
      <c r="N260" s="26">
        <f t="shared" si="53"/>
        <v>133875.30050000001</v>
      </c>
      <c r="O260" s="26">
        <f t="shared" si="54"/>
        <v>12533</v>
      </c>
      <c r="P260" s="26">
        <f t="shared" si="55"/>
        <v>140197.45743193215</v>
      </c>
      <c r="Q260" s="26">
        <f t="shared" si="56"/>
        <v>112674.66649999999</v>
      </c>
      <c r="W260" s="23">
        <v>42634</v>
      </c>
      <c r="X260" s="32">
        <v>9233</v>
      </c>
    </row>
    <row r="261" spans="1:24" s="28" customFormat="1" ht="15" customHeight="1" x14ac:dyDescent="0.25">
      <c r="A261" s="23">
        <v>42783</v>
      </c>
      <c r="B261" s="22">
        <f t="shared" si="49"/>
        <v>7</v>
      </c>
      <c r="C261" s="22">
        <f t="shared" si="50"/>
        <v>2</v>
      </c>
      <c r="D261" s="27">
        <v>67</v>
      </c>
      <c r="E261" s="24">
        <v>545</v>
      </c>
      <c r="F261" s="25">
        <v>470</v>
      </c>
      <c r="G261" s="25">
        <v>575</v>
      </c>
      <c r="H261" s="25">
        <v>580</v>
      </c>
      <c r="I261" s="25">
        <v>520</v>
      </c>
      <c r="J261" s="25">
        <v>636</v>
      </c>
      <c r="K261" s="26">
        <f t="shared" si="51"/>
        <v>657.38749999999993</v>
      </c>
      <c r="L261" s="26">
        <f t="shared" si="52"/>
        <v>571.32500000000005</v>
      </c>
      <c r="M261" s="26">
        <v>1610</v>
      </c>
      <c r="N261" s="26">
        <f t="shared" si="53"/>
        <v>131452.09999999998</v>
      </c>
      <c r="O261" s="26">
        <f t="shared" si="54"/>
        <v>12133</v>
      </c>
      <c r="P261" s="26">
        <f t="shared" si="55"/>
        <v>135976.46283964501</v>
      </c>
      <c r="Q261" s="26">
        <f t="shared" si="56"/>
        <v>110185.9985</v>
      </c>
      <c r="W261" s="23">
        <v>42635</v>
      </c>
      <c r="X261" s="32">
        <v>9433</v>
      </c>
    </row>
    <row r="262" spans="1:24" s="28" customFormat="1" ht="15" customHeight="1" x14ac:dyDescent="0.25">
      <c r="A262" s="23">
        <v>42786</v>
      </c>
      <c r="B262" s="22">
        <f t="shared" si="49"/>
        <v>8</v>
      </c>
      <c r="C262" s="22">
        <f t="shared" si="50"/>
        <v>2</v>
      </c>
      <c r="D262" s="27">
        <v>66.930000000000007</v>
      </c>
      <c r="E262" s="24">
        <v>545</v>
      </c>
      <c r="F262" s="25">
        <v>472</v>
      </c>
      <c r="G262" s="25">
        <v>575</v>
      </c>
      <c r="H262" s="25">
        <v>580</v>
      </c>
      <c r="I262" s="25">
        <v>520</v>
      </c>
      <c r="J262" s="25">
        <v>631</v>
      </c>
      <c r="K262" s="26">
        <f t="shared" si="51"/>
        <v>657.38749999999993</v>
      </c>
      <c r="L262" s="26">
        <f t="shared" si="52"/>
        <v>573.62</v>
      </c>
      <c r="M262" s="26">
        <v>1600</v>
      </c>
      <c r="N262" s="26">
        <f t="shared" si="53"/>
        <v>130563.886625</v>
      </c>
      <c r="O262" s="26">
        <f t="shared" si="54"/>
        <v>11667</v>
      </c>
      <c r="P262" s="26">
        <f t="shared" si="55"/>
        <v>131059.00413963053</v>
      </c>
      <c r="Q262" s="26">
        <f t="shared" si="56"/>
        <v>109289.784545</v>
      </c>
      <c r="W262" s="23">
        <v>42636</v>
      </c>
      <c r="X262" s="32">
        <v>9233</v>
      </c>
    </row>
    <row r="263" spans="1:24" s="28" customFormat="1" ht="15" customHeight="1" x14ac:dyDescent="0.25">
      <c r="A263" s="23">
        <v>42787</v>
      </c>
      <c r="B263" s="22">
        <f t="shared" si="49"/>
        <v>8</v>
      </c>
      <c r="C263" s="22">
        <f t="shared" si="50"/>
        <v>2</v>
      </c>
      <c r="D263" s="27">
        <v>66.900000000000006</v>
      </c>
      <c r="E263" s="24">
        <v>545</v>
      </c>
      <c r="F263" s="25">
        <v>465</v>
      </c>
      <c r="G263" s="25">
        <v>565</v>
      </c>
      <c r="H263" s="25">
        <v>565</v>
      </c>
      <c r="I263" s="25">
        <v>520</v>
      </c>
      <c r="J263" s="25">
        <v>636</v>
      </c>
      <c r="K263" s="26">
        <f t="shared" si="51"/>
        <v>657.38749999999993</v>
      </c>
      <c r="L263" s="26">
        <f t="shared" si="52"/>
        <v>565.58749999999998</v>
      </c>
      <c r="M263" s="26">
        <v>1490</v>
      </c>
      <c r="N263" s="26">
        <f t="shared" si="53"/>
        <v>122200.86500000001</v>
      </c>
      <c r="O263" s="26">
        <f t="shared" si="54"/>
        <v>11533</v>
      </c>
      <c r="P263" s="26">
        <f t="shared" si="55"/>
        <v>129644.97095121435</v>
      </c>
      <c r="Q263" s="26">
        <f t="shared" si="56"/>
        <v>100604.03975</v>
      </c>
      <c r="W263" s="23">
        <v>42637</v>
      </c>
      <c r="X263" s="32">
        <v>9200</v>
      </c>
    </row>
    <row r="264" spans="1:24" s="28" customFormat="1" ht="15" customHeight="1" x14ac:dyDescent="0.25">
      <c r="A264" s="23">
        <v>42788</v>
      </c>
      <c r="B264" s="22">
        <f t="shared" si="49"/>
        <v>8</v>
      </c>
      <c r="C264" s="22">
        <f t="shared" si="50"/>
        <v>2</v>
      </c>
      <c r="D264" s="27">
        <v>66.98</v>
      </c>
      <c r="E264" s="24">
        <v>540</v>
      </c>
      <c r="F264" s="25">
        <v>463</v>
      </c>
      <c r="G264" s="25">
        <v>565</v>
      </c>
      <c r="H264" s="25">
        <v>565</v>
      </c>
      <c r="I264" s="25">
        <v>520</v>
      </c>
      <c r="J264" s="25">
        <v>621</v>
      </c>
      <c r="K264" s="26">
        <f t="shared" si="51"/>
        <v>651.65</v>
      </c>
      <c r="L264" s="26">
        <f t="shared" si="52"/>
        <v>563.29250000000002</v>
      </c>
      <c r="M264" s="26">
        <v>1490</v>
      </c>
      <c r="N264" s="26">
        <f t="shared" si="53"/>
        <v>122341.73299999999</v>
      </c>
      <c r="O264" s="26">
        <f t="shared" si="54"/>
        <v>11400</v>
      </c>
      <c r="P264" s="26">
        <f t="shared" si="55"/>
        <v>128241.49024927887</v>
      </c>
      <c r="Q264" s="26">
        <f t="shared" si="56"/>
        <v>100719.08194999999</v>
      </c>
      <c r="W264" s="23">
        <v>42638</v>
      </c>
      <c r="X264" s="32">
        <v>9200</v>
      </c>
    </row>
    <row r="265" spans="1:24" s="28" customFormat="1" ht="15" customHeight="1" x14ac:dyDescent="0.25">
      <c r="A265" s="23">
        <v>42789</v>
      </c>
      <c r="B265" s="22">
        <f t="shared" si="49"/>
        <v>8</v>
      </c>
      <c r="C265" s="22">
        <f t="shared" si="50"/>
        <v>2</v>
      </c>
      <c r="D265" s="27">
        <v>66.83</v>
      </c>
      <c r="E265" s="24">
        <v>535</v>
      </c>
      <c r="F265" s="25">
        <v>461</v>
      </c>
      <c r="G265" s="25">
        <v>560</v>
      </c>
      <c r="H265" s="25">
        <v>560</v>
      </c>
      <c r="I265" s="25">
        <v>520</v>
      </c>
      <c r="J265" s="25">
        <v>615</v>
      </c>
      <c r="K265" s="26">
        <f t="shared" si="51"/>
        <v>645.91250000000002</v>
      </c>
      <c r="L265" s="26">
        <f t="shared" si="52"/>
        <v>560.99750000000006</v>
      </c>
      <c r="M265" s="26">
        <v>1480</v>
      </c>
      <c r="N265" s="26">
        <f t="shared" si="53"/>
        <v>121323.261875</v>
      </c>
      <c r="O265" s="26">
        <f t="shared" si="54"/>
        <v>11733</v>
      </c>
      <c r="P265" s="26">
        <f t="shared" si="55"/>
        <v>131755.46824735793</v>
      </c>
      <c r="Q265" s="26">
        <f t="shared" si="56"/>
        <v>99718.860454999987</v>
      </c>
      <c r="W265" s="23">
        <v>42639</v>
      </c>
      <c r="X265" s="32">
        <v>9133</v>
      </c>
    </row>
    <row r="266" spans="1:24" s="28" customFormat="1" ht="15" customHeight="1" x14ac:dyDescent="0.25">
      <c r="A266" s="23">
        <v>42790</v>
      </c>
      <c r="B266" s="22">
        <f t="shared" si="49"/>
        <v>8</v>
      </c>
      <c r="C266" s="22">
        <f t="shared" si="50"/>
        <v>2</v>
      </c>
      <c r="D266" s="27">
        <v>66.83</v>
      </c>
      <c r="E266" s="24">
        <v>540</v>
      </c>
      <c r="F266" s="25">
        <v>457</v>
      </c>
      <c r="G266" s="25">
        <v>560</v>
      </c>
      <c r="H266" s="25">
        <v>560</v>
      </c>
      <c r="I266" s="25">
        <v>515</v>
      </c>
      <c r="J266" s="25">
        <v>611</v>
      </c>
      <c r="K266" s="26">
        <f t="shared" si="51"/>
        <v>651.65</v>
      </c>
      <c r="L266" s="26">
        <f t="shared" si="52"/>
        <v>556.40750000000003</v>
      </c>
      <c r="M266" s="26">
        <v>1480</v>
      </c>
      <c r="N266" s="26">
        <f t="shared" si="53"/>
        <v>121323.261875</v>
      </c>
      <c r="O266" s="26">
        <f t="shared" si="54"/>
        <v>11400</v>
      </c>
      <c r="P266" s="26">
        <f t="shared" si="55"/>
        <v>128241.49024927887</v>
      </c>
      <c r="Q266" s="26">
        <f t="shared" si="56"/>
        <v>99718.860454999987</v>
      </c>
      <c r="W266" s="23">
        <v>42640</v>
      </c>
      <c r="X266" s="32">
        <v>9067</v>
      </c>
    </row>
    <row r="267" spans="1:24" s="28" customFormat="1" ht="15" customHeight="1" x14ac:dyDescent="0.25">
      <c r="A267" s="23">
        <v>42793</v>
      </c>
      <c r="B267" s="22">
        <f t="shared" si="49"/>
        <v>9</v>
      </c>
      <c r="C267" s="22">
        <f t="shared" si="50"/>
        <v>2</v>
      </c>
      <c r="D267" s="27">
        <v>66.7</v>
      </c>
      <c r="E267" s="24">
        <v>535</v>
      </c>
      <c r="F267" s="25">
        <v>455</v>
      </c>
      <c r="G267" s="25">
        <v>558</v>
      </c>
      <c r="H267" s="25">
        <v>558</v>
      </c>
      <c r="I267" s="25">
        <v>510</v>
      </c>
      <c r="J267" s="25">
        <v>605</v>
      </c>
      <c r="K267" s="26">
        <f t="shared" si="51"/>
        <v>645.91250000000002</v>
      </c>
      <c r="L267" s="26">
        <f t="shared" si="52"/>
        <v>554.11250000000007</v>
      </c>
      <c r="M267" s="26">
        <v>1460</v>
      </c>
      <c r="N267" s="26">
        <f t="shared" si="53"/>
        <v>119590.06624999999</v>
      </c>
      <c r="O267" s="26">
        <f t="shared" si="54"/>
        <v>11600</v>
      </c>
      <c r="P267" s="26">
        <f t="shared" si="55"/>
        <v>130351.98754542244</v>
      </c>
      <c r="Q267" s="26">
        <f t="shared" si="56"/>
        <v>97967.460349999994</v>
      </c>
      <c r="W267" s="23">
        <v>42641</v>
      </c>
      <c r="X267" s="32">
        <v>8900</v>
      </c>
    </row>
    <row r="268" spans="1:24" s="28" customFormat="1" ht="15" customHeight="1" x14ac:dyDescent="0.25">
      <c r="A268" s="23">
        <v>42794</v>
      </c>
      <c r="B268" s="22">
        <f t="shared" si="49"/>
        <v>9</v>
      </c>
      <c r="C268" s="22">
        <f t="shared" si="50"/>
        <v>2</v>
      </c>
      <c r="D268" s="27">
        <v>66.69</v>
      </c>
      <c r="E268" s="24">
        <v>530</v>
      </c>
      <c r="F268" s="25">
        <v>457</v>
      </c>
      <c r="G268" s="25">
        <v>553</v>
      </c>
      <c r="H268" s="25">
        <v>553</v>
      </c>
      <c r="I268" s="25">
        <v>510</v>
      </c>
      <c r="J268" s="25">
        <v>605</v>
      </c>
      <c r="K268" s="26">
        <f t="shared" si="51"/>
        <v>640.17500000000007</v>
      </c>
      <c r="L268" s="26">
        <f t="shared" si="52"/>
        <v>556.40750000000003</v>
      </c>
      <c r="M268" s="26">
        <v>1310</v>
      </c>
      <c r="N268" s="26">
        <f t="shared" si="53"/>
        <v>108281.34574999999</v>
      </c>
      <c r="O268" s="26">
        <f t="shared" si="54"/>
        <v>11600</v>
      </c>
      <c r="P268" s="26">
        <f t="shared" si="55"/>
        <v>130351.98754542244</v>
      </c>
      <c r="Q268" s="26">
        <f t="shared" si="56"/>
        <v>86210.323594999994</v>
      </c>
      <c r="W268" s="23">
        <v>42642</v>
      </c>
      <c r="X268" s="32">
        <v>8900</v>
      </c>
    </row>
    <row r="269" spans="1:24" s="28" customFormat="1" ht="15" customHeight="1" x14ac:dyDescent="0.25">
      <c r="A269" s="23">
        <v>42795</v>
      </c>
      <c r="B269" s="22">
        <f t="shared" si="49"/>
        <v>9</v>
      </c>
      <c r="C269" s="22">
        <f t="shared" si="50"/>
        <v>3</v>
      </c>
      <c r="D269" s="27">
        <v>66.81</v>
      </c>
      <c r="E269" s="24">
        <v>520</v>
      </c>
      <c r="F269" s="25">
        <v>455</v>
      </c>
      <c r="G269" s="25">
        <v>550</v>
      </c>
      <c r="H269" s="25">
        <v>550</v>
      </c>
      <c r="I269" s="25">
        <v>510</v>
      </c>
      <c r="J269" s="25">
        <v>610</v>
      </c>
      <c r="K269" s="26">
        <f t="shared" si="51"/>
        <v>628.69999999999993</v>
      </c>
      <c r="L269" s="26">
        <f t="shared" si="52"/>
        <v>554.11250000000007</v>
      </c>
      <c r="M269" s="26">
        <v>1350</v>
      </c>
      <c r="N269" s="26">
        <f t="shared" si="53"/>
        <v>111484.73824999999</v>
      </c>
      <c r="O269" s="26">
        <f t="shared" si="54"/>
        <v>11667</v>
      </c>
      <c r="P269" s="26">
        <f t="shared" si="55"/>
        <v>131059.00413963053</v>
      </c>
      <c r="Q269" s="26">
        <f t="shared" si="56"/>
        <v>89494.661015000005</v>
      </c>
      <c r="W269" s="23">
        <v>42643</v>
      </c>
      <c r="X269" s="32">
        <v>8900</v>
      </c>
    </row>
    <row r="270" spans="1:24" s="28" customFormat="1" ht="15" customHeight="1" x14ac:dyDescent="0.25">
      <c r="A270" s="23">
        <v>42796</v>
      </c>
      <c r="B270" s="22">
        <f t="shared" si="49"/>
        <v>9</v>
      </c>
      <c r="C270" s="22">
        <f t="shared" si="50"/>
        <v>3</v>
      </c>
      <c r="D270" s="27">
        <v>66.7</v>
      </c>
      <c r="E270" s="24">
        <v>525</v>
      </c>
      <c r="F270" s="25">
        <v>460</v>
      </c>
      <c r="G270" s="25">
        <v>550</v>
      </c>
      <c r="H270" s="25">
        <v>550</v>
      </c>
      <c r="I270" s="25">
        <v>510</v>
      </c>
      <c r="J270" s="25">
        <v>615</v>
      </c>
      <c r="K270" s="26">
        <f t="shared" si="51"/>
        <v>634.4375</v>
      </c>
      <c r="L270" s="26">
        <f t="shared" si="52"/>
        <v>559.85</v>
      </c>
      <c r="M270" s="26">
        <v>1380</v>
      </c>
      <c r="N270" s="26">
        <f t="shared" si="53"/>
        <v>113567.05624999999</v>
      </c>
      <c r="O270" s="26">
        <f t="shared" si="54"/>
        <v>11800</v>
      </c>
      <c r="P270" s="26">
        <f t="shared" si="55"/>
        <v>132462.48484156598</v>
      </c>
      <c r="Q270" s="26">
        <f t="shared" si="56"/>
        <v>91703.529949999996</v>
      </c>
      <c r="W270" s="23">
        <v>42644</v>
      </c>
      <c r="X270" s="32">
        <v>8933</v>
      </c>
    </row>
    <row r="271" spans="1:24" s="28" customFormat="1" ht="15" customHeight="1" x14ac:dyDescent="0.25">
      <c r="A271" s="23">
        <v>42797</v>
      </c>
      <c r="B271" s="22">
        <f t="shared" si="49"/>
        <v>9</v>
      </c>
      <c r="C271" s="22">
        <f t="shared" si="50"/>
        <v>3</v>
      </c>
      <c r="D271" s="27">
        <v>66.81</v>
      </c>
      <c r="E271" s="24">
        <v>525</v>
      </c>
      <c r="F271" s="25">
        <v>460</v>
      </c>
      <c r="G271" s="25">
        <v>550</v>
      </c>
      <c r="H271" s="25">
        <v>550</v>
      </c>
      <c r="I271" s="25">
        <v>510</v>
      </c>
      <c r="J271" s="25">
        <v>613</v>
      </c>
      <c r="K271" s="26">
        <f t="shared" si="51"/>
        <v>634.4375</v>
      </c>
      <c r="L271" s="26">
        <f t="shared" si="52"/>
        <v>559.85</v>
      </c>
      <c r="M271" s="26">
        <v>1370</v>
      </c>
      <c r="N271" s="26">
        <f t="shared" si="53"/>
        <v>112992.974</v>
      </c>
      <c r="O271" s="26">
        <f t="shared" si="54"/>
        <v>12000</v>
      </c>
      <c r="P271" s="26">
        <f t="shared" si="55"/>
        <v>134572.98213770956</v>
      </c>
      <c r="Q271" s="26">
        <f t="shared" si="56"/>
        <v>91063.226194999996</v>
      </c>
      <c r="W271" s="23">
        <v>42645</v>
      </c>
      <c r="X271" s="32">
        <v>8933</v>
      </c>
    </row>
    <row r="272" spans="1:24" s="28" customFormat="1" ht="15" customHeight="1" x14ac:dyDescent="0.25">
      <c r="A272" s="23">
        <v>42800</v>
      </c>
      <c r="B272" s="22">
        <f t="shared" si="49"/>
        <v>10</v>
      </c>
      <c r="C272" s="22">
        <f t="shared" si="50"/>
        <v>3</v>
      </c>
      <c r="D272" s="27">
        <v>66.72</v>
      </c>
      <c r="E272" s="24">
        <v>525</v>
      </c>
      <c r="F272" s="25">
        <v>463</v>
      </c>
      <c r="G272" s="25">
        <v>550</v>
      </c>
      <c r="H272" s="25">
        <v>550</v>
      </c>
      <c r="I272" s="25">
        <v>510</v>
      </c>
      <c r="J272" s="25">
        <v>613</v>
      </c>
      <c r="K272" s="26">
        <f t="shared" si="51"/>
        <v>634.4375</v>
      </c>
      <c r="L272" s="26">
        <f t="shared" si="52"/>
        <v>563.29250000000002</v>
      </c>
      <c r="M272" s="26">
        <v>1380</v>
      </c>
      <c r="N272" s="26">
        <f t="shared" si="53"/>
        <v>113599.79</v>
      </c>
      <c r="O272" s="26">
        <f t="shared" si="54"/>
        <v>11867</v>
      </c>
      <c r="P272" s="26">
        <f t="shared" si="55"/>
        <v>133169.50143577409</v>
      </c>
      <c r="Q272" s="26">
        <f t="shared" si="56"/>
        <v>91729.707920000001</v>
      </c>
      <c r="W272" s="23">
        <v>42646</v>
      </c>
      <c r="X272" s="32">
        <v>8967</v>
      </c>
    </row>
    <row r="273" spans="1:24" s="28" customFormat="1" ht="15" customHeight="1" x14ac:dyDescent="0.25">
      <c r="A273" s="23">
        <v>42803</v>
      </c>
      <c r="B273" s="22">
        <f t="shared" si="49"/>
        <v>10</v>
      </c>
      <c r="C273" s="22">
        <f t="shared" si="50"/>
        <v>3</v>
      </c>
      <c r="D273" s="27">
        <v>66.72</v>
      </c>
      <c r="E273" s="24">
        <v>525</v>
      </c>
      <c r="F273" s="25">
        <v>460</v>
      </c>
      <c r="G273" s="25">
        <v>550</v>
      </c>
      <c r="H273" s="25">
        <v>550</v>
      </c>
      <c r="I273" s="25">
        <v>510</v>
      </c>
      <c r="J273" s="25">
        <v>606</v>
      </c>
      <c r="K273" s="26">
        <f t="shared" si="51"/>
        <v>634.4375</v>
      </c>
      <c r="L273" s="26">
        <f t="shared" si="52"/>
        <v>559.85</v>
      </c>
      <c r="M273" s="26">
        <v>1350</v>
      </c>
      <c r="N273" s="26">
        <f t="shared" si="53"/>
        <v>111340.48399999998</v>
      </c>
      <c r="O273" s="26">
        <f t="shared" si="54"/>
        <v>11400</v>
      </c>
      <c r="P273" s="26">
        <f t="shared" si="55"/>
        <v>128241.49024927887</v>
      </c>
      <c r="Q273" s="26">
        <f t="shared" si="56"/>
        <v>89380.029679999992</v>
      </c>
      <c r="W273" s="23">
        <v>42647</v>
      </c>
      <c r="X273" s="32">
        <v>8767</v>
      </c>
    </row>
    <row r="274" spans="1:24" s="28" customFormat="1" ht="15" customHeight="1" x14ac:dyDescent="0.25">
      <c r="A274" s="23">
        <v>42804</v>
      </c>
      <c r="B274" s="22">
        <f t="shared" si="49"/>
        <v>10</v>
      </c>
      <c r="C274" s="22">
        <f t="shared" si="50"/>
        <v>3</v>
      </c>
      <c r="D274" s="27">
        <v>66.569999999999993</v>
      </c>
      <c r="E274" s="24">
        <v>520</v>
      </c>
      <c r="F274" s="25">
        <v>455</v>
      </c>
      <c r="G274" s="25">
        <v>550</v>
      </c>
      <c r="H274" s="25">
        <v>550</v>
      </c>
      <c r="I274" s="25">
        <v>510</v>
      </c>
      <c r="J274" s="25">
        <v>601</v>
      </c>
      <c r="K274" s="26">
        <f t="shared" si="51"/>
        <v>628.69999999999993</v>
      </c>
      <c r="L274" s="26">
        <f t="shared" si="52"/>
        <v>554.11250000000007</v>
      </c>
      <c r="M274" s="26">
        <v>1300</v>
      </c>
      <c r="N274" s="26">
        <f t="shared" si="53"/>
        <v>107343.01587499998</v>
      </c>
      <c r="O274" s="26">
        <f t="shared" si="54"/>
        <v>11267</v>
      </c>
      <c r="P274" s="26">
        <f t="shared" si="55"/>
        <v>126838.00954734339</v>
      </c>
      <c r="Q274" s="26">
        <f t="shared" si="56"/>
        <v>85281.651304999992</v>
      </c>
      <c r="W274" s="23">
        <v>42648</v>
      </c>
      <c r="X274" s="32">
        <v>8767</v>
      </c>
    </row>
    <row r="275" spans="1:24" s="28" customFormat="1" ht="15" customHeight="1" x14ac:dyDescent="0.25">
      <c r="A275" s="23">
        <v>42808</v>
      </c>
      <c r="B275" s="22">
        <f t="shared" si="49"/>
        <v>11</v>
      </c>
      <c r="C275" s="22">
        <f t="shared" si="50"/>
        <v>3</v>
      </c>
      <c r="D275" s="27">
        <v>65.819999999999993</v>
      </c>
      <c r="E275" s="24">
        <v>505</v>
      </c>
      <c r="F275" s="25">
        <v>453</v>
      </c>
      <c r="G275" s="25">
        <v>550</v>
      </c>
      <c r="H275" s="25">
        <v>550</v>
      </c>
      <c r="I275" s="25">
        <v>510</v>
      </c>
      <c r="J275" s="25">
        <v>596</v>
      </c>
      <c r="K275" s="26">
        <f t="shared" si="51"/>
        <v>611.48750000000007</v>
      </c>
      <c r="L275" s="26">
        <f t="shared" si="52"/>
        <v>551.8175</v>
      </c>
      <c r="M275" s="26">
        <v>1300</v>
      </c>
      <c r="N275" s="26">
        <f t="shared" si="53"/>
        <v>106183.22524999999</v>
      </c>
      <c r="O275" s="26">
        <f t="shared" si="54"/>
        <v>11467</v>
      </c>
      <c r="P275" s="26">
        <f t="shared" si="55"/>
        <v>128948.50684348698</v>
      </c>
      <c r="Q275" s="26">
        <f t="shared" si="56"/>
        <v>84370.411429999993</v>
      </c>
      <c r="W275" s="23">
        <v>42649</v>
      </c>
      <c r="X275" s="32">
        <v>8767</v>
      </c>
    </row>
    <row r="276" spans="1:24" s="28" customFormat="1" ht="15" customHeight="1" x14ac:dyDescent="0.25">
      <c r="A276" s="23">
        <v>42809</v>
      </c>
      <c r="B276" s="22">
        <f t="shared" si="49"/>
        <v>11</v>
      </c>
      <c r="C276" s="22">
        <f t="shared" si="50"/>
        <v>3</v>
      </c>
      <c r="D276" s="27">
        <v>65.7</v>
      </c>
      <c r="E276" s="24">
        <v>505</v>
      </c>
      <c r="F276" s="25">
        <v>455</v>
      </c>
      <c r="G276" s="25">
        <v>550</v>
      </c>
      <c r="H276" s="25">
        <v>550</v>
      </c>
      <c r="I276" s="25">
        <v>510</v>
      </c>
      <c r="J276" s="25">
        <v>601</v>
      </c>
      <c r="K276" s="26">
        <f t="shared" si="51"/>
        <v>611.48750000000007</v>
      </c>
      <c r="L276" s="26">
        <f t="shared" si="52"/>
        <v>554.11250000000007</v>
      </c>
      <c r="M276" s="26">
        <v>1260</v>
      </c>
      <c r="N276" s="26">
        <f t="shared" si="53"/>
        <v>103031.30374999999</v>
      </c>
      <c r="O276" s="26">
        <f t="shared" si="54"/>
        <v>11467</v>
      </c>
      <c r="P276" s="26">
        <f t="shared" si="55"/>
        <v>128948.50684348698</v>
      </c>
      <c r="Q276" s="26">
        <f t="shared" si="56"/>
        <v>81139.60385</v>
      </c>
      <c r="W276" s="23">
        <v>42650</v>
      </c>
      <c r="X276" s="32">
        <v>8767</v>
      </c>
    </row>
    <row r="277" spans="1:24" s="28" customFormat="1" ht="15" customHeight="1" x14ac:dyDescent="0.25">
      <c r="A277" s="23">
        <v>42810</v>
      </c>
      <c r="B277" s="22">
        <f t="shared" si="49"/>
        <v>11</v>
      </c>
      <c r="C277" s="22">
        <f t="shared" si="50"/>
        <v>3</v>
      </c>
      <c r="D277" s="27">
        <v>65.41</v>
      </c>
      <c r="E277" s="24">
        <v>505</v>
      </c>
      <c r="F277" s="25">
        <v>460</v>
      </c>
      <c r="G277" s="25">
        <v>555</v>
      </c>
      <c r="H277" s="25">
        <v>555</v>
      </c>
      <c r="I277" s="25">
        <v>510</v>
      </c>
      <c r="J277" s="25">
        <v>606</v>
      </c>
      <c r="K277" s="26">
        <f t="shared" si="51"/>
        <v>611.48750000000007</v>
      </c>
      <c r="L277" s="26">
        <f t="shared" si="52"/>
        <v>559.85</v>
      </c>
      <c r="M277" s="26">
        <v>1300</v>
      </c>
      <c r="N277" s="26">
        <f t="shared" si="53"/>
        <v>105549.20637499999</v>
      </c>
      <c r="O277" s="26">
        <f t="shared" si="54"/>
        <v>11667</v>
      </c>
      <c r="P277" s="26">
        <f t="shared" si="55"/>
        <v>131059.00413963053</v>
      </c>
      <c r="Q277" s="26">
        <f t="shared" si="56"/>
        <v>83872.266964999988</v>
      </c>
      <c r="W277" s="23">
        <v>42651</v>
      </c>
      <c r="X277" s="32">
        <v>8767</v>
      </c>
    </row>
    <row r="278" spans="1:24" s="28" customFormat="1" ht="15" customHeight="1" x14ac:dyDescent="0.25">
      <c r="A278" s="23">
        <v>42811</v>
      </c>
      <c r="B278" s="22">
        <f t="shared" si="49"/>
        <v>11</v>
      </c>
      <c r="C278" s="22">
        <f t="shared" si="50"/>
        <v>3</v>
      </c>
      <c r="D278" s="27">
        <v>65.48</v>
      </c>
      <c r="E278" s="24">
        <v>505</v>
      </c>
      <c r="F278" s="25">
        <v>460</v>
      </c>
      <c r="G278" s="25">
        <v>550</v>
      </c>
      <c r="H278" s="25">
        <v>555</v>
      </c>
      <c r="I278" s="25">
        <v>510</v>
      </c>
      <c r="J278" s="25">
        <v>611</v>
      </c>
      <c r="K278" s="26">
        <f t="shared" si="51"/>
        <v>611.48750000000007</v>
      </c>
      <c r="L278" s="26">
        <f t="shared" si="52"/>
        <v>559.85</v>
      </c>
      <c r="M278" s="26">
        <v>1300</v>
      </c>
      <c r="N278" s="26">
        <f t="shared" si="53"/>
        <v>105657.4535</v>
      </c>
      <c r="O278" s="26">
        <f t="shared" si="54"/>
        <v>11467</v>
      </c>
      <c r="P278" s="26">
        <f t="shared" si="55"/>
        <v>128948.50684348698</v>
      </c>
      <c r="Q278" s="26">
        <f t="shared" si="56"/>
        <v>83957.316019999998</v>
      </c>
      <c r="W278" s="23">
        <v>42652</v>
      </c>
      <c r="X278" s="32">
        <v>8767</v>
      </c>
    </row>
    <row r="279" spans="1:24" s="28" customFormat="1" ht="15" customHeight="1" x14ac:dyDescent="0.25">
      <c r="A279" s="23">
        <v>42814</v>
      </c>
      <c r="B279" s="22">
        <f t="shared" si="49"/>
        <v>12</v>
      </c>
      <c r="C279" s="22">
        <f t="shared" si="50"/>
        <v>3</v>
      </c>
      <c r="D279" s="27">
        <v>65.36</v>
      </c>
      <c r="E279" s="24">
        <v>505</v>
      </c>
      <c r="F279" s="25">
        <v>465</v>
      </c>
      <c r="G279" s="25">
        <v>550</v>
      </c>
      <c r="H279" s="25">
        <v>560</v>
      </c>
      <c r="I279" s="25">
        <v>515</v>
      </c>
      <c r="J279" s="25">
        <v>611</v>
      </c>
      <c r="K279" s="26">
        <f t="shared" si="51"/>
        <v>611.48750000000007</v>
      </c>
      <c r="L279" s="26">
        <f t="shared" si="52"/>
        <v>565.58749999999998</v>
      </c>
      <c r="M279" s="26">
        <v>1300</v>
      </c>
      <c r="N279" s="26">
        <f t="shared" si="53"/>
        <v>105471.88699999999</v>
      </c>
      <c r="O279" s="26">
        <f t="shared" si="54"/>
        <v>11800</v>
      </c>
      <c r="P279" s="26">
        <f t="shared" si="55"/>
        <v>132462.48484156598</v>
      </c>
      <c r="Q279" s="26">
        <f t="shared" si="56"/>
        <v>83811.517640000005</v>
      </c>
      <c r="W279" s="23">
        <v>42653</v>
      </c>
      <c r="X279" s="32">
        <v>8767</v>
      </c>
    </row>
    <row r="280" spans="1:24" s="28" customFormat="1" ht="15" customHeight="1" x14ac:dyDescent="0.25">
      <c r="A280" s="23">
        <v>42815</v>
      </c>
      <c r="B280" s="22">
        <f t="shared" si="49"/>
        <v>12</v>
      </c>
      <c r="C280" s="22">
        <f t="shared" si="50"/>
        <v>3</v>
      </c>
      <c r="D280" s="27">
        <v>65.28</v>
      </c>
      <c r="E280" s="24">
        <v>505</v>
      </c>
      <c r="F280" s="25">
        <v>465</v>
      </c>
      <c r="G280" s="25">
        <v>560</v>
      </c>
      <c r="H280" s="25">
        <v>555</v>
      </c>
      <c r="I280" s="25">
        <v>515</v>
      </c>
      <c r="J280" s="25">
        <v>616</v>
      </c>
      <c r="K280" s="26">
        <f t="shared" si="51"/>
        <v>611.48750000000007</v>
      </c>
      <c r="L280" s="26">
        <f t="shared" si="52"/>
        <v>565.58749999999998</v>
      </c>
      <c r="M280" s="26">
        <v>1300</v>
      </c>
      <c r="N280" s="26">
        <f t="shared" si="53"/>
        <v>105348.17599999999</v>
      </c>
      <c r="O280" s="26">
        <f t="shared" si="54"/>
        <v>11933</v>
      </c>
      <c r="P280" s="26">
        <f t="shared" si="55"/>
        <v>133865.96554350143</v>
      </c>
      <c r="Q280" s="26">
        <f t="shared" si="56"/>
        <v>83714.318719999996</v>
      </c>
      <c r="W280" s="23">
        <v>42654</v>
      </c>
      <c r="X280" s="32">
        <v>8767</v>
      </c>
    </row>
    <row r="281" spans="1:24" s="28" customFormat="1" ht="15" customHeight="1" x14ac:dyDescent="0.25">
      <c r="A281" s="23">
        <v>42816</v>
      </c>
      <c r="B281" s="22">
        <f t="shared" si="49"/>
        <v>12</v>
      </c>
      <c r="C281" s="22">
        <f t="shared" si="50"/>
        <v>3</v>
      </c>
      <c r="D281" s="27">
        <v>65.44</v>
      </c>
      <c r="E281" s="24">
        <v>505</v>
      </c>
      <c r="F281" s="25">
        <v>465</v>
      </c>
      <c r="G281" s="25">
        <v>555</v>
      </c>
      <c r="H281" s="25">
        <v>562</v>
      </c>
      <c r="I281" s="25">
        <v>615</v>
      </c>
      <c r="J281" s="25">
        <v>616</v>
      </c>
      <c r="K281" s="26">
        <f t="shared" si="51"/>
        <v>611.48750000000007</v>
      </c>
      <c r="L281" s="26">
        <f t="shared" si="52"/>
        <v>565.58749999999998</v>
      </c>
      <c r="M281" s="26">
        <v>1300</v>
      </c>
      <c r="N281" s="26">
        <f t="shared" si="53"/>
        <v>105595.598</v>
      </c>
      <c r="O281" s="26">
        <f t="shared" si="54"/>
        <v>12000</v>
      </c>
      <c r="P281" s="26">
        <f t="shared" si="55"/>
        <v>134572.98213770956</v>
      </c>
      <c r="Q281" s="26">
        <f t="shared" si="56"/>
        <v>83908.716559999986</v>
      </c>
      <c r="W281" s="23">
        <v>42655</v>
      </c>
      <c r="X281" s="32">
        <v>8833</v>
      </c>
    </row>
    <row r="282" spans="1:24" s="28" customFormat="1" ht="15" customHeight="1" x14ac:dyDescent="0.25">
      <c r="A282" s="23">
        <v>42817</v>
      </c>
      <c r="B282" s="22">
        <f t="shared" si="49"/>
        <v>12</v>
      </c>
      <c r="C282" s="22">
        <f t="shared" si="50"/>
        <v>3</v>
      </c>
      <c r="D282" s="27">
        <v>65.53</v>
      </c>
      <c r="E282" s="24">
        <v>500</v>
      </c>
      <c r="F282" s="25">
        <v>460</v>
      </c>
      <c r="G282" s="25">
        <v>555</v>
      </c>
      <c r="H282" s="25">
        <v>562</v>
      </c>
      <c r="I282" s="25">
        <v>515</v>
      </c>
      <c r="J282" s="25">
        <v>611</v>
      </c>
      <c r="K282" s="26">
        <f t="shared" si="51"/>
        <v>605.75</v>
      </c>
      <c r="L282" s="26">
        <f t="shared" si="52"/>
        <v>559.85</v>
      </c>
      <c r="M282" s="26">
        <v>1280</v>
      </c>
      <c r="N282" s="26">
        <f t="shared" si="53"/>
        <v>104255.433125</v>
      </c>
      <c r="O282" s="26">
        <f t="shared" si="54"/>
        <v>12200</v>
      </c>
      <c r="P282" s="26">
        <f t="shared" si="55"/>
        <v>136683.47943385312</v>
      </c>
      <c r="Q282" s="26">
        <f t="shared" si="56"/>
        <v>82479.55200499999</v>
      </c>
      <c r="W282" s="23">
        <v>42656</v>
      </c>
      <c r="X282" s="32">
        <v>8767</v>
      </c>
    </row>
    <row r="283" spans="1:24" s="28" customFormat="1" ht="15" customHeight="1" x14ac:dyDescent="0.25">
      <c r="A283" s="23">
        <v>42818</v>
      </c>
      <c r="B283" s="22">
        <f t="shared" si="49"/>
        <v>12</v>
      </c>
      <c r="C283" s="22">
        <f t="shared" si="50"/>
        <v>3</v>
      </c>
      <c r="D283" s="27">
        <v>65.42</v>
      </c>
      <c r="E283" s="24">
        <v>495</v>
      </c>
      <c r="F283" s="25">
        <v>465</v>
      </c>
      <c r="G283" s="25">
        <v>555</v>
      </c>
      <c r="H283" s="25">
        <v>562</v>
      </c>
      <c r="I283" s="25">
        <v>515</v>
      </c>
      <c r="J283" s="25">
        <v>606</v>
      </c>
      <c r="K283" s="26">
        <f t="shared" si="51"/>
        <v>600.01250000000005</v>
      </c>
      <c r="L283" s="26">
        <f t="shared" si="52"/>
        <v>565.58749999999998</v>
      </c>
      <c r="M283" s="26">
        <v>1280</v>
      </c>
      <c r="N283" s="26">
        <f t="shared" si="53"/>
        <v>104087.81374999999</v>
      </c>
      <c r="O283" s="26">
        <f t="shared" si="54"/>
        <v>12133</v>
      </c>
      <c r="P283" s="26">
        <f t="shared" si="55"/>
        <v>135976.46283964501</v>
      </c>
      <c r="Q283" s="26">
        <f t="shared" si="56"/>
        <v>82348.486069999999</v>
      </c>
      <c r="W283" s="23">
        <v>42657</v>
      </c>
      <c r="X283" s="32">
        <v>8767</v>
      </c>
    </row>
    <row r="284" spans="1:24" s="28" customFormat="1" ht="15" customHeight="1" x14ac:dyDescent="0.25">
      <c r="A284" s="23">
        <v>42821</v>
      </c>
      <c r="B284" s="22">
        <f t="shared" si="49"/>
        <v>13</v>
      </c>
      <c r="C284" s="22">
        <f t="shared" si="50"/>
        <v>3</v>
      </c>
      <c r="D284" s="27">
        <v>65.03</v>
      </c>
      <c r="E284" s="24">
        <v>490</v>
      </c>
      <c r="F284" s="25">
        <v>460</v>
      </c>
      <c r="G284" s="25">
        <v>555</v>
      </c>
      <c r="H284" s="25">
        <v>562</v>
      </c>
      <c r="I284" s="25">
        <v>515</v>
      </c>
      <c r="J284" s="25">
        <v>596</v>
      </c>
      <c r="K284" s="26">
        <f t="shared" si="51"/>
        <v>594.27499999999998</v>
      </c>
      <c r="L284" s="26">
        <f t="shared" si="52"/>
        <v>559.85</v>
      </c>
      <c r="M284" s="26">
        <v>1210</v>
      </c>
      <c r="N284" s="26">
        <f t="shared" si="53"/>
        <v>98355.343999999983</v>
      </c>
      <c r="O284" s="26">
        <f t="shared" si="54"/>
        <v>12067</v>
      </c>
      <c r="P284" s="26">
        <f t="shared" si="55"/>
        <v>135279.99873191764</v>
      </c>
      <c r="Q284" s="26">
        <f t="shared" si="56"/>
        <v>76540.087564999994</v>
      </c>
      <c r="W284" s="23">
        <v>42658</v>
      </c>
      <c r="X284" s="32">
        <v>8833</v>
      </c>
    </row>
    <row r="285" spans="1:24" s="28" customFormat="1" ht="15" customHeight="1" x14ac:dyDescent="0.25">
      <c r="A285" s="23">
        <v>42823</v>
      </c>
      <c r="B285" s="22">
        <f t="shared" si="49"/>
        <v>13</v>
      </c>
      <c r="C285" s="22">
        <f t="shared" si="50"/>
        <v>3</v>
      </c>
      <c r="D285" s="27">
        <v>64.900000000000006</v>
      </c>
      <c r="E285" s="24">
        <v>495</v>
      </c>
      <c r="F285" s="25">
        <v>457</v>
      </c>
      <c r="G285" s="25">
        <v>550</v>
      </c>
      <c r="H285" s="25">
        <v>557</v>
      </c>
      <c r="I285" s="25">
        <v>515</v>
      </c>
      <c r="J285" s="25">
        <v>593</v>
      </c>
      <c r="K285" s="26">
        <f t="shared" si="51"/>
        <v>600.01250000000005</v>
      </c>
      <c r="L285" s="26">
        <f t="shared" si="52"/>
        <v>556.40750000000003</v>
      </c>
      <c r="M285" s="26">
        <v>1200</v>
      </c>
      <c r="N285" s="26">
        <f t="shared" si="53"/>
        <v>97434.961249999993</v>
      </c>
      <c r="O285" s="26">
        <f t="shared" si="54"/>
        <v>12067</v>
      </c>
      <c r="P285" s="26">
        <f t="shared" si="55"/>
        <v>135279.99873191764</v>
      </c>
      <c r="Q285" s="26">
        <f t="shared" si="56"/>
        <v>75634.012849999999</v>
      </c>
      <c r="W285" s="23">
        <v>42659</v>
      </c>
      <c r="X285" s="32">
        <v>8833</v>
      </c>
    </row>
    <row r="286" spans="1:24" s="28" customFormat="1" ht="15" customHeight="1" x14ac:dyDescent="0.25">
      <c r="A286" s="23">
        <v>42824</v>
      </c>
      <c r="B286" s="22">
        <f t="shared" si="49"/>
        <v>13</v>
      </c>
      <c r="C286" s="22">
        <f t="shared" si="50"/>
        <v>3</v>
      </c>
      <c r="D286" s="27">
        <v>64.91</v>
      </c>
      <c r="E286" s="24">
        <v>490</v>
      </c>
      <c r="F286" s="25">
        <v>460</v>
      </c>
      <c r="G286" s="25">
        <v>545</v>
      </c>
      <c r="H286" s="25">
        <v>552</v>
      </c>
      <c r="I286" s="25">
        <v>525</v>
      </c>
      <c r="J286" s="25">
        <v>588</v>
      </c>
      <c r="K286" s="26">
        <f t="shared" si="51"/>
        <v>594.27499999999998</v>
      </c>
      <c r="L286" s="26">
        <f t="shared" si="52"/>
        <v>559.85</v>
      </c>
      <c r="M286" s="26">
        <v>1200</v>
      </c>
      <c r="N286" s="26">
        <f t="shared" si="53"/>
        <v>97449.296374999991</v>
      </c>
      <c r="O286" s="26">
        <f t="shared" si="54"/>
        <v>12133</v>
      </c>
      <c r="P286" s="26">
        <f t="shared" si="55"/>
        <v>135976.46283964501</v>
      </c>
      <c r="Q286" s="26">
        <f t="shared" si="56"/>
        <v>75644.98881499999</v>
      </c>
      <c r="W286" s="23">
        <v>42660</v>
      </c>
      <c r="X286" s="32">
        <v>8833</v>
      </c>
    </row>
    <row r="287" spans="1:24" s="28" customFormat="1" ht="15" customHeight="1" x14ac:dyDescent="0.25">
      <c r="A287" s="23">
        <v>42825</v>
      </c>
      <c r="B287" s="22">
        <f t="shared" si="49"/>
        <v>13</v>
      </c>
      <c r="C287" s="22">
        <f t="shared" si="50"/>
        <v>3</v>
      </c>
      <c r="D287" s="27">
        <v>64.84</v>
      </c>
      <c r="E287" s="24">
        <v>495</v>
      </c>
      <c r="F287" s="25">
        <v>460</v>
      </c>
      <c r="G287" s="25">
        <v>545</v>
      </c>
      <c r="H287" s="25">
        <v>552</v>
      </c>
      <c r="I287" s="25">
        <v>525</v>
      </c>
      <c r="J287" s="25">
        <v>591</v>
      </c>
      <c r="K287" s="26">
        <f t="shared" si="51"/>
        <v>600.01250000000005</v>
      </c>
      <c r="L287" s="26">
        <f t="shared" si="52"/>
        <v>559.85</v>
      </c>
      <c r="M287" s="26">
        <v>1150</v>
      </c>
      <c r="N287" s="26">
        <f t="shared" si="53"/>
        <v>93689.542999999991</v>
      </c>
      <c r="O287" s="26">
        <f t="shared" si="54"/>
        <v>12267</v>
      </c>
      <c r="P287" s="26">
        <f t="shared" si="55"/>
        <v>137390.4960280612</v>
      </c>
      <c r="Q287" s="26">
        <f t="shared" si="56"/>
        <v>71762.373259999993</v>
      </c>
      <c r="W287" s="23">
        <v>42661</v>
      </c>
      <c r="X287" s="32">
        <v>8767</v>
      </c>
    </row>
    <row r="288" spans="1:24" s="28" customFormat="1" ht="15" customHeight="1" x14ac:dyDescent="0.25">
      <c r="A288" s="23"/>
      <c r="B288" s="22"/>
      <c r="C288" s="22"/>
      <c r="D288" s="27"/>
      <c r="E288" s="24"/>
      <c r="F288" s="25"/>
      <c r="G288" s="25"/>
      <c r="H288" s="25"/>
      <c r="I288" s="25"/>
      <c r="J288" s="25"/>
      <c r="K288" s="26"/>
      <c r="L288" s="26"/>
      <c r="M288" s="26"/>
      <c r="N288" s="26"/>
      <c r="O288" s="26"/>
      <c r="P288" s="26"/>
      <c r="Q288" s="26"/>
      <c r="W288" s="23">
        <v>42662</v>
      </c>
      <c r="X288" s="32">
        <v>8733</v>
      </c>
    </row>
    <row r="289" spans="1:24" s="28" customFormat="1" ht="15" customHeight="1" x14ac:dyDescent="0.25">
      <c r="A289" s="23"/>
      <c r="B289" s="22"/>
      <c r="C289" s="22"/>
      <c r="D289" s="27"/>
      <c r="E289" s="24"/>
      <c r="F289" s="25"/>
      <c r="G289" s="25"/>
      <c r="H289" s="25"/>
      <c r="I289" s="25"/>
      <c r="J289" s="25"/>
      <c r="K289" s="26"/>
      <c r="L289" s="26"/>
      <c r="M289" s="26"/>
      <c r="N289" s="26"/>
      <c r="O289" s="26"/>
      <c r="P289" s="26"/>
      <c r="Q289" s="26"/>
      <c r="W289" s="23">
        <v>42663</v>
      </c>
      <c r="X289" s="32">
        <v>8833</v>
      </c>
    </row>
    <row r="290" spans="1:24" s="28" customFormat="1" ht="15" customHeight="1" x14ac:dyDescent="0.25">
      <c r="A290" s="23"/>
      <c r="B290" s="22"/>
      <c r="C290" s="22"/>
      <c r="D290" s="27"/>
      <c r="E290" s="24"/>
      <c r="F290" s="25"/>
      <c r="G290" s="25"/>
      <c r="H290" s="25"/>
      <c r="I290" s="25"/>
      <c r="J290" s="25"/>
      <c r="K290" s="26"/>
      <c r="L290" s="26"/>
      <c r="M290" s="26"/>
      <c r="N290" s="26"/>
      <c r="O290" s="26"/>
      <c r="P290" s="26"/>
      <c r="Q290" s="26"/>
      <c r="W290" s="23">
        <v>42664</v>
      </c>
      <c r="X290" s="32">
        <v>8867</v>
      </c>
    </row>
    <row r="291" spans="1:24" s="28" customFormat="1" ht="15" customHeight="1" x14ac:dyDescent="0.25">
      <c r="A291" s="23"/>
      <c r="B291" s="22"/>
      <c r="C291" s="22"/>
      <c r="D291" s="27"/>
      <c r="E291" s="24"/>
      <c r="F291" s="25"/>
      <c r="G291" s="25"/>
      <c r="H291" s="25"/>
      <c r="I291" s="25"/>
      <c r="J291" s="25"/>
      <c r="K291" s="26"/>
      <c r="L291" s="26"/>
      <c r="M291" s="26"/>
      <c r="N291" s="26"/>
      <c r="O291" s="26"/>
      <c r="P291" s="26"/>
      <c r="Q291" s="26"/>
      <c r="W291" s="23">
        <v>42665</v>
      </c>
      <c r="X291" s="32">
        <v>8833</v>
      </c>
    </row>
    <row r="292" spans="1:24" s="28" customFormat="1" ht="15" customHeight="1" x14ac:dyDescent="0.25">
      <c r="A292" s="23"/>
      <c r="B292" s="22"/>
      <c r="C292" s="22"/>
      <c r="D292" s="27"/>
      <c r="E292" s="24"/>
      <c r="F292" s="25"/>
      <c r="G292" s="25"/>
      <c r="H292" s="25"/>
      <c r="I292" s="25"/>
      <c r="J292" s="25"/>
      <c r="K292" s="26"/>
      <c r="L292" s="26"/>
      <c r="M292" s="26"/>
      <c r="N292" s="26"/>
      <c r="O292" s="26"/>
      <c r="P292" s="26"/>
      <c r="Q292" s="26"/>
      <c r="W292" s="23">
        <v>42666</v>
      </c>
      <c r="X292" s="32">
        <v>8833</v>
      </c>
    </row>
    <row r="293" spans="1:24" s="28" customFormat="1" ht="15" customHeight="1" x14ac:dyDescent="0.25">
      <c r="A293" s="23"/>
      <c r="B293" s="22"/>
      <c r="C293" s="22"/>
      <c r="D293" s="27"/>
      <c r="E293" s="24"/>
      <c r="F293" s="25"/>
      <c r="G293" s="25"/>
      <c r="H293" s="25"/>
      <c r="I293" s="25"/>
      <c r="J293" s="25"/>
      <c r="K293" s="26"/>
      <c r="L293" s="26"/>
      <c r="M293" s="26"/>
      <c r="N293" s="26"/>
      <c r="O293" s="26"/>
      <c r="P293" s="26"/>
      <c r="Q293" s="26"/>
      <c r="W293" s="23">
        <v>42667</v>
      </c>
      <c r="X293" s="32">
        <v>8867</v>
      </c>
    </row>
    <row r="294" spans="1:24" s="28" customFormat="1" ht="15" customHeight="1" x14ac:dyDescent="0.25">
      <c r="A294" s="23"/>
      <c r="B294" s="22"/>
      <c r="C294" s="22"/>
      <c r="D294" s="27"/>
      <c r="E294" s="24"/>
      <c r="F294" s="25"/>
      <c r="G294" s="25"/>
      <c r="H294" s="25"/>
      <c r="I294" s="25"/>
      <c r="J294" s="25"/>
      <c r="K294" s="26"/>
      <c r="L294" s="26"/>
      <c r="M294" s="26"/>
      <c r="N294" s="26"/>
      <c r="O294" s="26"/>
      <c r="P294" s="26"/>
      <c r="Q294" s="26"/>
      <c r="W294" s="23">
        <v>42668</v>
      </c>
      <c r="X294" s="32">
        <v>8867</v>
      </c>
    </row>
    <row r="295" spans="1:24" s="28" customFormat="1" ht="15" customHeight="1" x14ac:dyDescent="0.25">
      <c r="A295" s="23"/>
      <c r="B295" s="22"/>
      <c r="C295" s="22"/>
      <c r="D295" s="27"/>
      <c r="E295" s="24"/>
      <c r="F295" s="25"/>
      <c r="G295" s="25"/>
      <c r="H295" s="25"/>
      <c r="I295" s="25"/>
      <c r="J295" s="25"/>
      <c r="K295" s="26"/>
      <c r="L295" s="26"/>
      <c r="M295" s="26"/>
      <c r="N295" s="26"/>
      <c r="O295" s="26"/>
      <c r="P295" s="26"/>
      <c r="Q295" s="26"/>
      <c r="W295" s="23">
        <v>42669</v>
      </c>
      <c r="X295" s="32">
        <v>9000</v>
      </c>
    </row>
    <row r="296" spans="1:24" s="28" customFormat="1" ht="15" customHeight="1" x14ac:dyDescent="0.25">
      <c r="A296" s="23"/>
      <c r="B296" s="22"/>
      <c r="C296" s="22"/>
      <c r="D296" s="27"/>
      <c r="E296" s="24"/>
      <c r="F296" s="25"/>
      <c r="G296" s="25"/>
      <c r="H296" s="25"/>
      <c r="I296" s="25"/>
      <c r="J296" s="25"/>
      <c r="K296" s="26"/>
      <c r="L296" s="26"/>
      <c r="M296" s="26"/>
      <c r="N296" s="26"/>
      <c r="O296" s="26"/>
      <c r="P296" s="26"/>
      <c r="Q296" s="26"/>
      <c r="W296" s="23">
        <v>42670</v>
      </c>
      <c r="X296" s="32">
        <v>9000</v>
      </c>
    </row>
    <row r="297" spans="1:24" s="28" customFormat="1" ht="15" customHeight="1" x14ac:dyDescent="0.25">
      <c r="A297" s="23"/>
      <c r="B297" s="22"/>
      <c r="C297" s="22"/>
      <c r="D297" s="27"/>
      <c r="E297" s="24"/>
      <c r="F297" s="25"/>
      <c r="G297" s="25"/>
      <c r="H297" s="25"/>
      <c r="I297" s="25"/>
      <c r="J297" s="25"/>
      <c r="K297" s="26"/>
      <c r="L297" s="26"/>
      <c r="M297" s="26"/>
      <c r="N297" s="26"/>
      <c r="O297" s="26"/>
      <c r="P297" s="26"/>
      <c r="Q297" s="26"/>
      <c r="W297" s="23">
        <v>42671</v>
      </c>
      <c r="X297" s="32">
        <v>9000</v>
      </c>
    </row>
    <row r="298" spans="1:24" s="28" customFormat="1" ht="15" customHeight="1" x14ac:dyDescent="0.25">
      <c r="A298" s="23"/>
      <c r="B298" s="22"/>
      <c r="C298" s="22"/>
      <c r="D298" s="27"/>
      <c r="E298" s="24"/>
      <c r="F298" s="25"/>
      <c r="G298" s="25"/>
      <c r="H298" s="25"/>
      <c r="I298" s="25"/>
      <c r="J298" s="25"/>
      <c r="K298" s="26"/>
      <c r="L298" s="26"/>
      <c r="M298" s="26"/>
      <c r="N298" s="26"/>
      <c r="O298" s="26"/>
      <c r="P298" s="26"/>
      <c r="Q298" s="26"/>
      <c r="W298" s="23">
        <v>42672</v>
      </c>
      <c r="X298" s="32">
        <v>9000</v>
      </c>
    </row>
    <row r="299" spans="1:24" s="28" customFormat="1" ht="15" customHeight="1" x14ac:dyDescent="0.25">
      <c r="A299" s="23"/>
      <c r="B299" s="22"/>
      <c r="C299" s="22"/>
      <c r="D299" s="27"/>
      <c r="E299" s="24"/>
      <c r="F299" s="25"/>
      <c r="G299" s="25"/>
      <c r="H299" s="25"/>
      <c r="I299" s="25"/>
      <c r="J299" s="25"/>
      <c r="K299" s="26"/>
      <c r="L299" s="26"/>
      <c r="M299" s="26"/>
      <c r="N299" s="26"/>
      <c r="O299" s="26"/>
      <c r="P299" s="26"/>
      <c r="Q299" s="26"/>
      <c r="W299" s="23">
        <v>42673</v>
      </c>
      <c r="X299" s="32">
        <v>9000</v>
      </c>
    </row>
    <row r="300" spans="1:24" s="28" customFormat="1" ht="15" customHeight="1" x14ac:dyDescent="0.25">
      <c r="A300" s="23"/>
      <c r="B300" s="22"/>
      <c r="C300" s="22"/>
      <c r="D300" s="27"/>
      <c r="E300" s="24"/>
      <c r="F300" s="25"/>
      <c r="G300" s="25"/>
      <c r="H300" s="25"/>
      <c r="I300" s="25"/>
      <c r="J300" s="25"/>
      <c r="K300" s="26"/>
      <c r="L300" s="26"/>
      <c r="M300" s="26"/>
      <c r="N300" s="26"/>
      <c r="O300" s="26"/>
      <c r="P300" s="26"/>
      <c r="Q300" s="26"/>
      <c r="W300" s="23">
        <v>42674</v>
      </c>
      <c r="X300" s="32">
        <v>9200</v>
      </c>
    </row>
    <row r="301" spans="1:24" s="28" customFormat="1" ht="15" customHeight="1" x14ac:dyDescent="0.25">
      <c r="A301" s="23"/>
      <c r="B301" s="22"/>
      <c r="C301" s="22"/>
      <c r="D301" s="27"/>
      <c r="E301" s="24"/>
      <c r="F301" s="25"/>
      <c r="G301" s="25"/>
      <c r="H301" s="25"/>
      <c r="I301" s="25"/>
      <c r="J301" s="25"/>
      <c r="K301" s="26"/>
      <c r="L301" s="26"/>
      <c r="M301" s="26"/>
      <c r="N301" s="26"/>
      <c r="O301" s="26"/>
      <c r="P301" s="26"/>
      <c r="Q301" s="26"/>
      <c r="W301" s="23">
        <v>42675</v>
      </c>
      <c r="X301" s="32">
        <v>9133</v>
      </c>
    </row>
    <row r="302" spans="1:24" s="28" customFormat="1" ht="15" customHeight="1" x14ac:dyDescent="0.25">
      <c r="A302" s="23"/>
      <c r="B302" s="22"/>
      <c r="C302" s="22"/>
      <c r="D302" s="27"/>
      <c r="E302" s="24"/>
      <c r="F302" s="25"/>
      <c r="G302" s="25"/>
      <c r="H302" s="25"/>
      <c r="I302" s="25"/>
      <c r="J302" s="25"/>
      <c r="K302" s="26"/>
      <c r="L302" s="26"/>
      <c r="M302" s="26"/>
      <c r="N302" s="26"/>
      <c r="O302" s="26"/>
      <c r="P302" s="26"/>
      <c r="Q302" s="26"/>
      <c r="W302" s="23">
        <v>42676</v>
      </c>
      <c r="X302" s="32">
        <v>9067</v>
      </c>
    </row>
    <row r="303" spans="1:24" s="28" customFormat="1" ht="15" customHeight="1" x14ac:dyDescent="0.25">
      <c r="A303" s="23"/>
      <c r="B303" s="22"/>
      <c r="C303" s="22"/>
      <c r="D303" s="27"/>
      <c r="E303" s="24"/>
      <c r="F303" s="25"/>
      <c r="G303" s="25"/>
      <c r="H303" s="25"/>
      <c r="I303" s="25"/>
      <c r="J303" s="25"/>
      <c r="K303" s="26"/>
      <c r="L303" s="26"/>
      <c r="M303" s="26"/>
      <c r="N303" s="26"/>
      <c r="O303" s="26"/>
      <c r="P303" s="26"/>
      <c r="Q303" s="26"/>
      <c r="W303" s="23">
        <v>42677</v>
      </c>
      <c r="X303" s="32">
        <v>9067</v>
      </c>
    </row>
    <row r="304" spans="1:24" s="28" customFormat="1" ht="15" customHeight="1" x14ac:dyDescent="0.25">
      <c r="A304" s="23"/>
      <c r="B304" s="22"/>
      <c r="C304" s="22"/>
      <c r="D304" s="27"/>
      <c r="E304" s="24"/>
      <c r="F304" s="25"/>
      <c r="G304" s="25"/>
      <c r="H304" s="25"/>
      <c r="I304" s="25"/>
      <c r="J304" s="25"/>
      <c r="K304" s="26"/>
      <c r="L304" s="26"/>
      <c r="M304" s="26"/>
      <c r="N304" s="26"/>
      <c r="O304" s="26"/>
      <c r="P304" s="26"/>
      <c r="Q304" s="26"/>
      <c r="W304" s="23">
        <v>42678</v>
      </c>
      <c r="X304" s="32">
        <v>9067</v>
      </c>
    </row>
    <row r="305" spans="1:24" s="28" customFormat="1" ht="15" customHeight="1" x14ac:dyDescent="0.25">
      <c r="A305" s="23"/>
      <c r="B305" s="22"/>
      <c r="C305" s="22"/>
      <c r="D305" s="27"/>
      <c r="E305" s="24"/>
      <c r="F305" s="25"/>
      <c r="G305" s="25"/>
      <c r="H305" s="25"/>
      <c r="I305" s="25"/>
      <c r="J305" s="25"/>
      <c r="K305" s="26"/>
      <c r="L305" s="26"/>
      <c r="M305" s="26"/>
      <c r="N305" s="26"/>
      <c r="O305" s="26"/>
      <c r="P305" s="26"/>
      <c r="Q305" s="26"/>
      <c r="W305" s="23">
        <v>42679</v>
      </c>
      <c r="X305" s="32">
        <v>8967</v>
      </c>
    </row>
    <row r="306" spans="1:24" s="28" customFormat="1" ht="15" customHeight="1" x14ac:dyDescent="0.25">
      <c r="A306" s="23"/>
      <c r="B306" s="22"/>
      <c r="C306" s="22"/>
      <c r="D306" s="27"/>
      <c r="E306" s="24"/>
      <c r="F306" s="25"/>
      <c r="G306" s="25"/>
      <c r="H306" s="25"/>
      <c r="I306" s="25"/>
      <c r="J306" s="25"/>
      <c r="K306" s="26"/>
      <c r="L306" s="26"/>
      <c r="M306" s="26"/>
      <c r="N306" s="26"/>
      <c r="O306" s="26"/>
      <c r="P306" s="26"/>
      <c r="Q306" s="26"/>
      <c r="W306" s="23">
        <v>42680</v>
      </c>
      <c r="X306" s="32">
        <v>8967</v>
      </c>
    </row>
    <row r="307" spans="1:24" s="28" customFormat="1" ht="15" customHeight="1" x14ac:dyDescent="0.25">
      <c r="A307" s="23"/>
      <c r="B307" s="22"/>
      <c r="C307" s="22"/>
      <c r="D307" s="27"/>
      <c r="E307" s="24"/>
      <c r="F307" s="25"/>
      <c r="G307" s="25"/>
      <c r="H307" s="25"/>
      <c r="I307" s="25"/>
      <c r="J307" s="25"/>
      <c r="K307" s="26"/>
      <c r="L307" s="26"/>
      <c r="M307" s="26"/>
      <c r="N307" s="26"/>
      <c r="O307" s="26"/>
      <c r="P307" s="26"/>
      <c r="Q307" s="26"/>
      <c r="W307" s="23">
        <v>42681</v>
      </c>
      <c r="X307" s="32">
        <v>8867</v>
      </c>
    </row>
    <row r="308" spans="1:24" s="28" customFormat="1" ht="15" customHeight="1" x14ac:dyDescent="0.25">
      <c r="A308" s="23"/>
      <c r="B308" s="22"/>
      <c r="C308" s="22"/>
      <c r="D308" s="27"/>
      <c r="E308" s="24"/>
      <c r="F308" s="25"/>
      <c r="G308" s="25"/>
      <c r="H308" s="25"/>
      <c r="I308" s="25"/>
      <c r="J308" s="25"/>
      <c r="K308" s="26"/>
      <c r="L308" s="26"/>
      <c r="M308" s="26"/>
      <c r="N308" s="26"/>
      <c r="O308" s="26"/>
      <c r="P308" s="26"/>
      <c r="Q308" s="26"/>
      <c r="W308" s="23">
        <v>42682</v>
      </c>
      <c r="X308" s="32">
        <v>8867</v>
      </c>
    </row>
    <row r="309" spans="1:24" s="28" customFormat="1" ht="15" customHeight="1" x14ac:dyDescent="0.25">
      <c r="A309" s="23"/>
      <c r="B309" s="22"/>
      <c r="C309" s="22"/>
      <c r="D309" s="27"/>
      <c r="E309" s="24"/>
      <c r="F309" s="25"/>
      <c r="G309" s="25"/>
      <c r="H309" s="25"/>
      <c r="I309" s="25"/>
      <c r="J309" s="25"/>
      <c r="K309" s="26"/>
      <c r="L309" s="26"/>
      <c r="M309" s="26"/>
      <c r="N309" s="26"/>
      <c r="O309" s="26"/>
      <c r="P309" s="26"/>
      <c r="Q309" s="26"/>
      <c r="W309" s="23">
        <v>42683</v>
      </c>
      <c r="X309" s="32">
        <v>8867</v>
      </c>
    </row>
    <row r="310" spans="1:24" s="28" customFormat="1" ht="15" customHeight="1" x14ac:dyDescent="0.25">
      <c r="A310" s="23"/>
      <c r="B310" s="22"/>
      <c r="C310" s="22"/>
      <c r="D310" s="27"/>
      <c r="E310" s="24"/>
      <c r="F310" s="25"/>
      <c r="G310" s="25"/>
      <c r="H310" s="25"/>
      <c r="I310" s="25"/>
      <c r="J310" s="25"/>
      <c r="K310" s="26"/>
      <c r="L310" s="26"/>
      <c r="M310" s="26"/>
      <c r="N310" s="26"/>
      <c r="O310" s="26"/>
      <c r="P310" s="26"/>
      <c r="Q310" s="26"/>
      <c r="W310" s="23">
        <v>42684</v>
      </c>
      <c r="X310" s="32">
        <v>8867</v>
      </c>
    </row>
    <row r="311" spans="1:24" s="28" customFormat="1" ht="15" customHeight="1" x14ac:dyDescent="0.25">
      <c r="A311" s="23"/>
      <c r="B311" s="22"/>
      <c r="C311" s="22"/>
      <c r="D311" s="27"/>
      <c r="E311" s="24"/>
      <c r="F311" s="25"/>
      <c r="G311" s="25"/>
      <c r="H311" s="25"/>
      <c r="I311" s="25"/>
      <c r="J311" s="25"/>
      <c r="K311" s="26"/>
      <c r="L311" s="26"/>
      <c r="M311" s="26"/>
      <c r="N311" s="26"/>
      <c r="O311" s="26"/>
      <c r="P311" s="26"/>
      <c r="Q311" s="26"/>
      <c r="W311" s="23">
        <v>42685</v>
      </c>
      <c r="X311" s="32">
        <v>8867</v>
      </c>
    </row>
    <row r="312" spans="1:24" s="28" customFormat="1" ht="15" customHeight="1" x14ac:dyDescent="0.25">
      <c r="A312" s="23"/>
      <c r="B312" s="22"/>
      <c r="C312" s="22"/>
      <c r="D312" s="27"/>
      <c r="E312" s="24"/>
      <c r="F312" s="25"/>
      <c r="G312" s="25"/>
      <c r="H312" s="25"/>
      <c r="I312" s="25"/>
      <c r="J312" s="25"/>
      <c r="K312" s="26"/>
      <c r="L312" s="26"/>
      <c r="M312" s="26"/>
      <c r="N312" s="26"/>
      <c r="O312" s="26"/>
      <c r="P312" s="26"/>
      <c r="Q312" s="26"/>
      <c r="W312" s="23">
        <v>42686</v>
      </c>
      <c r="X312" s="32">
        <v>8867</v>
      </c>
    </row>
    <row r="313" spans="1:24" s="28" customFormat="1" ht="15" customHeight="1" x14ac:dyDescent="0.25">
      <c r="A313" s="23"/>
      <c r="B313" s="22"/>
      <c r="C313" s="22"/>
      <c r="D313" s="27"/>
      <c r="E313" s="24"/>
      <c r="F313" s="25"/>
      <c r="G313" s="25"/>
      <c r="H313" s="25"/>
      <c r="I313" s="25"/>
      <c r="J313" s="25"/>
      <c r="K313" s="26"/>
      <c r="L313" s="26"/>
      <c r="M313" s="26"/>
      <c r="N313" s="26"/>
      <c r="O313" s="26"/>
      <c r="P313" s="26"/>
      <c r="Q313" s="26"/>
      <c r="W313" s="23">
        <v>42687</v>
      </c>
      <c r="X313" s="32">
        <v>8867</v>
      </c>
    </row>
    <row r="314" spans="1:24" s="28" customFormat="1" ht="15" customHeight="1" x14ac:dyDescent="0.25">
      <c r="A314" s="23"/>
      <c r="B314" s="22"/>
      <c r="C314" s="22"/>
      <c r="D314" s="27"/>
      <c r="E314" s="24"/>
      <c r="F314" s="25"/>
      <c r="G314" s="25"/>
      <c r="H314" s="25"/>
      <c r="I314" s="25"/>
      <c r="J314" s="25"/>
      <c r="K314" s="26"/>
      <c r="L314" s="26"/>
      <c r="M314" s="26"/>
      <c r="N314" s="26"/>
      <c r="O314" s="26"/>
      <c r="P314" s="26"/>
      <c r="Q314" s="26"/>
      <c r="W314" s="23">
        <v>42688</v>
      </c>
      <c r="X314" s="32">
        <v>9200</v>
      </c>
    </row>
    <row r="315" spans="1:24" s="28" customFormat="1" ht="15" customHeight="1" x14ac:dyDescent="0.25">
      <c r="A315" s="23"/>
      <c r="B315" s="22"/>
      <c r="C315" s="22"/>
      <c r="D315" s="27"/>
      <c r="E315" s="24"/>
      <c r="F315" s="25"/>
      <c r="G315" s="25"/>
      <c r="H315" s="25"/>
      <c r="I315" s="25"/>
      <c r="J315" s="25"/>
      <c r="K315" s="26"/>
      <c r="L315" s="26"/>
      <c r="M315" s="26"/>
      <c r="N315" s="26"/>
      <c r="O315" s="26"/>
      <c r="P315" s="26"/>
      <c r="Q315" s="26"/>
      <c r="W315" s="23">
        <v>42689</v>
      </c>
      <c r="X315" s="32">
        <v>9333</v>
      </c>
    </row>
    <row r="316" spans="1:24" s="28" customFormat="1" ht="15" customHeight="1" x14ac:dyDescent="0.25">
      <c r="A316" s="23"/>
      <c r="B316" s="22"/>
      <c r="C316" s="22"/>
      <c r="D316" s="27"/>
      <c r="E316" s="24"/>
      <c r="F316" s="25"/>
      <c r="G316" s="25"/>
      <c r="H316" s="25"/>
      <c r="I316" s="25"/>
      <c r="J316" s="25"/>
      <c r="K316" s="26"/>
      <c r="L316" s="26"/>
      <c r="M316" s="26"/>
      <c r="N316" s="26"/>
      <c r="O316" s="26"/>
      <c r="P316" s="26"/>
      <c r="Q316" s="26"/>
      <c r="W316" s="23">
        <v>42690</v>
      </c>
      <c r="X316" s="32">
        <v>9333</v>
      </c>
    </row>
    <row r="317" spans="1:24" s="28" customFormat="1" ht="15" customHeight="1" x14ac:dyDescent="0.25">
      <c r="A317" s="23"/>
      <c r="B317" s="22"/>
      <c r="C317" s="22"/>
      <c r="D317" s="27"/>
      <c r="E317" s="24"/>
      <c r="F317" s="25"/>
      <c r="G317" s="25"/>
      <c r="H317" s="25"/>
      <c r="I317" s="25"/>
      <c r="J317" s="25"/>
      <c r="K317" s="26"/>
      <c r="L317" s="26"/>
      <c r="M317" s="26"/>
      <c r="N317" s="26"/>
      <c r="O317" s="26"/>
      <c r="P317" s="26"/>
      <c r="Q317" s="26"/>
      <c r="W317" s="23">
        <v>42691</v>
      </c>
      <c r="X317" s="32">
        <v>9333</v>
      </c>
    </row>
    <row r="318" spans="1:24" s="28" customFormat="1" ht="15" customHeight="1" x14ac:dyDescent="0.25">
      <c r="A318" s="23"/>
      <c r="B318" s="22"/>
      <c r="C318" s="22"/>
      <c r="D318" s="27"/>
      <c r="E318" s="24"/>
      <c r="F318" s="25"/>
      <c r="G318" s="25"/>
      <c r="H318" s="25"/>
      <c r="I318" s="25"/>
      <c r="J318" s="25"/>
      <c r="K318" s="26"/>
      <c r="L318" s="26"/>
      <c r="M318" s="26"/>
      <c r="N318" s="26"/>
      <c r="O318" s="26"/>
      <c r="P318" s="26"/>
      <c r="Q318" s="26"/>
      <c r="W318" s="23">
        <v>42692</v>
      </c>
      <c r="X318" s="32">
        <v>9333</v>
      </c>
    </row>
    <row r="319" spans="1:24" s="28" customFormat="1" ht="15" customHeight="1" x14ac:dyDescent="0.25">
      <c r="A319" s="23"/>
      <c r="B319" s="22"/>
      <c r="C319" s="22"/>
      <c r="D319" s="27"/>
      <c r="E319" s="24"/>
      <c r="F319" s="25"/>
      <c r="G319" s="25"/>
      <c r="H319" s="25"/>
      <c r="I319" s="25"/>
      <c r="J319" s="25"/>
      <c r="K319" s="26"/>
      <c r="L319" s="26"/>
      <c r="M319" s="26"/>
      <c r="N319" s="26"/>
      <c r="O319" s="26"/>
      <c r="P319" s="26"/>
      <c r="Q319" s="26"/>
      <c r="W319" s="23">
        <v>42693</v>
      </c>
      <c r="X319" s="32">
        <v>9333</v>
      </c>
    </row>
    <row r="320" spans="1:24" s="28" customFormat="1" ht="15" customHeight="1" x14ac:dyDescent="0.25">
      <c r="A320" s="23"/>
      <c r="B320" s="22"/>
      <c r="C320" s="22"/>
      <c r="D320" s="27"/>
      <c r="E320" s="24"/>
      <c r="F320" s="25"/>
      <c r="G320" s="25"/>
      <c r="H320" s="25"/>
      <c r="I320" s="25"/>
      <c r="J320" s="25"/>
      <c r="K320" s="26"/>
      <c r="L320" s="26"/>
      <c r="M320" s="26"/>
      <c r="N320" s="26"/>
      <c r="O320" s="26"/>
      <c r="P320" s="26"/>
      <c r="Q320" s="26"/>
      <c r="W320" s="23">
        <v>42694</v>
      </c>
      <c r="X320" s="32">
        <v>9333</v>
      </c>
    </row>
    <row r="321" spans="1:24" s="28" customFormat="1" ht="15" customHeight="1" x14ac:dyDescent="0.25">
      <c r="A321" s="23"/>
      <c r="B321" s="22"/>
      <c r="C321" s="22"/>
      <c r="D321" s="27"/>
      <c r="E321" s="24"/>
      <c r="F321" s="25"/>
      <c r="G321" s="25"/>
      <c r="H321" s="25"/>
      <c r="I321" s="25"/>
      <c r="J321" s="25"/>
      <c r="K321" s="26"/>
      <c r="L321" s="26"/>
      <c r="M321" s="26"/>
      <c r="N321" s="26"/>
      <c r="O321" s="26"/>
      <c r="P321" s="26"/>
      <c r="Q321" s="26"/>
      <c r="W321" s="23">
        <v>42695</v>
      </c>
      <c r="X321" s="32">
        <v>9467</v>
      </c>
    </row>
    <row r="322" spans="1:24" s="28" customFormat="1" ht="15" customHeight="1" x14ac:dyDescent="0.25">
      <c r="A322" s="23"/>
      <c r="B322" s="22"/>
      <c r="C322" s="22"/>
      <c r="D322" s="27"/>
      <c r="E322" s="24"/>
      <c r="F322" s="25"/>
      <c r="G322" s="25"/>
      <c r="H322" s="25"/>
      <c r="I322" s="25"/>
      <c r="J322" s="25"/>
      <c r="K322" s="26"/>
      <c r="L322" s="26"/>
      <c r="M322" s="26"/>
      <c r="N322" s="26"/>
      <c r="O322" s="26"/>
      <c r="P322" s="26"/>
      <c r="Q322" s="26"/>
      <c r="W322" s="23">
        <v>42696</v>
      </c>
      <c r="X322" s="32">
        <v>9400</v>
      </c>
    </row>
    <row r="323" spans="1:24" s="28" customFormat="1" ht="15" customHeight="1" x14ac:dyDescent="0.25">
      <c r="A323" s="23"/>
      <c r="B323" s="22"/>
      <c r="C323" s="22"/>
      <c r="D323" s="27"/>
      <c r="E323" s="24"/>
      <c r="F323" s="25"/>
      <c r="G323" s="25"/>
      <c r="H323" s="25"/>
      <c r="I323" s="25"/>
      <c r="J323" s="25"/>
      <c r="K323" s="26"/>
      <c r="L323" s="26"/>
      <c r="M323" s="26"/>
      <c r="N323" s="26"/>
      <c r="O323" s="26"/>
      <c r="P323" s="26"/>
      <c r="Q323" s="26"/>
      <c r="W323" s="23">
        <v>42697</v>
      </c>
      <c r="X323" s="32">
        <v>9467</v>
      </c>
    </row>
    <row r="324" spans="1:24" s="28" customFormat="1" ht="15" customHeight="1" x14ac:dyDescent="0.25">
      <c r="A324" s="23"/>
      <c r="B324" s="22"/>
      <c r="C324" s="22"/>
      <c r="D324" s="27"/>
      <c r="E324" s="24"/>
      <c r="F324" s="25"/>
      <c r="G324" s="25"/>
      <c r="H324" s="25"/>
      <c r="I324" s="25"/>
      <c r="J324" s="25"/>
      <c r="K324" s="26"/>
      <c r="L324" s="26"/>
      <c r="M324" s="26"/>
      <c r="N324" s="26"/>
      <c r="O324" s="26"/>
      <c r="P324" s="26"/>
      <c r="Q324" s="26"/>
      <c r="W324" s="23">
        <v>42698</v>
      </c>
      <c r="X324" s="32">
        <v>9533</v>
      </c>
    </row>
    <row r="325" spans="1:24" s="28" customFormat="1" ht="15" customHeight="1" x14ac:dyDescent="0.25">
      <c r="A325" s="23"/>
      <c r="B325" s="22"/>
      <c r="C325" s="22"/>
      <c r="D325" s="27"/>
      <c r="E325" s="24"/>
      <c r="F325" s="25"/>
      <c r="G325" s="25"/>
      <c r="H325" s="25"/>
      <c r="I325" s="25"/>
      <c r="J325" s="25"/>
      <c r="K325" s="26"/>
      <c r="L325" s="26"/>
      <c r="M325" s="26"/>
      <c r="N325" s="26"/>
      <c r="O325" s="26"/>
      <c r="P325" s="26"/>
      <c r="Q325" s="26"/>
      <c r="W325" s="23">
        <v>42699</v>
      </c>
      <c r="X325" s="32">
        <v>9867</v>
      </c>
    </row>
    <row r="326" spans="1:24" s="28" customFormat="1" ht="15" customHeight="1" x14ac:dyDescent="0.25">
      <c r="A326" s="23"/>
      <c r="B326" s="22"/>
      <c r="C326" s="22"/>
      <c r="D326" s="27"/>
      <c r="E326" s="24"/>
      <c r="F326" s="25"/>
      <c r="G326" s="25"/>
      <c r="H326" s="25"/>
      <c r="I326" s="25"/>
      <c r="J326" s="25"/>
      <c r="K326" s="26"/>
      <c r="L326" s="26"/>
      <c r="M326" s="26"/>
      <c r="N326" s="26"/>
      <c r="O326" s="26"/>
      <c r="P326" s="26"/>
      <c r="Q326" s="26"/>
      <c r="W326" s="23">
        <v>42700</v>
      </c>
      <c r="X326" s="32">
        <v>9667</v>
      </c>
    </row>
    <row r="327" spans="1:24" s="28" customFormat="1" ht="15" customHeight="1" x14ac:dyDescent="0.25">
      <c r="A327" s="23"/>
      <c r="B327" s="22"/>
      <c r="C327" s="22"/>
      <c r="D327" s="27"/>
      <c r="E327" s="24"/>
      <c r="F327" s="25"/>
      <c r="G327" s="25"/>
      <c r="H327" s="25"/>
      <c r="I327" s="25"/>
      <c r="J327" s="25"/>
      <c r="K327" s="26"/>
      <c r="L327" s="26"/>
      <c r="M327" s="26"/>
      <c r="N327" s="26"/>
      <c r="O327" s="26"/>
      <c r="P327" s="26"/>
      <c r="Q327" s="26"/>
      <c r="W327" s="23">
        <v>42701</v>
      </c>
      <c r="X327" s="32">
        <v>9667</v>
      </c>
    </row>
    <row r="328" spans="1:24" s="28" customFormat="1" ht="15" customHeight="1" x14ac:dyDescent="0.25">
      <c r="A328" s="23"/>
      <c r="B328" s="22"/>
      <c r="C328" s="22"/>
      <c r="D328" s="27"/>
      <c r="E328" s="24"/>
      <c r="F328" s="25"/>
      <c r="G328" s="25"/>
      <c r="H328" s="25"/>
      <c r="I328" s="25"/>
      <c r="J328" s="25"/>
      <c r="K328" s="26"/>
      <c r="L328" s="26"/>
      <c r="M328" s="26"/>
      <c r="N328" s="26"/>
      <c r="O328" s="26"/>
      <c r="P328" s="26"/>
      <c r="Q328" s="26"/>
      <c r="W328" s="23">
        <v>42702</v>
      </c>
      <c r="X328" s="32">
        <v>9333</v>
      </c>
    </row>
    <row r="329" spans="1:24" s="28" customFormat="1" ht="15" customHeight="1" x14ac:dyDescent="0.25">
      <c r="A329" s="23"/>
      <c r="B329" s="22"/>
      <c r="C329" s="22"/>
      <c r="D329" s="27"/>
      <c r="E329" s="24"/>
      <c r="F329" s="25"/>
      <c r="G329" s="25"/>
      <c r="H329" s="25"/>
      <c r="I329" s="25"/>
      <c r="J329" s="25"/>
      <c r="K329" s="26"/>
      <c r="L329" s="26"/>
      <c r="M329" s="26"/>
      <c r="N329" s="26"/>
      <c r="O329" s="26"/>
      <c r="P329" s="26"/>
      <c r="Q329" s="26"/>
      <c r="W329" s="23">
        <v>42703</v>
      </c>
      <c r="X329" s="32">
        <v>9200</v>
      </c>
    </row>
    <row r="330" spans="1:24" s="28" customFormat="1" ht="15" customHeight="1" x14ac:dyDescent="0.25">
      <c r="A330" s="23"/>
      <c r="B330" s="22"/>
      <c r="C330" s="22"/>
      <c r="D330" s="27"/>
      <c r="E330" s="24"/>
      <c r="F330" s="25"/>
      <c r="G330" s="25"/>
      <c r="H330" s="25"/>
      <c r="I330" s="25"/>
      <c r="J330" s="25"/>
      <c r="K330" s="26"/>
      <c r="L330" s="26"/>
      <c r="M330" s="26"/>
      <c r="N330" s="26"/>
      <c r="O330" s="26"/>
      <c r="P330" s="26"/>
      <c r="Q330" s="26"/>
      <c r="W330" s="23">
        <v>42704</v>
      </c>
      <c r="X330" s="32">
        <v>9200</v>
      </c>
    </row>
    <row r="331" spans="1:24" s="28" customFormat="1" ht="15" customHeight="1" x14ac:dyDescent="0.25">
      <c r="A331" s="23"/>
      <c r="B331" s="22"/>
      <c r="C331" s="22"/>
      <c r="D331" s="27"/>
      <c r="E331" s="24"/>
      <c r="F331" s="25"/>
      <c r="G331" s="25"/>
      <c r="H331" s="25"/>
      <c r="I331" s="25"/>
      <c r="J331" s="25"/>
      <c r="K331" s="26"/>
      <c r="L331" s="26"/>
      <c r="M331" s="26"/>
      <c r="N331" s="26"/>
      <c r="O331" s="26"/>
      <c r="P331" s="26"/>
      <c r="Q331" s="26"/>
      <c r="W331" s="23">
        <v>42705</v>
      </c>
      <c r="X331" s="32">
        <v>9667</v>
      </c>
    </row>
    <row r="332" spans="1:24" s="28" customFormat="1" ht="15" customHeight="1" x14ac:dyDescent="0.25">
      <c r="A332" s="23"/>
      <c r="B332" s="22"/>
      <c r="C332" s="22"/>
      <c r="D332" s="27"/>
      <c r="E332" s="24"/>
      <c r="F332" s="25"/>
      <c r="G332" s="25"/>
      <c r="H332" s="25"/>
      <c r="I332" s="25"/>
      <c r="J332" s="25"/>
      <c r="K332" s="26"/>
      <c r="L332" s="26"/>
      <c r="M332" s="26"/>
      <c r="N332" s="26"/>
      <c r="O332" s="26"/>
      <c r="P332" s="26"/>
      <c r="Q332" s="26"/>
      <c r="W332" s="23">
        <v>42706</v>
      </c>
      <c r="X332" s="32">
        <v>9800</v>
      </c>
    </row>
    <row r="333" spans="1:24" s="28" customFormat="1" ht="15" customHeight="1" x14ac:dyDescent="0.25">
      <c r="A333" s="23"/>
      <c r="B333" s="22"/>
      <c r="C333" s="22"/>
      <c r="D333" s="27"/>
      <c r="E333" s="24"/>
      <c r="F333" s="25"/>
      <c r="G333" s="25"/>
      <c r="H333" s="25"/>
      <c r="I333" s="25"/>
      <c r="J333" s="25"/>
      <c r="K333" s="26"/>
      <c r="L333" s="26"/>
      <c r="M333" s="26"/>
      <c r="N333" s="26"/>
      <c r="O333" s="26"/>
      <c r="P333" s="26"/>
      <c r="Q333" s="26"/>
      <c r="W333" s="23">
        <v>42707</v>
      </c>
      <c r="X333" s="32">
        <v>9867</v>
      </c>
    </row>
    <row r="334" spans="1:24" s="28" customFormat="1" ht="15" customHeight="1" x14ac:dyDescent="0.25">
      <c r="A334" s="23"/>
      <c r="B334" s="22"/>
      <c r="C334" s="22"/>
      <c r="D334" s="27"/>
      <c r="E334" s="24"/>
      <c r="F334" s="25"/>
      <c r="G334" s="25"/>
      <c r="H334" s="25"/>
      <c r="I334" s="25"/>
      <c r="J334" s="25"/>
      <c r="K334" s="26"/>
      <c r="L334" s="26"/>
      <c r="M334" s="26"/>
      <c r="N334" s="26"/>
      <c r="O334" s="26"/>
      <c r="P334" s="26"/>
      <c r="Q334" s="26"/>
      <c r="W334" s="23">
        <v>42708</v>
      </c>
      <c r="X334" s="32">
        <v>9867</v>
      </c>
    </row>
    <row r="335" spans="1:24" s="28" customFormat="1" ht="15" customHeight="1" x14ac:dyDescent="0.25">
      <c r="A335" s="23"/>
      <c r="B335" s="22"/>
      <c r="C335" s="22"/>
      <c r="D335" s="27"/>
      <c r="E335" s="24"/>
      <c r="F335" s="25"/>
      <c r="G335" s="25"/>
      <c r="H335" s="25"/>
      <c r="I335" s="25"/>
      <c r="J335" s="25"/>
      <c r="K335" s="26"/>
      <c r="L335" s="26"/>
      <c r="M335" s="26"/>
      <c r="N335" s="26"/>
      <c r="O335" s="26"/>
      <c r="P335" s="26"/>
      <c r="Q335" s="26"/>
      <c r="W335" s="23">
        <v>42709</v>
      </c>
      <c r="X335" s="32">
        <v>9867</v>
      </c>
    </row>
    <row r="336" spans="1:24" s="28" customFormat="1" ht="15" customHeight="1" x14ac:dyDescent="0.25">
      <c r="A336" s="23"/>
      <c r="B336" s="22"/>
      <c r="C336" s="22"/>
      <c r="D336" s="27"/>
      <c r="E336" s="24"/>
      <c r="F336" s="25"/>
      <c r="G336" s="25"/>
      <c r="H336" s="25"/>
      <c r="I336" s="25"/>
      <c r="J336" s="25"/>
      <c r="K336" s="26"/>
      <c r="L336" s="26"/>
      <c r="M336" s="26"/>
      <c r="N336" s="26"/>
      <c r="O336" s="26"/>
      <c r="P336" s="26"/>
      <c r="Q336" s="26"/>
      <c r="W336" s="23">
        <v>42710</v>
      </c>
      <c r="X336" s="32">
        <v>9867</v>
      </c>
    </row>
    <row r="337" spans="1:24" s="28" customFormat="1" ht="15" customHeight="1" x14ac:dyDescent="0.25">
      <c r="A337" s="23"/>
      <c r="B337" s="22"/>
      <c r="C337" s="22"/>
      <c r="D337" s="27"/>
      <c r="E337" s="24"/>
      <c r="F337" s="25"/>
      <c r="G337" s="25"/>
      <c r="H337" s="25"/>
      <c r="I337" s="25"/>
      <c r="J337" s="25"/>
      <c r="K337" s="26"/>
      <c r="L337" s="26"/>
      <c r="M337" s="26"/>
      <c r="N337" s="26"/>
      <c r="O337" s="26"/>
      <c r="P337" s="26"/>
      <c r="Q337" s="26"/>
      <c r="W337" s="23">
        <v>42711</v>
      </c>
      <c r="X337" s="32">
        <v>10200</v>
      </c>
    </row>
    <row r="338" spans="1:24" s="28" customFormat="1" ht="15" customHeight="1" x14ac:dyDescent="0.25">
      <c r="A338" s="23"/>
      <c r="B338" s="22"/>
      <c r="C338" s="22"/>
      <c r="D338" s="27"/>
      <c r="E338" s="24"/>
      <c r="F338" s="25"/>
      <c r="G338" s="25"/>
      <c r="H338" s="25"/>
      <c r="I338" s="25"/>
      <c r="J338" s="25"/>
      <c r="K338" s="26"/>
      <c r="L338" s="26"/>
      <c r="M338" s="26"/>
      <c r="N338" s="26"/>
      <c r="O338" s="26"/>
      <c r="P338" s="26"/>
      <c r="Q338" s="26"/>
      <c r="W338" s="23">
        <v>42712</v>
      </c>
      <c r="X338" s="32">
        <v>10200</v>
      </c>
    </row>
    <row r="339" spans="1:24" s="28" customFormat="1" ht="15" customHeight="1" x14ac:dyDescent="0.25">
      <c r="A339" s="23"/>
      <c r="B339" s="22"/>
      <c r="C339" s="22"/>
      <c r="D339" s="27"/>
      <c r="E339" s="24"/>
      <c r="F339" s="25"/>
      <c r="G339" s="25"/>
      <c r="H339" s="25"/>
      <c r="I339" s="25"/>
      <c r="J339" s="25"/>
      <c r="K339" s="26"/>
      <c r="L339" s="26"/>
      <c r="M339" s="26"/>
      <c r="N339" s="26"/>
      <c r="O339" s="26"/>
      <c r="P339" s="26"/>
      <c r="Q339" s="26"/>
      <c r="W339" s="23">
        <v>42713</v>
      </c>
      <c r="X339" s="32">
        <v>10533</v>
      </c>
    </row>
    <row r="340" spans="1:24" s="28" customFormat="1" ht="15" customHeight="1" x14ac:dyDescent="0.25">
      <c r="A340" s="23"/>
      <c r="B340" s="22"/>
      <c r="C340" s="22"/>
      <c r="D340" s="27"/>
      <c r="E340" s="24"/>
      <c r="F340" s="25"/>
      <c r="G340" s="25"/>
      <c r="H340" s="25"/>
      <c r="I340" s="25"/>
      <c r="J340" s="25"/>
      <c r="K340" s="26"/>
      <c r="L340" s="26"/>
      <c r="M340" s="26"/>
      <c r="N340" s="26"/>
      <c r="O340" s="26"/>
      <c r="P340" s="26"/>
      <c r="Q340" s="26"/>
      <c r="W340" s="23">
        <v>42714</v>
      </c>
      <c r="X340" s="32">
        <v>10400</v>
      </c>
    </row>
    <row r="341" spans="1:24" s="28" customFormat="1" ht="15" customHeight="1" x14ac:dyDescent="0.25">
      <c r="A341" s="23"/>
      <c r="B341" s="22"/>
      <c r="C341" s="22"/>
      <c r="D341" s="27"/>
      <c r="E341" s="24"/>
      <c r="F341" s="25"/>
      <c r="G341" s="25"/>
      <c r="H341" s="25"/>
      <c r="I341" s="25"/>
      <c r="J341" s="25"/>
      <c r="K341" s="26"/>
      <c r="L341" s="26"/>
      <c r="M341" s="26"/>
      <c r="N341" s="26"/>
      <c r="O341" s="26"/>
      <c r="P341" s="26"/>
      <c r="Q341" s="26"/>
      <c r="W341" s="23">
        <v>42715</v>
      </c>
      <c r="X341" s="32">
        <v>10400</v>
      </c>
    </row>
    <row r="342" spans="1:24" s="28" customFormat="1" ht="15" customHeight="1" x14ac:dyDescent="0.25">
      <c r="A342" s="23"/>
      <c r="B342" s="22"/>
      <c r="C342" s="22"/>
      <c r="D342" s="27"/>
      <c r="E342" s="24"/>
      <c r="F342" s="25"/>
      <c r="G342" s="25"/>
      <c r="H342" s="25"/>
      <c r="I342" s="25"/>
      <c r="J342" s="25"/>
      <c r="K342" s="26"/>
      <c r="L342" s="26"/>
      <c r="M342" s="26"/>
      <c r="N342" s="26"/>
      <c r="O342" s="26"/>
      <c r="P342" s="26"/>
      <c r="Q342" s="26"/>
      <c r="W342" s="23">
        <v>42716</v>
      </c>
      <c r="X342" s="32">
        <v>10533</v>
      </c>
    </row>
    <row r="343" spans="1:24" s="28" customFormat="1" ht="15" customHeight="1" x14ac:dyDescent="0.25">
      <c r="A343" s="23"/>
      <c r="B343" s="22"/>
      <c r="C343" s="22"/>
      <c r="D343" s="27"/>
      <c r="E343" s="24"/>
      <c r="F343" s="25"/>
      <c r="G343" s="25"/>
      <c r="H343" s="25"/>
      <c r="I343" s="25"/>
      <c r="J343" s="25"/>
      <c r="K343" s="26"/>
      <c r="L343" s="26"/>
      <c r="M343" s="26"/>
      <c r="N343" s="26"/>
      <c r="O343" s="26"/>
      <c r="P343" s="26"/>
      <c r="Q343" s="26"/>
      <c r="W343" s="23">
        <v>42717</v>
      </c>
      <c r="X343" s="32">
        <v>10600</v>
      </c>
    </row>
    <row r="344" spans="1:24" s="28" customFormat="1" ht="15" customHeight="1" x14ac:dyDescent="0.25">
      <c r="A344" s="23"/>
      <c r="B344" s="22"/>
      <c r="C344" s="22"/>
      <c r="D344" s="27"/>
      <c r="E344" s="24"/>
      <c r="F344" s="25"/>
      <c r="G344" s="25"/>
      <c r="H344" s="25"/>
      <c r="I344" s="25"/>
      <c r="J344" s="25"/>
      <c r="K344" s="26"/>
      <c r="L344" s="26"/>
      <c r="M344" s="26"/>
      <c r="N344" s="26"/>
      <c r="O344" s="26"/>
      <c r="P344" s="26"/>
      <c r="Q344" s="26"/>
      <c r="W344" s="23">
        <v>42718</v>
      </c>
      <c r="X344" s="32">
        <v>10667</v>
      </c>
    </row>
    <row r="345" spans="1:24" s="28" customFormat="1" ht="15" customHeight="1" x14ac:dyDescent="0.25">
      <c r="A345" s="23"/>
      <c r="B345" s="22"/>
      <c r="C345" s="22"/>
      <c r="D345" s="27"/>
      <c r="E345" s="24"/>
      <c r="F345" s="25"/>
      <c r="G345" s="25"/>
      <c r="H345" s="25"/>
      <c r="I345" s="25"/>
      <c r="J345" s="25"/>
      <c r="K345" s="26"/>
      <c r="L345" s="26"/>
      <c r="M345" s="26"/>
      <c r="N345" s="26"/>
      <c r="O345" s="26"/>
      <c r="P345" s="26"/>
      <c r="Q345" s="26"/>
      <c r="W345" s="23">
        <v>42719</v>
      </c>
      <c r="X345" s="32">
        <v>10733</v>
      </c>
    </row>
    <row r="346" spans="1:24" s="28" customFormat="1" ht="15" customHeight="1" x14ac:dyDescent="0.25">
      <c r="A346" s="23"/>
      <c r="B346" s="22"/>
      <c r="C346" s="22"/>
      <c r="D346" s="27"/>
      <c r="E346" s="24"/>
      <c r="F346" s="25"/>
      <c r="G346" s="25"/>
      <c r="H346" s="25"/>
      <c r="I346" s="25"/>
      <c r="J346" s="25"/>
      <c r="K346" s="26"/>
      <c r="L346" s="26"/>
      <c r="M346" s="26"/>
      <c r="N346" s="26"/>
      <c r="O346" s="26"/>
      <c r="P346" s="26"/>
      <c r="Q346" s="26"/>
      <c r="W346" s="23">
        <v>42720</v>
      </c>
      <c r="X346" s="32">
        <v>10867</v>
      </c>
    </row>
    <row r="347" spans="1:24" s="28" customFormat="1" ht="15" customHeight="1" x14ac:dyDescent="0.25">
      <c r="A347" s="23"/>
      <c r="B347" s="22"/>
      <c r="C347" s="22"/>
      <c r="D347" s="27"/>
      <c r="E347" s="24"/>
      <c r="F347" s="25"/>
      <c r="G347" s="25"/>
      <c r="H347" s="25"/>
      <c r="I347" s="25"/>
      <c r="J347" s="25"/>
      <c r="K347" s="26"/>
      <c r="L347" s="26"/>
      <c r="M347" s="26"/>
      <c r="N347" s="26"/>
      <c r="O347" s="26"/>
      <c r="P347" s="26"/>
      <c r="Q347" s="26"/>
      <c r="W347" s="23">
        <v>42721</v>
      </c>
      <c r="X347" s="32">
        <v>10867</v>
      </c>
    </row>
    <row r="348" spans="1:24" s="28" customFormat="1" ht="15" customHeight="1" x14ac:dyDescent="0.25">
      <c r="A348" s="23"/>
      <c r="B348" s="22"/>
      <c r="C348" s="22"/>
      <c r="D348" s="27"/>
      <c r="E348" s="24"/>
      <c r="F348" s="25"/>
      <c r="G348" s="25"/>
      <c r="H348" s="25"/>
      <c r="I348" s="25"/>
      <c r="J348" s="25"/>
      <c r="K348" s="26"/>
      <c r="L348" s="26"/>
      <c r="M348" s="26"/>
      <c r="N348" s="26"/>
      <c r="O348" s="26"/>
      <c r="P348" s="26"/>
      <c r="Q348" s="26"/>
      <c r="W348" s="23">
        <v>42722</v>
      </c>
      <c r="X348" s="32">
        <v>10867</v>
      </c>
    </row>
    <row r="349" spans="1:24" s="28" customFormat="1" ht="15" customHeight="1" x14ac:dyDescent="0.25">
      <c r="A349" s="23"/>
      <c r="B349" s="22"/>
      <c r="C349" s="22"/>
      <c r="D349" s="27"/>
      <c r="E349" s="24"/>
      <c r="F349" s="25"/>
      <c r="G349" s="25"/>
      <c r="H349" s="25"/>
      <c r="I349" s="25"/>
      <c r="J349" s="25"/>
      <c r="K349" s="26"/>
      <c r="L349" s="26"/>
      <c r="M349" s="26"/>
      <c r="N349" s="26"/>
      <c r="O349" s="26"/>
      <c r="P349" s="26"/>
      <c r="Q349" s="26"/>
      <c r="W349" s="23">
        <v>42723</v>
      </c>
      <c r="X349" s="32">
        <v>10733</v>
      </c>
    </row>
    <row r="350" spans="1:24" s="28" customFormat="1" ht="15" customHeight="1" x14ac:dyDescent="0.25">
      <c r="A350" s="23"/>
      <c r="B350" s="22"/>
      <c r="C350" s="22"/>
      <c r="D350" s="27"/>
      <c r="E350" s="24"/>
      <c r="F350" s="25"/>
      <c r="G350" s="25"/>
      <c r="H350" s="25"/>
      <c r="I350" s="25"/>
      <c r="J350" s="25"/>
      <c r="K350" s="26"/>
      <c r="L350" s="26"/>
      <c r="M350" s="26"/>
      <c r="N350" s="26"/>
      <c r="O350" s="26"/>
      <c r="P350" s="26"/>
      <c r="Q350" s="26"/>
      <c r="W350" s="23">
        <v>42724</v>
      </c>
      <c r="X350" s="32">
        <v>10533</v>
      </c>
    </row>
    <row r="351" spans="1:24" s="28" customFormat="1" ht="15" customHeight="1" x14ac:dyDescent="0.25">
      <c r="A351" s="23"/>
      <c r="B351" s="22"/>
      <c r="C351" s="22"/>
      <c r="D351" s="27"/>
      <c r="E351" s="24"/>
      <c r="F351" s="25"/>
      <c r="G351" s="25"/>
      <c r="H351" s="25"/>
      <c r="I351" s="25"/>
      <c r="J351" s="25"/>
      <c r="K351" s="26"/>
      <c r="L351" s="26"/>
      <c r="M351" s="26"/>
      <c r="N351" s="26"/>
      <c r="O351" s="26"/>
      <c r="P351" s="26"/>
      <c r="Q351" s="26"/>
      <c r="W351" s="23">
        <v>42725</v>
      </c>
      <c r="X351" s="32">
        <v>10400</v>
      </c>
    </row>
    <row r="352" spans="1:24" s="28" customFormat="1" ht="15" customHeight="1" x14ac:dyDescent="0.25">
      <c r="A352" s="23"/>
      <c r="B352" s="22"/>
      <c r="C352" s="22"/>
      <c r="D352" s="27"/>
      <c r="E352" s="24"/>
      <c r="F352" s="25"/>
      <c r="G352" s="25"/>
      <c r="H352" s="25"/>
      <c r="I352" s="25"/>
      <c r="J352" s="25"/>
      <c r="K352" s="26"/>
      <c r="L352" s="26"/>
      <c r="M352" s="26"/>
      <c r="N352" s="26"/>
      <c r="O352" s="26"/>
      <c r="P352" s="26"/>
      <c r="Q352" s="26"/>
      <c r="W352" s="23">
        <v>42726</v>
      </c>
      <c r="X352" s="32">
        <v>10267</v>
      </c>
    </row>
    <row r="353" spans="1:24" s="28" customFormat="1" ht="15" customHeight="1" x14ac:dyDescent="0.25">
      <c r="A353" s="23"/>
      <c r="B353" s="22"/>
      <c r="C353" s="22"/>
      <c r="D353" s="27"/>
      <c r="E353" s="24"/>
      <c r="F353" s="25"/>
      <c r="G353" s="25"/>
      <c r="H353" s="25"/>
      <c r="I353" s="25"/>
      <c r="J353" s="25"/>
      <c r="K353" s="26"/>
      <c r="L353" s="26"/>
      <c r="M353" s="26"/>
      <c r="N353" s="26"/>
      <c r="O353" s="26"/>
      <c r="P353" s="26"/>
      <c r="Q353" s="26"/>
      <c r="W353" s="23">
        <v>42727</v>
      </c>
      <c r="X353" s="32">
        <v>10267</v>
      </c>
    </row>
    <row r="354" spans="1:24" s="28" customFormat="1" ht="15" customHeight="1" x14ac:dyDescent="0.25">
      <c r="A354" s="23"/>
      <c r="B354" s="22"/>
      <c r="C354" s="22"/>
      <c r="D354" s="27"/>
      <c r="E354" s="24"/>
      <c r="F354" s="25"/>
      <c r="G354" s="25"/>
      <c r="H354" s="25"/>
      <c r="I354" s="25"/>
      <c r="J354" s="25"/>
      <c r="K354" s="26"/>
      <c r="L354" s="26"/>
      <c r="M354" s="26"/>
      <c r="N354" s="26"/>
      <c r="O354" s="26"/>
      <c r="P354" s="26"/>
      <c r="Q354" s="26"/>
      <c r="W354" s="23">
        <v>42728</v>
      </c>
      <c r="X354" s="32">
        <v>10267</v>
      </c>
    </row>
    <row r="355" spans="1:24" s="28" customFormat="1" ht="15" customHeight="1" x14ac:dyDescent="0.25">
      <c r="A355" s="23"/>
      <c r="B355" s="22"/>
      <c r="C355" s="22"/>
      <c r="D355" s="27"/>
      <c r="E355" s="24"/>
      <c r="F355" s="25"/>
      <c r="G355" s="25"/>
      <c r="H355" s="25"/>
      <c r="I355" s="25"/>
      <c r="J355" s="25"/>
      <c r="K355" s="26"/>
      <c r="L355" s="26"/>
      <c r="M355" s="26"/>
      <c r="N355" s="26"/>
      <c r="O355" s="26"/>
      <c r="P355" s="26"/>
      <c r="Q355" s="26"/>
      <c r="W355" s="23">
        <v>42729</v>
      </c>
      <c r="X355" s="32">
        <v>10267</v>
      </c>
    </row>
    <row r="356" spans="1:24" s="28" customFormat="1" ht="15" customHeight="1" x14ac:dyDescent="0.25">
      <c r="A356" s="23"/>
      <c r="B356" s="22"/>
      <c r="C356" s="22"/>
      <c r="D356" s="27"/>
      <c r="E356" s="24"/>
      <c r="F356" s="25"/>
      <c r="G356" s="25"/>
      <c r="H356" s="25"/>
      <c r="I356" s="25"/>
      <c r="J356" s="25"/>
      <c r="K356" s="26"/>
      <c r="L356" s="26"/>
      <c r="M356" s="26"/>
      <c r="N356" s="26"/>
      <c r="O356" s="26"/>
      <c r="P356" s="26"/>
      <c r="Q356" s="26"/>
      <c r="W356" s="23">
        <v>42730</v>
      </c>
      <c r="X356" s="32">
        <v>10533</v>
      </c>
    </row>
    <row r="357" spans="1:24" s="28" customFormat="1" ht="15" customHeight="1" x14ac:dyDescent="0.25">
      <c r="A357" s="23"/>
      <c r="B357" s="22"/>
      <c r="C357" s="22"/>
      <c r="D357" s="27"/>
      <c r="E357" s="24"/>
      <c r="F357" s="25"/>
      <c r="G357" s="25"/>
      <c r="H357" s="25"/>
      <c r="I357" s="25"/>
      <c r="J357" s="25"/>
      <c r="K357" s="26"/>
      <c r="L357" s="26"/>
      <c r="M357" s="26"/>
      <c r="N357" s="26"/>
      <c r="O357" s="26"/>
      <c r="P357" s="26"/>
      <c r="Q357" s="26"/>
      <c r="W357" s="23">
        <v>42731</v>
      </c>
      <c r="X357" s="32">
        <v>10533</v>
      </c>
    </row>
    <row r="358" spans="1:24" s="28" customFormat="1" ht="15" customHeight="1" x14ac:dyDescent="0.25">
      <c r="A358" s="23"/>
      <c r="B358" s="22"/>
      <c r="C358" s="22"/>
      <c r="D358" s="27"/>
      <c r="E358" s="24"/>
      <c r="F358" s="25"/>
      <c r="G358" s="25"/>
      <c r="H358" s="25"/>
      <c r="I358" s="25"/>
      <c r="J358" s="25"/>
      <c r="K358" s="26"/>
      <c r="L358" s="26"/>
      <c r="M358" s="26"/>
      <c r="N358" s="26"/>
      <c r="O358" s="26"/>
      <c r="P358" s="26"/>
      <c r="Q358" s="26"/>
      <c r="W358" s="23">
        <v>42732</v>
      </c>
      <c r="X358" s="32">
        <v>10667</v>
      </c>
    </row>
    <row r="359" spans="1:24" s="28" customFormat="1" ht="15" customHeight="1" x14ac:dyDescent="0.25">
      <c r="A359" s="23"/>
      <c r="B359" s="22"/>
      <c r="C359" s="22"/>
      <c r="D359" s="27"/>
      <c r="E359" s="24"/>
      <c r="F359" s="25"/>
      <c r="G359" s="25"/>
      <c r="H359" s="25"/>
      <c r="I359" s="25"/>
      <c r="J359" s="25"/>
      <c r="K359" s="26"/>
      <c r="L359" s="26"/>
      <c r="M359" s="26"/>
      <c r="N359" s="26"/>
      <c r="O359" s="26"/>
      <c r="P359" s="26"/>
      <c r="Q359" s="26"/>
      <c r="W359" s="23">
        <v>42733</v>
      </c>
      <c r="X359" s="32">
        <v>10867</v>
      </c>
    </row>
    <row r="360" spans="1:24" s="28" customFormat="1" ht="15" customHeight="1" x14ac:dyDescent="0.25">
      <c r="A360" s="23"/>
      <c r="B360" s="22"/>
      <c r="C360" s="22"/>
      <c r="D360" s="27"/>
      <c r="E360" s="24"/>
      <c r="F360" s="25"/>
      <c r="G360" s="25"/>
      <c r="H360" s="25"/>
      <c r="I360" s="25"/>
      <c r="J360" s="25"/>
      <c r="K360" s="26"/>
      <c r="L360" s="26"/>
      <c r="M360" s="26"/>
      <c r="N360" s="26"/>
      <c r="O360" s="26"/>
      <c r="P360" s="26"/>
      <c r="Q360" s="26"/>
      <c r="W360" s="23">
        <v>42734</v>
      </c>
      <c r="X360" s="32">
        <v>10867</v>
      </c>
    </row>
    <row r="361" spans="1:24" s="28" customFormat="1" ht="15" customHeight="1" x14ac:dyDescent="0.25">
      <c r="A361" s="23"/>
      <c r="B361" s="22"/>
      <c r="C361" s="22"/>
      <c r="D361" s="27"/>
      <c r="E361" s="24"/>
      <c r="F361" s="25"/>
      <c r="G361" s="25"/>
      <c r="H361" s="25"/>
      <c r="I361" s="25"/>
      <c r="J361" s="25"/>
      <c r="K361" s="26"/>
      <c r="L361" s="26"/>
      <c r="M361" s="26"/>
      <c r="N361" s="26"/>
      <c r="O361" s="26"/>
      <c r="P361" s="26"/>
      <c r="Q361" s="26"/>
      <c r="W361" s="23">
        <v>42735</v>
      </c>
      <c r="X361" s="32">
        <v>10867</v>
      </c>
    </row>
    <row r="362" spans="1:24" s="28" customFormat="1" ht="15" customHeight="1" x14ac:dyDescent="0.25">
      <c r="A362" s="23"/>
      <c r="B362" s="22"/>
      <c r="C362" s="22"/>
      <c r="D362" s="27"/>
      <c r="E362" s="24"/>
      <c r="F362" s="25"/>
      <c r="G362" s="25"/>
      <c r="H362" s="25"/>
      <c r="I362" s="25"/>
      <c r="J362" s="25"/>
      <c r="K362" s="26"/>
      <c r="L362" s="26"/>
      <c r="M362" s="26"/>
      <c r="N362" s="26"/>
      <c r="O362" s="26"/>
      <c r="P362" s="26"/>
      <c r="Q362" s="26"/>
      <c r="W362" s="23">
        <v>42736</v>
      </c>
      <c r="X362" s="32">
        <v>10867</v>
      </c>
    </row>
    <row r="363" spans="1:24" s="28" customFormat="1" ht="15" customHeight="1" x14ac:dyDescent="0.25">
      <c r="A363" s="23"/>
      <c r="B363" s="22"/>
      <c r="C363" s="22"/>
      <c r="D363" s="27"/>
      <c r="E363" s="24"/>
      <c r="F363" s="25"/>
      <c r="G363" s="25"/>
      <c r="H363" s="25"/>
      <c r="I363" s="25"/>
      <c r="J363" s="25"/>
      <c r="K363" s="26"/>
      <c r="L363" s="26"/>
      <c r="M363" s="26"/>
      <c r="N363" s="26"/>
      <c r="O363" s="26"/>
      <c r="P363" s="26"/>
      <c r="Q363" s="26"/>
      <c r="W363" s="23">
        <v>42737</v>
      </c>
      <c r="X363" s="32">
        <v>10800</v>
      </c>
    </row>
    <row r="364" spans="1:24" s="28" customFormat="1" ht="15" customHeight="1" x14ac:dyDescent="0.25">
      <c r="A364" s="23"/>
      <c r="B364" s="22"/>
      <c r="C364" s="22"/>
      <c r="D364" s="27"/>
      <c r="E364" s="24"/>
      <c r="F364" s="25"/>
      <c r="G364" s="25"/>
      <c r="H364" s="25"/>
      <c r="I364" s="25"/>
      <c r="J364" s="25"/>
      <c r="K364" s="26"/>
      <c r="L364" s="26"/>
      <c r="M364" s="26"/>
      <c r="N364" s="26"/>
      <c r="O364" s="26"/>
      <c r="P364" s="26"/>
      <c r="Q364" s="26"/>
      <c r="W364" s="23">
        <v>42738</v>
      </c>
      <c r="X364" s="32">
        <v>10733</v>
      </c>
    </row>
    <row r="365" spans="1:24" s="28" customFormat="1" ht="15" customHeight="1" x14ac:dyDescent="0.25">
      <c r="A365" s="23"/>
      <c r="B365" s="22"/>
      <c r="C365" s="22"/>
      <c r="D365" s="27"/>
      <c r="E365" s="24"/>
      <c r="F365" s="25"/>
      <c r="G365" s="25"/>
      <c r="H365" s="25"/>
      <c r="I365" s="25"/>
      <c r="J365" s="25"/>
      <c r="K365" s="26"/>
      <c r="L365" s="26"/>
      <c r="M365" s="26"/>
      <c r="N365" s="26"/>
      <c r="O365" s="26"/>
      <c r="P365" s="26"/>
      <c r="Q365" s="26"/>
      <c r="W365" s="23">
        <v>42739</v>
      </c>
      <c r="X365" s="32">
        <v>10667</v>
      </c>
    </row>
    <row r="366" spans="1:24" s="28" customFormat="1" ht="15" customHeight="1" x14ac:dyDescent="0.25">
      <c r="A366" s="23"/>
      <c r="B366" s="22"/>
      <c r="C366" s="22"/>
      <c r="D366" s="27"/>
      <c r="E366" s="24"/>
      <c r="F366" s="25"/>
      <c r="G366" s="25"/>
      <c r="H366" s="25"/>
      <c r="I366" s="25"/>
      <c r="J366" s="25"/>
      <c r="K366" s="26"/>
      <c r="L366" s="26"/>
      <c r="M366" s="26"/>
      <c r="N366" s="26"/>
      <c r="O366" s="26"/>
      <c r="P366" s="26"/>
      <c r="Q366" s="26"/>
      <c r="W366" s="23">
        <v>42740</v>
      </c>
      <c r="X366" s="32">
        <v>10677</v>
      </c>
    </row>
    <row r="367" spans="1:24" s="28" customFormat="1" ht="15" customHeight="1" x14ac:dyDescent="0.25">
      <c r="A367" s="23"/>
      <c r="B367" s="22"/>
      <c r="C367" s="22"/>
      <c r="D367" s="27"/>
      <c r="E367" s="24"/>
      <c r="F367" s="25"/>
      <c r="G367" s="25"/>
      <c r="H367" s="25"/>
      <c r="I367" s="25"/>
      <c r="J367" s="25"/>
      <c r="K367" s="26"/>
      <c r="L367" s="26"/>
      <c r="M367" s="26"/>
      <c r="N367" s="26"/>
      <c r="O367" s="26"/>
      <c r="P367" s="26"/>
      <c r="Q367" s="26"/>
      <c r="W367" s="23">
        <v>42741</v>
      </c>
      <c r="X367" s="32">
        <v>10667</v>
      </c>
    </row>
    <row r="368" spans="1:24" s="28" customFormat="1" ht="15" customHeight="1" x14ac:dyDescent="0.25">
      <c r="A368" s="23"/>
      <c r="B368" s="22"/>
      <c r="C368" s="22"/>
      <c r="D368" s="27"/>
      <c r="E368" s="24"/>
      <c r="F368" s="25"/>
      <c r="G368" s="25"/>
      <c r="H368" s="25"/>
      <c r="I368" s="25"/>
      <c r="J368" s="25"/>
      <c r="K368" s="26"/>
      <c r="L368" s="26"/>
      <c r="M368" s="26"/>
      <c r="N368" s="26"/>
      <c r="O368" s="26"/>
      <c r="P368" s="26"/>
      <c r="Q368" s="26"/>
      <c r="W368" s="23">
        <v>42742</v>
      </c>
      <c r="X368" s="32">
        <v>10667</v>
      </c>
    </row>
    <row r="369" spans="1:25" s="28" customFormat="1" ht="15" customHeight="1" x14ac:dyDescent="0.25">
      <c r="A369" s="23"/>
      <c r="B369" s="22"/>
      <c r="C369" s="22"/>
      <c r="D369" s="27"/>
      <c r="E369" s="24"/>
      <c r="F369" s="25"/>
      <c r="G369" s="25"/>
      <c r="H369" s="25"/>
      <c r="I369" s="25"/>
      <c r="J369" s="25"/>
      <c r="K369" s="26"/>
      <c r="L369" s="26"/>
      <c r="M369" s="26"/>
      <c r="N369" s="26"/>
      <c r="O369" s="26"/>
      <c r="P369" s="26"/>
      <c r="Q369" s="26"/>
      <c r="W369" s="23">
        <v>42743</v>
      </c>
      <c r="X369" s="32">
        <v>10667</v>
      </c>
    </row>
    <row r="370" spans="1:25" s="28" customFormat="1" ht="15" customHeight="1" x14ac:dyDescent="0.25">
      <c r="A370" s="23"/>
      <c r="B370" s="22"/>
      <c r="C370" s="22"/>
      <c r="D370" s="27"/>
      <c r="E370" s="24"/>
      <c r="F370" s="25"/>
      <c r="G370" s="25"/>
      <c r="H370" s="25"/>
      <c r="I370" s="25"/>
      <c r="J370" s="25"/>
      <c r="K370" s="26"/>
      <c r="L370" s="26"/>
      <c r="M370" s="26"/>
      <c r="N370" s="26"/>
      <c r="O370" s="26"/>
      <c r="P370" s="26"/>
      <c r="Q370" s="26"/>
      <c r="W370" s="23">
        <v>42744</v>
      </c>
      <c r="X370" s="32">
        <v>10733</v>
      </c>
    </row>
    <row r="371" spans="1:25" s="28" customFormat="1" ht="15" customHeight="1" x14ac:dyDescent="0.25">
      <c r="A371" s="23"/>
      <c r="B371" s="22"/>
      <c r="C371" s="22"/>
      <c r="D371" s="27"/>
      <c r="E371" s="24"/>
      <c r="F371" s="25"/>
      <c r="G371" s="25"/>
      <c r="H371" s="25"/>
      <c r="I371" s="25"/>
      <c r="J371" s="25"/>
      <c r="K371" s="26"/>
      <c r="L371" s="26"/>
      <c r="M371" s="26"/>
      <c r="N371" s="26"/>
      <c r="O371" s="26"/>
      <c r="P371" s="26"/>
      <c r="Q371" s="26"/>
      <c r="W371" s="23">
        <v>42745</v>
      </c>
      <c r="X371" s="32">
        <v>10867</v>
      </c>
    </row>
    <row r="372" spans="1:25" ht="15" customHeight="1" x14ac:dyDescent="0.25">
      <c r="W372" s="23">
        <v>42746</v>
      </c>
      <c r="X372" s="32">
        <v>10867</v>
      </c>
      <c r="Y372" s="28"/>
    </row>
    <row r="373" spans="1:25" ht="15" customHeight="1" x14ac:dyDescent="0.25">
      <c r="W373" s="23">
        <v>42747</v>
      </c>
      <c r="X373" s="32">
        <v>11000</v>
      </c>
      <c r="Y373" s="28"/>
    </row>
    <row r="374" spans="1:25" ht="15" customHeight="1" x14ac:dyDescent="0.25">
      <c r="W374" s="23">
        <v>42748</v>
      </c>
      <c r="X374" s="32">
        <v>11200</v>
      </c>
      <c r="Y374" s="28"/>
    </row>
    <row r="375" spans="1:25" ht="15" customHeight="1" x14ac:dyDescent="0.25">
      <c r="W375" s="23">
        <v>42749</v>
      </c>
      <c r="X375" s="32">
        <v>11200</v>
      </c>
      <c r="Y375" s="28"/>
    </row>
    <row r="376" spans="1:25" ht="15" customHeight="1" x14ac:dyDescent="0.25">
      <c r="W376" s="23">
        <v>42750</v>
      </c>
      <c r="X376" s="32">
        <v>11200</v>
      </c>
      <c r="Y376" s="28"/>
    </row>
    <row r="377" spans="1:25" ht="15" customHeight="1" x14ac:dyDescent="0.25">
      <c r="W377" s="23">
        <v>42751</v>
      </c>
      <c r="X377" s="32">
        <v>11200</v>
      </c>
      <c r="Y377" s="28"/>
    </row>
    <row r="378" spans="1:25" ht="15" customHeight="1" x14ac:dyDescent="0.25">
      <c r="W378" s="23">
        <v>42752</v>
      </c>
      <c r="X378" s="32">
        <v>11533</v>
      </c>
      <c r="Y378" s="28"/>
    </row>
    <row r="379" spans="1:25" ht="15" customHeight="1" x14ac:dyDescent="0.25">
      <c r="W379" s="23">
        <v>42753</v>
      </c>
      <c r="X379" s="32">
        <v>11867</v>
      </c>
      <c r="Y379" s="28"/>
    </row>
    <row r="380" spans="1:25" ht="15" customHeight="1" x14ac:dyDescent="0.25">
      <c r="W380" s="23">
        <v>42754</v>
      </c>
      <c r="X380" s="32">
        <v>12067</v>
      </c>
      <c r="Y380" s="28"/>
    </row>
    <row r="381" spans="1:25" ht="15" customHeight="1" x14ac:dyDescent="0.25">
      <c r="W381" s="23">
        <v>42755</v>
      </c>
      <c r="X381" s="32">
        <v>12067</v>
      </c>
      <c r="Y381" s="28"/>
    </row>
    <row r="382" spans="1:25" ht="15" customHeight="1" x14ac:dyDescent="0.25">
      <c r="W382" s="23">
        <v>42756</v>
      </c>
      <c r="X382" s="32">
        <v>12067</v>
      </c>
      <c r="Y382" s="28"/>
    </row>
    <row r="383" spans="1:25" ht="15" customHeight="1" x14ac:dyDescent="0.25">
      <c r="W383" s="23">
        <v>42757</v>
      </c>
      <c r="X383" s="32">
        <v>12067</v>
      </c>
      <c r="Y383" s="28"/>
    </row>
    <row r="384" spans="1:25" ht="15" customHeight="1" x14ac:dyDescent="0.25">
      <c r="W384" s="23">
        <v>42758</v>
      </c>
      <c r="X384" s="32">
        <v>13000</v>
      </c>
      <c r="Y384" s="28"/>
    </row>
    <row r="385" spans="23:25" ht="15" customHeight="1" x14ac:dyDescent="0.25">
      <c r="W385" s="23">
        <v>42759</v>
      </c>
      <c r="X385" s="32">
        <v>13000</v>
      </c>
      <c r="Y385" s="28"/>
    </row>
    <row r="386" spans="23:25" ht="15" customHeight="1" x14ac:dyDescent="0.25">
      <c r="W386" s="23">
        <v>42760</v>
      </c>
      <c r="X386" s="32">
        <v>13200</v>
      </c>
      <c r="Y386" s="28"/>
    </row>
    <row r="387" spans="23:25" ht="15" customHeight="1" x14ac:dyDescent="0.25">
      <c r="W387" s="23">
        <v>42761</v>
      </c>
      <c r="X387" s="32">
        <v>13200</v>
      </c>
      <c r="Y387" s="28"/>
    </row>
    <row r="388" spans="23:25" ht="15" customHeight="1" x14ac:dyDescent="0.25">
      <c r="W388" s="23">
        <v>42762</v>
      </c>
      <c r="X388" s="32">
        <v>13200</v>
      </c>
      <c r="Y388" s="28"/>
    </row>
    <row r="389" spans="23:25" ht="15" customHeight="1" x14ac:dyDescent="0.25">
      <c r="W389" s="23">
        <v>42763</v>
      </c>
      <c r="X389" s="32">
        <v>13267</v>
      </c>
      <c r="Y389" s="28"/>
    </row>
    <row r="390" spans="23:25" ht="15" customHeight="1" x14ac:dyDescent="0.25">
      <c r="W390" s="23">
        <v>42764</v>
      </c>
      <c r="X390" s="32">
        <v>13267</v>
      </c>
      <c r="Y390" s="28"/>
    </row>
    <row r="391" spans="23:25" ht="15" customHeight="1" x14ac:dyDescent="0.25">
      <c r="W391" s="23">
        <v>42765</v>
      </c>
      <c r="X391" s="32">
        <v>13467</v>
      </c>
      <c r="Y391" s="28"/>
    </row>
    <row r="392" spans="23:25" ht="15" customHeight="1" x14ac:dyDescent="0.25">
      <c r="W392" s="23">
        <v>42766</v>
      </c>
      <c r="X392" s="32">
        <v>13733</v>
      </c>
      <c r="Y392" s="28"/>
    </row>
    <row r="393" spans="23:25" ht="15" customHeight="1" x14ac:dyDescent="0.25">
      <c r="W393" s="23">
        <v>42767</v>
      </c>
      <c r="X393" s="32">
        <v>13600</v>
      </c>
      <c r="Y393" s="28"/>
    </row>
    <row r="394" spans="23:25" ht="15" customHeight="1" x14ac:dyDescent="0.25">
      <c r="W394" s="23">
        <v>42768</v>
      </c>
      <c r="X394" s="32">
        <v>13667</v>
      </c>
      <c r="Y394" s="28"/>
    </row>
    <row r="395" spans="23:25" ht="15" customHeight="1" x14ac:dyDescent="0.25">
      <c r="W395" s="23">
        <v>42769</v>
      </c>
      <c r="X395" s="32">
        <v>13467</v>
      </c>
      <c r="Y395" s="28"/>
    </row>
    <row r="396" spans="23:25" ht="15" customHeight="1" x14ac:dyDescent="0.25">
      <c r="W396" s="23">
        <v>42770</v>
      </c>
      <c r="X396" s="32">
        <v>13000</v>
      </c>
      <c r="Y396" s="28"/>
    </row>
    <row r="397" spans="23:25" ht="15" customHeight="1" x14ac:dyDescent="0.25">
      <c r="W397" s="23">
        <v>42771</v>
      </c>
      <c r="X397" s="32">
        <v>13000</v>
      </c>
      <c r="Y397" s="28"/>
    </row>
    <row r="398" spans="23:25" ht="15" customHeight="1" x14ac:dyDescent="0.25">
      <c r="W398" s="23">
        <v>42772</v>
      </c>
      <c r="X398" s="32">
        <v>12667</v>
      </c>
      <c r="Y398" s="28"/>
    </row>
    <row r="399" spans="23:25" ht="15" customHeight="1" x14ac:dyDescent="0.25">
      <c r="W399" s="23">
        <v>42773</v>
      </c>
      <c r="X399" s="32">
        <v>12667</v>
      </c>
      <c r="Y399" s="28"/>
    </row>
    <row r="400" spans="23:25" ht="15" customHeight="1" x14ac:dyDescent="0.25">
      <c r="W400" s="23">
        <v>42774</v>
      </c>
      <c r="X400" s="32">
        <v>12800</v>
      </c>
      <c r="Y400" s="28"/>
    </row>
    <row r="401" spans="22:25" ht="15" customHeight="1" x14ac:dyDescent="0.25">
      <c r="W401" s="23">
        <v>42775</v>
      </c>
      <c r="X401" s="32">
        <v>12800</v>
      </c>
      <c r="Y401" s="28"/>
    </row>
    <row r="402" spans="22:25" ht="15" customHeight="1" x14ac:dyDescent="0.25">
      <c r="W402" s="23">
        <v>42776</v>
      </c>
      <c r="X402" s="32">
        <v>12533</v>
      </c>
      <c r="Y402" s="28"/>
    </row>
    <row r="403" spans="22:25" ht="15" customHeight="1" x14ac:dyDescent="0.25">
      <c r="W403" s="23">
        <v>42777</v>
      </c>
      <c r="X403" s="32">
        <v>12200</v>
      </c>
      <c r="Y403" s="28"/>
    </row>
    <row r="404" spans="22:25" ht="15" customHeight="1" x14ac:dyDescent="0.25">
      <c r="W404" s="23">
        <v>42778</v>
      </c>
      <c r="X404" s="32">
        <v>12200</v>
      </c>
      <c r="Y404" s="28"/>
    </row>
    <row r="405" spans="22:25" ht="15" customHeight="1" x14ac:dyDescent="0.25">
      <c r="W405" s="23">
        <v>42779</v>
      </c>
      <c r="X405" s="32">
        <v>11867</v>
      </c>
      <c r="Y405" s="28"/>
    </row>
    <row r="406" spans="22:25" ht="15" customHeight="1" x14ac:dyDescent="0.25">
      <c r="W406" s="23">
        <v>42780</v>
      </c>
      <c r="X406" s="32">
        <v>11867</v>
      </c>
      <c r="Y406" s="28"/>
    </row>
    <row r="407" spans="22:25" ht="15" customHeight="1" x14ac:dyDescent="0.25">
      <c r="W407" s="23">
        <v>42781</v>
      </c>
      <c r="X407" s="32">
        <v>12067</v>
      </c>
      <c r="Y407" s="28"/>
    </row>
    <row r="408" spans="22:25" ht="15" customHeight="1" x14ac:dyDescent="0.25">
      <c r="W408" s="23">
        <v>42782</v>
      </c>
      <c r="X408" s="32">
        <v>12533</v>
      </c>
      <c r="Y408" s="28"/>
    </row>
    <row r="409" spans="22:25" ht="15" customHeight="1" x14ac:dyDescent="0.25">
      <c r="W409" s="23">
        <v>42783</v>
      </c>
      <c r="X409" s="32">
        <v>12133</v>
      </c>
      <c r="Y409" s="28"/>
    </row>
    <row r="410" spans="22:25" ht="15" customHeight="1" x14ac:dyDescent="0.25">
      <c r="W410" s="23">
        <v>42784</v>
      </c>
      <c r="X410" s="32">
        <v>12000</v>
      </c>
      <c r="Y410" s="28"/>
    </row>
    <row r="411" spans="22:25" ht="15" customHeight="1" x14ac:dyDescent="0.25">
      <c r="W411" s="23">
        <v>42785</v>
      </c>
      <c r="X411" s="32">
        <v>12000</v>
      </c>
      <c r="Y411" s="28"/>
    </row>
    <row r="412" spans="22:25" ht="15" customHeight="1" x14ac:dyDescent="0.25">
      <c r="V412" s="104"/>
      <c r="W412" s="23">
        <v>42786</v>
      </c>
      <c r="X412" s="32">
        <v>11667</v>
      </c>
    </row>
    <row r="413" spans="22:25" ht="15" customHeight="1" x14ac:dyDescent="0.25">
      <c r="W413" s="23">
        <v>42787</v>
      </c>
      <c r="X413" s="32">
        <v>11533</v>
      </c>
    </row>
    <row r="414" spans="22:25" ht="15" customHeight="1" x14ac:dyDescent="0.25">
      <c r="W414" s="23">
        <v>42788</v>
      </c>
      <c r="X414" s="32">
        <v>11400</v>
      </c>
    </row>
    <row r="415" spans="22:25" ht="15" customHeight="1" x14ac:dyDescent="0.25">
      <c r="W415" s="23">
        <v>42789</v>
      </c>
      <c r="X415" s="32">
        <v>11733</v>
      </c>
    </row>
    <row r="416" spans="22:25" ht="15" customHeight="1" x14ac:dyDescent="0.25">
      <c r="W416" s="23">
        <v>42790</v>
      </c>
      <c r="X416" s="32">
        <v>11400</v>
      </c>
    </row>
    <row r="417" spans="23:24" ht="15" customHeight="1" x14ac:dyDescent="0.25">
      <c r="W417" s="23">
        <v>42791</v>
      </c>
      <c r="X417" s="32">
        <v>11533</v>
      </c>
    </row>
    <row r="418" spans="23:24" ht="15" customHeight="1" x14ac:dyDescent="0.25">
      <c r="W418" s="23">
        <v>42792</v>
      </c>
      <c r="X418" s="32">
        <v>11533</v>
      </c>
    </row>
    <row r="419" spans="23:24" ht="15" customHeight="1" x14ac:dyDescent="0.25">
      <c r="W419" s="23">
        <v>42793</v>
      </c>
      <c r="X419" s="32">
        <v>11600</v>
      </c>
    </row>
    <row r="420" spans="23:24" ht="15" customHeight="1" x14ac:dyDescent="0.25">
      <c r="W420" s="23">
        <v>42794</v>
      </c>
      <c r="X420" s="32">
        <v>11600</v>
      </c>
    </row>
    <row r="421" spans="23:24" ht="15" customHeight="1" x14ac:dyDescent="0.25">
      <c r="W421" s="23">
        <v>42795</v>
      </c>
      <c r="X421" s="32">
        <v>11667</v>
      </c>
    </row>
    <row r="422" spans="23:24" ht="15" customHeight="1" x14ac:dyDescent="0.25">
      <c r="W422" s="23">
        <v>42796</v>
      </c>
      <c r="X422" s="32">
        <v>11800</v>
      </c>
    </row>
    <row r="423" spans="23:24" ht="15" customHeight="1" x14ac:dyDescent="0.25">
      <c r="W423" s="23">
        <v>42797</v>
      </c>
      <c r="X423" s="32">
        <v>12000</v>
      </c>
    </row>
    <row r="424" spans="23:24" ht="15" customHeight="1" x14ac:dyDescent="0.25">
      <c r="W424" s="23">
        <v>42798</v>
      </c>
      <c r="X424" s="32">
        <v>12067</v>
      </c>
    </row>
    <row r="425" spans="23:24" ht="15" customHeight="1" x14ac:dyDescent="0.25">
      <c r="W425" s="23">
        <v>42799</v>
      </c>
      <c r="X425" s="32">
        <v>12067</v>
      </c>
    </row>
    <row r="426" spans="23:24" ht="15" customHeight="1" x14ac:dyDescent="0.25">
      <c r="W426" s="23">
        <v>42800</v>
      </c>
      <c r="X426" s="32">
        <v>11867</v>
      </c>
    </row>
    <row r="427" spans="23:24" ht="15" customHeight="1" x14ac:dyDescent="0.25">
      <c r="W427" s="23">
        <v>42801</v>
      </c>
      <c r="X427" s="32">
        <v>11733</v>
      </c>
    </row>
    <row r="428" spans="23:24" ht="15" customHeight="1" x14ac:dyDescent="0.25">
      <c r="W428" s="23">
        <v>42802</v>
      </c>
      <c r="X428" s="32">
        <v>11600</v>
      </c>
    </row>
    <row r="429" spans="23:24" ht="15" customHeight="1" x14ac:dyDescent="0.25">
      <c r="W429" s="23">
        <v>42803</v>
      </c>
      <c r="X429" s="32">
        <v>11400</v>
      </c>
    </row>
    <row r="430" spans="23:24" ht="15" customHeight="1" x14ac:dyDescent="0.25">
      <c r="W430" s="23">
        <v>42804</v>
      </c>
      <c r="X430" s="32">
        <v>11267</v>
      </c>
    </row>
    <row r="431" spans="23:24" ht="15" customHeight="1" x14ac:dyDescent="0.25">
      <c r="W431" s="23">
        <v>42805</v>
      </c>
      <c r="X431" s="32">
        <v>11267</v>
      </c>
    </row>
    <row r="432" spans="23:24" ht="15" customHeight="1" x14ac:dyDescent="0.25">
      <c r="W432" s="23">
        <v>42806</v>
      </c>
      <c r="X432" s="32">
        <v>11267</v>
      </c>
    </row>
    <row r="433" spans="23:24" ht="15" customHeight="1" x14ac:dyDescent="0.25">
      <c r="W433" s="23">
        <v>42807</v>
      </c>
      <c r="X433" s="32">
        <v>11667</v>
      </c>
    </row>
    <row r="434" spans="23:24" ht="15" customHeight="1" x14ac:dyDescent="0.25">
      <c r="W434" s="23">
        <v>42808</v>
      </c>
      <c r="X434" s="32">
        <v>11467</v>
      </c>
    </row>
    <row r="435" spans="23:24" ht="15" customHeight="1" x14ac:dyDescent="0.25">
      <c r="W435" s="23">
        <v>42809</v>
      </c>
      <c r="X435" s="32">
        <v>11467</v>
      </c>
    </row>
    <row r="436" spans="23:24" ht="15" customHeight="1" x14ac:dyDescent="0.25">
      <c r="W436" s="23">
        <v>42810</v>
      </c>
      <c r="X436" s="32">
        <v>11667</v>
      </c>
    </row>
    <row r="437" spans="23:24" ht="15" customHeight="1" x14ac:dyDescent="0.25">
      <c r="W437" s="23">
        <v>42811</v>
      </c>
      <c r="X437" s="32">
        <v>11467</v>
      </c>
    </row>
    <row r="438" spans="23:24" ht="15" customHeight="1" x14ac:dyDescent="0.25">
      <c r="W438" s="23">
        <v>42812</v>
      </c>
      <c r="X438" s="32">
        <v>11533</v>
      </c>
    </row>
    <row r="439" spans="23:24" ht="15" customHeight="1" x14ac:dyDescent="0.25">
      <c r="W439" s="23">
        <v>42813</v>
      </c>
      <c r="X439" s="32">
        <v>11533</v>
      </c>
    </row>
    <row r="440" spans="23:24" ht="15" customHeight="1" x14ac:dyDescent="0.25">
      <c r="W440" s="23">
        <v>42814</v>
      </c>
      <c r="X440" s="32">
        <v>11800</v>
      </c>
    </row>
    <row r="441" spans="23:24" ht="15" customHeight="1" x14ac:dyDescent="0.25">
      <c r="W441" s="23">
        <v>42815</v>
      </c>
      <c r="X441" s="32">
        <v>11933</v>
      </c>
    </row>
    <row r="442" spans="23:24" ht="15" customHeight="1" x14ac:dyDescent="0.25">
      <c r="W442" s="23">
        <v>42816</v>
      </c>
      <c r="X442" s="32">
        <v>12000</v>
      </c>
    </row>
    <row r="443" spans="23:24" ht="15" customHeight="1" x14ac:dyDescent="0.25">
      <c r="W443" s="23">
        <v>42817</v>
      </c>
      <c r="X443" s="32">
        <v>12200</v>
      </c>
    </row>
    <row r="444" spans="23:24" ht="15" customHeight="1" x14ac:dyDescent="0.25">
      <c r="W444" s="23">
        <v>42818</v>
      </c>
      <c r="X444" s="32">
        <v>12133</v>
      </c>
    </row>
    <row r="445" spans="23:24" ht="15" customHeight="1" x14ac:dyDescent="0.25">
      <c r="W445" s="23">
        <v>42819</v>
      </c>
      <c r="X445" s="32">
        <v>12067</v>
      </c>
    </row>
    <row r="446" spans="23:24" ht="15" customHeight="1" x14ac:dyDescent="0.25">
      <c r="W446" s="23">
        <v>42820</v>
      </c>
      <c r="X446" s="32">
        <v>12067</v>
      </c>
    </row>
    <row r="447" spans="23:24" ht="15" customHeight="1" x14ac:dyDescent="0.25">
      <c r="W447" s="23">
        <v>42821</v>
      </c>
      <c r="X447" s="32">
        <v>12067</v>
      </c>
    </row>
    <row r="448" spans="23:24" ht="15" customHeight="1" x14ac:dyDescent="0.25">
      <c r="W448" s="23">
        <v>42822</v>
      </c>
      <c r="X448" s="32">
        <v>12067</v>
      </c>
    </row>
    <row r="449" spans="23:24" ht="15" customHeight="1" x14ac:dyDescent="0.25">
      <c r="W449" s="23">
        <v>42823</v>
      </c>
      <c r="X449" s="32">
        <v>12067</v>
      </c>
    </row>
    <row r="450" spans="23:24" ht="15" customHeight="1" x14ac:dyDescent="0.25">
      <c r="W450" s="23">
        <v>42824</v>
      </c>
      <c r="X450" s="32">
        <v>12133</v>
      </c>
    </row>
    <row r="451" spans="23:24" ht="15" customHeight="1" x14ac:dyDescent="0.25">
      <c r="W451" s="23">
        <v>42825</v>
      </c>
      <c r="X451" s="32">
        <v>12267</v>
      </c>
    </row>
    <row r="452" spans="23:24" ht="15" customHeight="1" x14ac:dyDescent="0.25">
      <c r="W452" s="23"/>
      <c r="X452" s="32"/>
    </row>
    <row r="453" spans="23:24" ht="15" customHeight="1" x14ac:dyDescent="0.25">
      <c r="W453" s="23"/>
      <c r="X453" s="32"/>
    </row>
    <row r="454" spans="23:24" ht="15" customHeight="1" x14ac:dyDescent="0.25">
      <c r="W454" s="23"/>
      <c r="X454" s="32"/>
    </row>
    <row r="455" spans="23:24" ht="15" customHeight="1" x14ac:dyDescent="0.25">
      <c r="W455" s="23"/>
      <c r="X455" s="32"/>
    </row>
    <row r="456" spans="23:24" ht="15" customHeight="1" x14ac:dyDescent="0.25">
      <c r="W456" s="23"/>
      <c r="X456" s="32"/>
    </row>
    <row r="457" spans="23:24" ht="15" customHeight="1" x14ac:dyDescent="0.25">
      <c r="W457" s="23"/>
      <c r="X457" s="32"/>
    </row>
    <row r="458" spans="23:24" ht="15" customHeight="1" x14ac:dyDescent="0.25">
      <c r="W458" s="23"/>
      <c r="X458" s="32"/>
    </row>
    <row r="459" spans="23:24" ht="15" customHeight="1" x14ac:dyDescent="0.25">
      <c r="W459" s="23"/>
      <c r="X459" s="32"/>
    </row>
    <row r="460" spans="23:24" ht="15" customHeight="1" x14ac:dyDescent="0.25">
      <c r="W460" s="23"/>
      <c r="X460" s="32"/>
    </row>
    <row r="461" spans="23:24" ht="15" customHeight="1" x14ac:dyDescent="0.25">
      <c r="W461" s="23"/>
      <c r="X461" s="32"/>
    </row>
    <row r="462" spans="23:24" ht="15" customHeight="1" x14ac:dyDescent="0.25">
      <c r="W462" s="23"/>
      <c r="X462" s="32"/>
    </row>
    <row r="463" spans="23:24" ht="15" customHeight="1" x14ac:dyDescent="0.25">
      <c r="W463" s="23"/>
      <c r="X463" s="32"/>
    </row>
    <row r="464" spans="23:24" ht="15" customHeight="1" x14ac:dyDescent="0.25">
      <c r="W464" s="23"/>
      <c r="X464" s="32"/>
    </row>
    <row r="465" spans="23:24" ht="15" customHeight="1" x14ac:dyDescent="0.25">
      <c r="W465" s="23"/>
      <c r="X465" s="32"/>
    </row>
    <row r="466" spans="23:24" ht="15" customHeight="1" x14ac:dyDescent="0.25">
      <c r="W466" s="23"/>
      <c r="X466" s="32"/>
    </row>
    <row r="467" spans="23:24" ht="15" customHeight="1" x14ac:dyDescent="0.25">
      <c r="W467" s="23"/>
      <c r="X467" s="32"/>
    </row>
    <row r="468" spans="23:24" ht="15" customHeight="1" x14ac:dyDescent="0.25">
      <c r="W468" s="23"/>
      <c r="X468" s="32"/>
    </row>
    <row r="469" spans="23:24" ht="15" customHeight="1" x14ac:dyDescent="0.25">
      <c r="W469" s="23"/>
      <c r="X469" s="32"/>
    </row>
    <row r="470" spans="23:24" ht="15" customHeight="1" x14ac:dyDescent="0.25">
      <c r="W470" s="23"/>
      <c r="X470" s="32"/>
    </row>
    <row r="471" spans="23:24" ht="15" customHeight="1" x14ac:dyDescent="0.25">
      <c r="W471" s="23"/>
      <c r="X471" s="32"/>
    </row>
    <row r="472" spans="23:24" ht="15" customHeight="1" x14ac:dyDescent="0.25">
      <c r="W472" s="23"/>
      <c r="X472" s="32"/>
    </row>
    <row r="473" spans="23:24" ht="15" customHeight="1" x14ac:dyDescent="0.25">
      <c r="W473" s="23"/>
      <c r="X473" s="32"/>
    </row>
    <row r="474" spans="23:24" ht="15" customHeight="1" x14ac:dyDescent="0.25">
      <c r="W474" s="23"/>
      <c r="X474" s="32"/>
    </row>
    <row r="475" spans="23:24" ht="15" customHeight="1" x14ac:dyDescent="0.25">
      <c r="W475" s="23"/>
      <c r="X475" s="32"/>
    </row>
    <row r="476" spans="23:24" ht="15" customHeight="1" x14ac:dyDescent="0.25">
      <c r="W476" s="23"/>
      <c r="X476" s="32"/>
    </row>
    <row r="477" spans="23:24" ht="15" customHeight="1" x14ac:dyDescent="0.25">
      <c r="W477" s="23"/>
      <c r="X477" s="32"/>
    </row>
    <row r="478" spans="23:24" ht="15" customHeight="1" x14ac:dyDescent="0.25">
      <c r="W478" s="23"/>
      <c r="X478" s="32"/>
    </row>
    <row r="479" spans="23:24" ht="15" customHeight="1" x14ac:dyDescent="0.25">
      <c r="W479" s="23"/>
      <c r="X479" s="32"/>
    </row>
    <row r="480" spans="23:24" ht="15" customHeight="1" x14ac:dyDescent="0.25">
      <c r="W480" s="23"/>
      <c r="X480" s="32"/>
    </row>
    <row r="481" spans="23:24" ht="15" customHeight="1" x14ac:dyDescent="0.25">
      <c r="W481" s="23"/>
      <c r="X481" s="32"/>
    </row>
    <row r="482" spans="23:24" ht="15" customHeight="1" x14ac:dyDescent="0.25">
      <c r="W482" s="23"/>
      <c r="X482" s="32"/>
    </row>
    <row r="483" spans="23:24" ht="15" customHeight="1" x14ac:dyDescent="0.25">
      <c r="W483" s="23"/>
      <c r="X483" s="32"/>
    </row>
    <row r="484" spans="23:24" ht="15" customHeight="1" x14ac:dyDescent="0.25">
      <c r="W484" s="23"/>
      <c r="X484" s="32"/>
    </row>
    <row r="485" spans="23:24" ht="15" customHeight="1" x14ac:dyDescent="0.25">
      <c r="W485" s="23"/>
      <c r="X485" s="32"/>
    </row>
    <row r="486" spans="23:24" ht="15" customHeight="1" x14ac:dyDescent="0.25">
      <c r="W486" s="23"/>
      <c r="X486" s="32"/>
    </row>
    <row r="487" spans="23:24" ht="15" customHeight="1" x14ac:dyDescent="0.25">
      <c r="W487" s="23"/>
      <c r="X487" s="32"/>
    </row>
    <row r="488" spans="23:24" ht="15" customHeight="1" x14ac:dyDescent="0.25">
      <c r="W488" s="23"/>
      <c r="X488" s="32"/>
    </row>
    <row r="489" spans="23:24" ht="15" customHeight="1" x14ac:dyDescent="0.25">
      <c r="W489" s="23"/>
      <c r="X489" s="32"/>
    </row>
    <row r="490" spans="23:24" ht="15" customHeight="1" x14ac:dyDescent="0.25">
      <c r="W490" s="23"/>
      <c r="X490" s="32"/>
    </row>
    <row r="491" spans="23:24" ht="15" customHeight="1" x14ac:dyDescent="0.25">
      <c r="W491" s="23"/>
      <c r="X491" s="32"/>
    </row>
    <row r="492" spans="23:24" ht="15" customHeight="1" x14ac:dyDescent="0.25">
      <c r="W492" s="23"/>
      <c r="X492" s="32"/>
    </row>
    <row r="493" spans="23:24" ht="15" customHeight="1" x14ac:dyDescent="0.25">
      <c r="W493" s="23"/>
      <c r="X493" s="32"/>
    </row>
    <row r="494" spans="23:24" ht="15" customHeight="1" x14ac:dyDescent="0.25">
      <c r="W494" s="23"/>
      <c r="X494" s="32"/>
    </row>
    <row r="495" spans="23:24" ht="15" customHeight="1" x14ac:dyDescent="0.25">
      <c r="W495" s="23"/>
      <c r="X495" s="32"/>
    </row>
    <row r="496" spans="23:24" ht="15" customHeight="1" x14ac:dyDescent="0.25">
      <c r="W496" s="23"/>
      <c r="X496" s="32"/>
    </row>
    <row r="497" spans="23:24" ht="15" customHeight="1" x14ac:dyDescent="0.25">
      <c r="W497" s="23"/>
      <c r="X497" s="32"/>
    </row>
    <row r="498" spans="23:24" ht="15" customHeight="1" x14ac:dyDescent="0.25">
      <c r="W498" s="23"/>
      <c r="X498" s="32"/>
    </row>
    <row r="499" spans="23:24" ht="15" customHeight="1" x14ac:dyDescent="0.25">
      <c r="W499" s="23"/>
      <c r="X499" s="32"/>
    </row>
    <row r="500" spans="23:24" ht="15" customHeight="1" x14ac:dyDescent="0.25">
      <c r="W500" s="23"/>
      <c r="X500" s="32"/>
    </row>
    <row r="501" spans="23:24" ht="15" customHeight="1" x14ac:dyDescent="0.25">
      <c r="W501" s="23"/>
      <c r="X501" s="32"/>
    </row>
    <row r="502" spans="23:24" ht="15" customHeight="1" x14ac:dyDescent="0.25">
      <c r="W502" s="23"/>
      <c r="X502" s="32"/>
    </row>
    <row r="503" spans="23:24" ht="15" customHeight="1" x14ac:dyDescent="0.25">
      <c r="W503" s="23"/>
      <c r="X503" s="32"/>
    </row>
    <row r="504" spans="23:24" ht="15" customHeight="1" x14ac:dyDescent="0.25">
      <c r="W504" s="23"/>
      <c r="X504" s="32"/>
    </row>
    <row r="505" spans="23:24" ht="15" customHeight="1" x14ac:dyDescent="0.25">
      <c r="W505" s="23"/>
      <c r="X505" s="32"/>
    </row>
    <row r="506" spans="23:24" ht="15" customHeight="1" x14ac:dyDescent="0.25">
      <c r="W506" s="23"/>
      <c r="X506" s="32"/>
    </row>
    <row r="507" spans="23:24" ht="15" customHeight="1" x14ac:dyDescent="0.25">
      <c r="W507" s="23"/>
      <c r="X507" s="32"/>
    </row>
    <row r="508" spans="23:24" ht="15" customHeight="1" x14ac:dyDescent="0.25">
      <c r="W508" s="23"/>
      <c r="X508" s="32"/>
    </row>
    <row r="509" spans="23:24" ht="15" customHeight="1" x14ac:dyDescent="0.25">
      <c r="W509" s="23"/>
      <c r="X509" s="32"/>
    </row>
    <row r="510" spans="23:24" ht="15" customHeight="1" x14ac:dyDescent="0.25">
      <c r="W510" s="23"/>
      <c r="X510" s="32"/>
    </row>
    <row r="511" spans="23:24" ht="15" customHeight="1" x14ac:dyDescent="0.25">
      <c r="W511" s="23"/>
      <c r="X511" s="32"/>
    </row>
    <row r="512" spans="23:24" ht="15" customHeight="1" x14ac:dyDescent="0.25">
      <c r="W512" s="23"/>
      <c r="X512" s="32"/>
    </row>
    <row r="513" spans="23:24" ht="15" customHeight="1" x14ac:dyDescent="0.25">
      <c r="W513" s="23"/>
      <c r="X513" s="32"/>
    </row>
    <row r="514" spans="23:24" ht="15" customHeight="1" x14ac:dyDescent="0.25">
      <c r="W514" s="23"/>
      <c r="X514" s="32"/>
    </row>
    <row r="515" spans="23:24" ht="15" customHeight="1" x14ac:dyDescent="0.25">
      <c r="W515" s="23"/>
      <c r="X515" s="32"/>
    </row>
    <row r="516" spans="23:24" ht="15" customHeight="1" x14ac:dyDescent="0.25">
      <c r="W516" s="23"/>
      <c r="X516" s="32"/>
    </row>
    <row r="517" spans="23:24" ht="15" customHeight="1" x14ac:dyDescent="0.25">
      <c r="W517" s="23"/>
      <c r="X517" s="32"/>
    </row>
    <row r="518" spans="23:24" ht="15" customHeight="1" x14ac:dyDescent="0.25">
      <c r="W518" s="23"/>
      <c r="X518" s="32"/>
    </row>
    <row r="519" spans="23:24" ht="15" customHeight="1" x14ac:dyDescent="0.25">
      <c r="W519" s="23"/>
      <c r="X519" s="32"/>
    </row>
    <row r="520" spans="23:24" ht="15" customHeight="1" x14ac:dyDescent="0.25">
      <c r="W520" s="23"/>
      <c r="X520" s="32"/>
    </row>
    <row r="521" spans="23:24" ht="15" customHeight="1" x14ac:dyDescent="0.25">
      <c r="W521" s="23"/>
      <c r="X521" s="32"/>
    </row>
    <row r="522" spans="23:24" ht="15" customHeight="1" x14ac:dyDescent="0.25">
      <c r="W522" s="23"/>
      <c r="X522" s="32"/>
    </row>
    <row r="523" spans="23:24" ht="15" customHeight="1" x14ac:dyDescent="0.25">
      <c r="W523" s="23"/>
      <c r="X523" s="32"/>
    </row>
    <row r="524" spans="23:24" ht="15" customHeight="1" x14ac:dyDescent="0.25">
      <c r="W524" s="23"/>
      <c r="X524" s="32"/>
    </row>
    <row r="525" spans="23:24" ht="15" customHeight="1" x14ac:dyDescent="0.25">
      <c r="W525" s="23"/>
      <c r="X525" s="32"/>
    </row>
    <row r="526" spans="23:24" ht="15" customHeight="1" x14ac:dyDescent="0.25">
      <c r="W526" s="23"/>
      <c r="X526" s="32"/>
    </row>
    <row r="527" spans="23:24" ht="15" customHeight="1" x14ac:dyDescent="0.25">
      <c r="W527" s="23"/>
      <c r="X527" s="32"/>
    </row>
    <row r="528" spans="23:24" ht="15" customHeight="1" x14ac:dyDescent="0.25">
      <c r="W528" s="23"/>
      <c r="X528" s="32"/>
    </row>
    <row r="529" spans="23:24" ht="15" customHeight="1" x14ac:dyDescent="0.25">
      <c r="W529" s="23"/>
      <c r="X529" s="32"/>
    </row>
    <row r="530" spans="23:24" ht="15" customHeight="1" x14ac:dyDescent="0.25">
      <c r="W530" s="23"/>
      <c r="X530" s="32"/>
    </row>
    <row r="531" spans="23:24" ht="15" customHeight="1" x14ac:dyDescent="0.25">
      <c r="W531" s="23"/>
      <c r="X531" s="32"/>
    </row>
    <row r="532" spans="23:24" ht="15" customHeight="1" x14ac:dyDescent="0.25">
      <c r="W532" s="23"/>
      <c r="X532" s="32"/>
    </row>
    <row r="533" spans="23:24" ht="15" customHeight="1" x14ac:dyDescent="0.25">
      <c r="W533" s="23"/>
      <c r="X533" s="32"/>
    </row>
    <row r="534" spans="23:24" ht="15" customHeight="1" x14ac:dyDescent="0.25">
      <c r="W534" s="23"/>
      <c r="X534" s="32"/>
    </row>
    <row r="535" spans="23:24" ht="15" customHeight="1" x14ac:dyDescent="0.25">
      <c r="W535" s="23"/>
      <c r="X535" s="32"/>
    </row>
    <row r="536" spans="23:24" ht="15" customHeight="1" x14ac:dyDescent="0.25">
      <c r="W536" s="23"/>
      <c r="X536" s="32"/>
    </row>
    <row r="537" spans="23:24" ht="15" customHeight="1" x14ac:dyDescent="0.25">
      <c r="W537" s="23"/>
      <c r="X537" s="32"/>
    </row>
    <row r="538" spans="23:24" ht="15" customHeight="1" x14ac:dyDescent="0.25">
      <c r="W538" s="23"/>
      <c r="X538" s="32"/>
    </row>
    <row r="539" spans="23:24" ht="15" customHeight="1" x14ac:dyDescent="0.25">
      <c r="W539" s="23"/>
      <c r="X539" s="32"/>
    </row>
    <row r="540" spans="23:24" ht="15" customHeight="1" x14ac:dyDescent="0.25">
      <c r="W540" s="23"/>
      <c r="X540" s="32"/>
    </row>
    <row r="541" spans="23:24" ht="15" customHeight="1" x14ac:dyDescent="0.25">
      <c r="W541" s="23"/>
      <c r="X541" s="32"/>
    </row>
    <row r="542" spans="23:24" ht="15" customHeight="1" x14ac:dyDescent="0.25">
      <c r="W542" s="23"/>
      <c r="X542" s="32"/>
    </row>
    <row r="543" spans="23:24" ht="15" customHeight="1" x14ac:dyDescent="0.25">
      <c r="W543" s="23"/>
      <c r="X543" s="32"/>
    </row>
    <row r="544" spans="23:24" ht="15" customHeight="1" x14ac:dyDescent="0.25">
      <c r="W544" s="23"/>
      <c r="X544" s="32"/>
    </row>
    <row r="545" spans="23:24" ht="15" customHeight="1" x14ac:dyDescent="0.25">
      <c r="W545" s="23"/>
      <c r="X545" s="3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opLeftCell="A170" workbookViewId="0">
      <selection activeCell="E197" sqref="E197"/>
    </sheetView>
  </sheetViews>
  <sheetFormatPr defaultRowHeight="12.75" x14ac:dyDescent="0.25"/>
  <cols>
    <col min="1" max="1" width="11.140625" style="28" bestFit="1" customWidth="1"/>
    <col min="2" max="2" width="17" style="31" bestFit="1" customWidth="1"/>
    <col min="3" max="4" width="9.140625" style="28"/>
    <col min="5" max="5" width="10.85546875" style="28" bestFit="1" customWidth="1"/>
    <col min="6" max="7" width="9.140625" style="28"/>
    <col min="8" max="9" width="9.42578125" style="28" bestFit="1" customWidth="1"/>
    <col min="10" max="10" width="10.140625" style="28" bestFit="1" customWidth="1"/>
    <col min="11" max="11" width="9.85546875" style="28" bestFit="1" customWidth="1"/>
    <col min="12" max="12" width="9.42578125" style="28" customWidth="1"/>
    <col min="13" max="13" width="9.140625" style="28"/>
    <col min="14" max="14" width="38.85546875" style="28" customWidth="1"/>
    <col min="15" max="15" width="16.28515625" style="28" bestFit="1" customWidth="1"/>
    <col min="16" max="16" width="25.5703125" style="28" bestFit="1" customWidth="1"/>
    <col min="17" max="16384" width="9.140625" style="28"/>
  </cols>
  <sheetData>
    <row r="1" spans="1:17" x14ac:dyDescent="0.25">
      <c r="E1" s="22" t="s">
        <v>55</v>
      </c>
      <c r="F1" s="18" t="s">
        <v>36</v>
      </c>
      <c r="G1" s="19" t="s">
        <v>35</v>
      </c>
      <c r="H1" s="20" t="s">
        <v>44</v>
      </c>
      <c r="I1" s="19" t="s">
        <v>51</v>
      </c>
      <c r="J1" s="19" t="s">
        <v>111</v>
      </c>
      <c r="K1" s="19" t="s">
        <v>154</v>
      </c>
      <c r="L1" s="65"/>
      <c r="N1" s="28" t="s">
        <v>112</v>
      </c>
    </row>
    <row r="2" spans="1:17" x14ac:dyDescent="0.25">
      <c r="E2" s="23">
        <v>42373</v>
      </c>
      <c r="F2" s="22">
        <f>WEEKNUM(E2)</f>
        <v>2</v>
      </c>
      <c r="G2" s="22">
        <f>MONTH(E2)</f>
        <v>1</v>
      </c>
      <c r="H2" s="27" t="e">
        <f>VLOOKUP(E2,'Daily Rates'!$A$1:$Q$197,4,FALSE)</f>
        <v>#N/A</v>
      </c>
      <c r="I2" s="26" t="e">
        <f>VLOOKUP(E2,'Daily Rates'!$A$1:$Q$197,13,FALSE)</f>
        <v>#N/A</v>
      </c>
      <c r="J2" s="26" t="e">
        <f>((I2-$O$8)/$P$17+SUM($P$19:$P$36)+$P$42)*0.23+(I2-$O$8)*0.77+$O$7+$O$8+$O$10</f>
        <v>#N/A</v>
      </c>
      <c r="K2" s="26" t="e">
        <f>J2*H2+4400</f>
        <v>#N/A</v>
      </c>
      <c r="L2" s="66"/>
    </row>
    <row r="3" spans="1:17" x14ac:dyDescent="0.2">
      <c r="A3" s="17" t="s">
        <v>155</v>
      </c>
      <c r="B3" s="34" t="s">
        <v>156</v>
      </c>
      <c r="C3" s="14"/>
      <c r="E3" s="23">
        <v>42374</v>
      </c>
      <c r="F3" s="22">
        <f t="shared" ref="F3:F66" si="0">WEEKNUM(E3)</f>
        <v>2</v>
      </c>
      <c r="G3" s="22">
        <f t="shared" ref="G3:G66" si="1">MONTH(E3)</f>
        <v>1</v>
      </c>
      <c r="H3" s="27" t="e">
        <f>VLOOKUP(E3,'Daily Rates'!$A$1:$Q$197,4,FALSE)</f>
        <v>#N/A</v>
      </c>
      <c r="I3" s="26" t="e">
        <f>VLOOKUP(E3,'Daily Rates'!$A$1:$Q$197,13,FALSE)</f>
        <v>#N/A</v>
      </c>
      <c r="J3" s="26" t="e">
        <f t="shared" ref="J3:J66" si="2">((I3-$O$8)/$P$17+SUM($P$19:$P$36)+$P$42)*0.23+(I3-$O$8)*0.77+$O$7+$O$8+$O$10</f>
        <v>#N/A</v>
      </c>
      <c r="K3" s="26" t="e">
        <f t="shared" ref="K3:K66" si="3">J3*H3+4400</f>
        <v>#N/A</v>
      </c>
      <c r="L3" s="66"/>
      <c r="O3" s="33" t="s">
        <v>113</v>
      </c>
    </row>
    <row r="4" spans="1:17" x14ac:dyDescent="0.2">
      <c r="A4" s="15">
        <v>2</v>
      </c>
      <c r="B4" s="34">
        <v>66070.503527940164</v>
      </c>
      <c r="C4" s="14"/>
      <c r="E4" s="23">
        <v>42375</v>
      </c>
      <c r="F4" s="22">
        <f t="shared" si="0"/>
        <v>2</v>
      </c>
      <c r="G4" s="22">
        <f t="shared" si="1"/>
        <v>1</v>
      </c>
      <c r="H4" s="27" t="e">
        <f>VLOOKUP(E4,'Daily Rates'!$A$1:$Q$197,4,FALSE)</f>
        <v>#N/A</v>
      </c>
      <c r="I4" s="26" t="e">
        <f>VLOOKUP(E4,'Daily Rates'!$A$1:$Q$197,13,FALSE)</f>
        <v>#N/A</v>
      </c>
      <c r="J4" s="26" t="e">
        <f t="shared" si="2"/>
        <v>#N/A</v>
      </c>
      <c r="K4" s="26" t="e">
        <f t="shared" si="3"/>
        <v>#N/A</v>
      </c>
      <c r="L4" s="66"/>
      <c r="N4" s="28" t="s">
        <v>114</v>
      </c>
      <c r="O4" s="33" t="e">
        <f>$P$16*77/100</f>
        <v>#N/A</v>
      </c>
    </row>
    <row r="5" spans="1:17" x14ac:dyDescent="0.2">
      <c r="A5" s="15">
        <v>3</v>
      </c>
      <c r="B5" s="34">
        <v>66755.820654098206</v>
      </c>
      <c r="C5" s="14"/>
      <c r="E5" s="23">
        <v>42376</v>
      </c>
      <c r="F5" s="22">
        <f t="shared" si="0"/>
        <v>2</v>
      </c>
      <c r="G5" s="22">
        <f t="shared" si="1"/>
        <v>1</v>
      </c>
      <c r="H5" s="27" t="e">
        <f>VLOOKUP(E5,'Daily Rates'!$A$1:$Q$197,4,FALSE)</f>
        <v>#N/A</v>
      </c>
      <c r="I5" s="26" t="e">
        <f>VLOOKUP(E5,'Daily Rates'!$A$1:$Q$197,13,FALSE)</f>
        <v>#N/A</v>
      </c>
      <c r="J5" s="26" t="e">
        <f t="shared" si="2"/>
        <v>#N/A</v>
      </c>
      <c r="K5" s="26" t="e">
        <f t="shared" si="3"/>
        <v>#N/A</v>
      </c>
      <c r="L5" s="66"/>
      <c r="N5" s="28" t="s">
        <v>115</v>
      </c>
      <c r="O5" s="67" t="e">
        <f>P50*23%</f>
        <v>#N/A</v>
      </c>
    </row>
    <row r="6" spans="1:17" x14ac:dyDescent="0.2">
      <c r="A6" s="15">
        <v>4</v>
      </c>
      <c r="B6" s="34">
        <v>66648.096146262804</v>
      </c>
      <c r="C6" s="14"/>
      <c r="E6" s="23">
        <v>42377</v>
      </c>
      <c r="F6" s="22">
        <f t="shared" si="0"/>
        <v>2</v>
      </c>
      <c r="G6" s="22">
        <f t="shared" si="1"/>
        <v>1</v>
      </c>
      <c r="H6" s="27" t="e">
        <f>VLOOKUP(E6,'Daily Rates'!$A$1:$Q$197,4,FALSE)</f>
        <v>#N/A</v>
      </c>
      <c r="I6" s="26" t="e">
        <f>VLOOKUP(E6,'Daily Rates'!$A$1:$Q$197,13,FALSE)</f>
        <v>#N/A</v>
      </c>
      <c r="J6" s="26" t="e">
        <f t="shared" si="2"/>
        <v>#N/A</v>
      </c>
      <c r="K6" s="26" t="e">
        <f t="shared" si="3"/>
        <v>#N/A</v>
      </c>
      <c r="L6" s="66"/>
      <c r="O6" s="68" t="e">
        <f>SUM(O4:O5)</f>
        <v>#N/A</v>
      </c>
    </row>
    <row r="7" spans="1:17" x14ac:dyDescent="0.2">
      <c r="A7" s="15">
        <v>5</v>
      </c>
      <c r="B7" s="34">
        <v>67079.973535386554</v>
      </c>
      <c r="C7" s="14"/>
      <c r="E7" s="23">
        <v>42380</v>
      </c>
      <c r="F7" s="22">
        <f t="shared" si="0"/>
        <v>3</v>
      </c>
      <c r="G7" s="22">
        <f t="shared" si="1"/>
        <v>1</v>
      </c>
      <c r="H7" s="27" t="e">
        <f>VLOOKUP(E7,'Daily Rates'!$A$1:$Q$197,4,FALSE)</f>
        <v>#N/A</v>
      </c>
      <c r="I7" s="26" t="e">
        <f>VLOOKUP(E7,'Daily Rates'!$A$1:$Q$197,13,FALSE)</f>
        <v>#N/A</v>
      </c>
      <c r="J7" s="26" t="e">
        <f t="shared" si="2"/>
        <v>#N/A</v>
      </c>
      <c r="K7" s="26" t="e">
        <f t="shared" si="3"/>
        <v>#N/A</v>
      </c>
      <c r="L7" s="66"/>
      <c r="N7" s="69" t="s">
        <v>116</v>
      </c>
      <c r="O7" s="33">
        <v>28.37</v>
      </c>
      <c r="P7" s="28" t="s">
        <v>117</v>
      </c>
    </row>
    <row r="8" spans="1:17" x14ac:dyDescent="0.2">
      <c r="A8" s="15">
        <v>6</v>
      </c>
      <c r="B8" s="34">
        <v>68606.566541529333</v>
      </c>
      <c r="C8" s="14"/>
      <c r="E8" s="23">
        <v>42381</v>
      </c>
      <c r="F8" s="22">
        <f t="shared" si="0"/>
        <v>3</v>
      </c>
      <c r="G8" s="22">
        <f t="shared" si="1"/>
        <v>1</v>
      </c>
      <c r="H8" s="27" t="e">
        <f>VLOOKUP(E8,'Daily Rates'!$A$1:$Q$197,4,FALSE)</f>
        <v>#N/A</v>
      </c>
      <c r="I8" s="26" t="e">
        <f>VLOOKUP(E8,'Daily Rates'!$A$1:$Q$197,13,FALSE)</f>
        <v>#N/A</v>
      </c>
      <c r="J8" s="26" t="e">
        <f t="shared" si="2"/>
        <v>#N/A</v>
      </c>
      <c r="K8" s="26" t="e">
        <f t="shared" si="3"/>
        <v>#N/A</v>
      </c>
      <c r="L8" s="66"/>
      <c r="N8" s="70" t="s">
        <v>118</v>
      </c>
      <c r="O8" s="67">
        <v>50</v>
      </c>
    </row>
    <row r="9" spans="1:17" x14ac:dyDescent="0.2">
      <c r="A9" s="15">
        <v>7</v>
      </c>
      <c r="B9" s="34">
        <v>72345.617507645482</v>
      </c>
      <c r="C9" s="14"/>
      <c r="E9" s="23">
        <v>42382</v>
      </c>
      <c r="F9" s="22">
        <f t="shared" si="0"/>
        <v>3</v>
      </c>
      <c r="G9" s="22">
        <f t="shared" si="1"/>
        <v>1</v>
      </c>
      <c r="H9" s="27" t="e">
        <f>VLOOKUP(E9,'Daily Rates'!$A$1:$Q$197,4,FALSE)</f>
        <v>#N/A</v>
      </c>
      <c r="I9" s="26" t="e">
        <f>VLOOKUP(E9,'Daily Rates'!$A$1:$Q$197,13,FALSE)</f>
        <v>#N/A</v>
      </c>
      <c r="J9" s="26" t="e">
        <f t="shared" si="2"/>
        <v>#N/A</v>
      </c>
      <c r="K9" s="26" t="e">
        <f t="shared" si="3"/>
        <v>#N/A</v>
      </c>
      <c r="L9" s="66"/>
      <c r="N9" s="70"/>
      <c r="O9" s="33" t="e">
        <f>O6+O7+O8</f>
        <v>#N/A</v>
      </c>
    </row>
    <row r="10" spans="1:17" x14ac:dyDescent="0.2">
      <c r="A10" s="15">
        <v>8</v>
      </c>
      <c r="B10" s="34">
        <v>74946.80080715011</v>
      </c>
      <c r="C10" s="14"/>
      <c r="E10" s="23">
        <v>42383</v>
      </c>
      <c r="F10" s="22">
        <f t="shared" si="0"/>
        <v>3</v>
      </c>
      <c r="G10" s="22">
        <f t="shared" si="1"/>
        <v>1</v>
      </c>
      <c r="H10" s="27" t="e">
        <f>VLOOKUP(E10,'Daily Rates'!$A$1:$Q$197,4,FALSE)</f>
        <v>#N/A</v>
      </c>
      <c r="I10" s="26" t="e">
        <f>VLOOKUP(E10,'Daily Rates'!$A$1:$Q$197,13,FALSE)</f>
        <v>#N/A</v>
      </c>
      <c r="J10" s="26" t="e">
        <f t="shared" si="2"/>
        <v>#N/A</v>
      </c>
      <c r="K10" s="26" t="e">
        <f t="shared" si="3"/>
        <v>#N/A</v>
      </c>
      <c r="L10" s="66"/>
      <c r="N10" s="70" t="s">
        <v>119</v>
      </c>
      <c r="O10" s="67">
        <v>3</v>
      </c>
    </row>
    <row r="11" spans="1:17" x14ac:dyDescent="0.2">
      <c r="A11" s="15">
        <v>9</v>
      </c>
      <c r="B11" s="34">
        <v>76178.833265660651</v>
      </c>
      <c r="C11" s="14"/>
      <c r="E11" s="23">
        <v>42384</v>
      </c>
      <c r="F11" s="22">
        <f t="shared" si="0"/>
        <v>3</v>
      </c>
      <c r="G11" s="22">
        <f t="shared" si="1"/>
        <v>1</v>
      </c>
      <c r="H11" s="27" t="e">
        <f>VLOOKUP(E11,'Daily Rates'!$A$1:$Q$197,4,FALSE)</f>
        <v>#N/A</v>
      </c>
      <c r="I11" s="26" t="e">
        <f>VLOOKUP(E11,'Daily Rates'!$A$1:$Q$197,13,FALSE)</f>
        <v>#N/A</v>
      </c>
      <c r="J11" s="26" t="e">
        <f t="shared" si="2"/>
        <v>#N/A</v>
      </c>
      <c r="K11" s="26" t="e">
        <f t="shared" si="3"/>
        <v>#N/A</v>
      </c>
      <c r="L11" s="66"/>
      <c r="N11" s="71" t="s">
        <v>120</v>
      </c>
      <c r="O11" s="72" t="e">
        <f>O9+O10</f>
        <v>#N/A</v>
      </c>
    </row>
    <row r="12" spans="1:17" x14ac:dyDescent="0.2">
      <c r="A12" s="15">
        <v>10</v>
      </c>
      <c r="B12" s="34">
        <v>79098.515858661645</v>
      </c>
      <c r="C12" s="14"/>
      <c r="E12" s="23">
        <v>42387</v>
      </c>
      <c r="F12" s="22">
        <f t="shared" si="0"/>
        <v>4</v>
      </c>
      <c r="G12" s="22">
        <f t="shared" si="1"/>
        <v>1</v>
      </c>
      <c r="H12" s="27" t="e">
        <f>VLOOKUP(E12,'Daily Rates'!$A$1:$Q$197,4,FALSE)</f>
        <v>#N/A</v>
      </c>
      <c r="I12" s="26" t="e">
        <f>VLOOKUP(E12,'Daily Rates'!$A$1:$Q$197,13,FALSE)</f>
        <v>#N/A</v>
      </c>
      <c r="J12" s="26" t="e">
        <f t="shared" si="2"/>
        <v>#N/A</v>
      </c>
      <c r="K12" s="26" t="e">
        <f t="shared" si="3"/>
        <v>#N/A</v>
      </c>
      <c r="L12" s="66"/>
      <c r="N12" s="70" t="s">
        <v>121</v>
      </c>
      <c r="O12" s="33">
        <v>35</v>
      </c>
    </row>
    <row r="13" spans="1:17" ht="13.5" thickBot="1" x14ac:dyDescent="0.25">
      <c r="A13" s="15">
        <v>11</v>
      </c>
      <c r="B13" s="34">
        <v>81420.521656954166</v>
      </c>
      <c r="C13" s="14"/>
      <c r="E13" s="23">
        <v>42388</v>
      </c>
      <c r="F13" s="22">
        <f t="shared" si="0"/>
        <v>4</v>
      </c>
      <c r="G13" s="22">
        <f t="shared" si="1"/>
        <v>1</v>
      </c>
      <c r="H13" s="27" t="e">
        <f>VLOOKUP(E13,'Daily Rates'!$A$1:$Q$197,4,FALSE)</f>
        <v>#N/A</v>
      </c>
      <c r="I13" s="26" t="e">
        <f>VLOOKUP(E13,'Daily Rates'!$A$1:$Q$197,13,FALSE)</f>
        <v>#N/A</v>
      </c>
      <c r="J13" s="26" t="e">
        <f t="shared" si="2"/>
        <v>#N/A</v>
      </c>
      <c r="K13" s="26" t="e">
        <f t="shared" si="3"/>
        <v>#N/A</v>
      </c>
      <c r="L13" s="66"/>
      <c r="N13" s="71" t="s">
        <v>122</v>
      </c>
      <c r="O13" s="73" t="e">
        <f>O9+O10+O12</f>
        <v>#N/A</v>
      </c>
      <c r="P13" s="32"/>
      <c r="Q13" s="32"/>
    </row>
    <row r="14" spans="1:17" ht="13.5" thickTop="1" x14ac:dyDescent="0.2">
      <c r="A14" s="15">
        <v>12</v>
      </c>
      <c r="B14" s="34">
        <v>87437.306086619821</v>
      </c>
      <c r="C14" s="14"/>
      <c r="E14" s="23">
        <v>42389</v>
      </c>
      <c r="F14" s="22">
        <f t="shared" si="0"/>
        <v>4</v>
      </c>
      <c r="G14" s="22">
        <f t="shared" si="1"/>
        <v>1</v>
      </c>
      <c r="H14" s="27" t="e">
        <f>VLOOKUP(E14,'Daily Rates'!$A$1:$Q$197,4,FALSE)</f>
        <v>#N/A</v>
      </c>
      <c r="I14" s="26" t="e">
        <f>VLOOKUP(E14,'Daily Rates'!$A$1:$Q$197,13,FALSE)</f>
        <v>#N/A</v>
      </c>
      <c r="J14" s="26" t="e">
        <f t="shared" si="2"/>
        <v>#N/A</v>
      </c>
      <c r="K14" s="26" t="e">
        <f t="shared" si="3"/>
        <v>#N/A</v>
      </c>
      <c r="L14" s="66"/>
      <c r="P14" s="32"/>
    </row>
    <row r="15" spans="1:17" x14ac:dyDescent="0.2">
      <c r="A15" s="15">
        <v>13</v>
      </c>
      <c r="B15" s="34">
        <v>93232.75297916618</v>
      </c>
      <c r="C15" s="14"/>
      <c r="E15" s="23">
        <v>42390</v>
      </c>
      <c r="F15" s="22">
        <f t="shared" si="0"/>
        <v>4</v>
      </c>
      <c r="G15" s="22">
        <f t="shared" si="1"/>
        <v>1</v>
      </c>
      <c r="H15" s="27" t="e">
        <f>VLOOKUP(E15,'Daily Rates'!$A$1:$Q$197,4,FALSE)</f>
        <v>#N/A</v>
      </c>
      <c r="I15" s="26" t="e">
        <f>VLOOKUP(E15,'Daily Rates'!$A$1:$Q$197,13,FALSE)</f>
        <v>#N/A</v>
      </c>
      <c r="J15" s="26" t="e">
        <f t="shared" si="2"/>
        <v>#N/A</v>
      </c>
      <c r="K15" s="26" t="e">
        <f t="shared" si="3"/>
        <v>#N/A</v>
      </c>
      <c r="L15" s="66"/>
      <c r="N15" s="28" t="s">
        <v>123</v>
      </c>
      <c r="P15" s="28" t="s">
        <v>124</v>
      </c>
    </row>
    <row r="16" spans="1:17" x14ac:dyDescent="0.2">
      <c r="A16" s="15">
        <v>14</v>
      </c>
      <c r="B16" s="34">
        <v>96265.353487783956</v>
      </c>
      <c r="C16" s="14"/>
      <c r="E16" s="23">
        <v>42391</v>
      </c>
      <c r="F16" s="22">
        <f t="shared" si="0"/>
        <v>4</v>
      </c>
      <c r="G16" s="22">
        <f t="shared" si="1"/>
        <v>1</v>
      </c>
      <c r="H16" s="27" t="e">
        <f>VLOOKUP(E16,'Daily Rates'!$A$1:$Q$197,4,FALSE)</f>
        <v>#N/A</v>
      </c>
      <c r="I16" s="26" t="e">
        <f>VLOOKUP(E16,'Daily Rates'!$A$1:$Q$197,13,FALSE)</f>
        <v>#N/A</v>
      </c>
      <c r="J16" s="26" t="e">
        <f t="shared" si="2"/>
        <v>#N/A</v>
      </c>
      <c r="K16" s="26" t="e">
        <f t="shared" si="3"/>
        <v>#N/A</v>
      </c>
      <c r="L16" s="66"/>
      <c r="N16" s="22" t="s">
        <v>125</v>
      </c>
      <c r="O16" s="74"/>
      <c r="P16" s="74" t="e">
        <f>I2-O8</f>
        <v>#N/A</v>
      </c>
      <c r="Q16" s="74"/>
    </row>
    <row r="17" spans="1:17" x14ac:dyDescent="0.2">
      <c r="A17" s="15">
        <v>15</v>
      </c>
      <c r="B17" s="34">
        <v>97301.219812808311</v>
      </c>
      <c r="C17" s="14"/>
      <c r="E17" s="23">
        <v>42394</v>
      </c>
      <c r="F17" s="22">
        <f t="shared" si="0"/>
        <v>5</v>
      </c>
      <c r="G17" s="22">
        <f t="shared" si="1"/>
        <v>1</v>
      </c>
      <c r="H17" s="27" t="e">
        <f>VLOOKUP(E17,'Daily Rates'!$A$1:$Q$197,4,FALSE)</f>
        <v>#N/A</v>
      </c>
      <c r="I17" s="26" t="e">
        <f>VLOOKUP(E17,'Daily Rates'!$A$1:$Q$197,13,FALSE)</f>
        <v>#N/A</v>
      </c>
      <c r="J17" s="26" t="e">
        <f t="shared" si="2"/>
        <v>#N/A</v>
      </c>
      <c r="K17" s="26" t="e">
        <f t="shared" si="3"/>
        <v>#N/A</v>
      </c>
      <c r="L17" s="66"/>
      <c r="N17" s="22" t="s">
        <v>126</v>
      </c>
      <c r="O17" s="74"/>
      <c r="P17" s="75">
        <v>0.94099999999999995</v>
      </c>
      <c r="Q17" s="74"/>
    </row>
    <row r="18" spans="1:17" x14ac:dyDescent="0.2">
      <c r="A18" s="15">
        <v>16</v>
      </c>
      <c r="B18" s="34">
        <v>94470.325346948113</v>
      </c>
      <c r="C18" s="14"/>
      <c r="E18" s="23">
        <v>42396</v>
      </c>
      <c r="F18" s="22">
        <f t="shared" si="0"/>
        <v>5</v>
      </c>
      <c r="G18" s="22">
        <f t="shared" si="1"/>
        <v>1</v>
      </c>
      <c r="H18" s="27" t="e">
        <f>VLOOKUP(E18,'Daily Rates'!$A$1:$Q$197,4,FALSE)</f>
        <v>#N/A</v>
      </c>
      <c r="I18" s="26" t="e">
        <f>VLOOKUP(E18,'Daily Rates'!$A$1:$Q$197,13,FALSE)</f>
        <v>#N/A</v>
      </c>
      <c r="J18" s="26" t="e">
        <f t="shared" si="2"/>
        <v>#N/A</v>
      </c>
      <c r="K18" s="26" t="e">
        <f t="shared" si="3"/>
        <v>#N/A</v>
      </c>
      <c r="L18" s="66"/>
      <c r="N18" s="22" t="s">
        <v>127</v>
      </c>
      <c r="O18" s="74"/>
      <c r="P18" s="74" t="e">
        <f>P16/P17</f>
        <v>#N/A</v>
      </c>
      <c r="Q18" s="74"/>
    </row>
    <row r="19" spans="1:17" x14ac:dyDescent="0.2">
      <c r="A19" s="15">
        <v>17</v>
      </c>
      <c r="B19" s="34">
        <v>93386.768343675023</v>
      </c>
      <c r="C19" s="14"/>
      <c r="E19" s="23">
        <v>42397</v>
      </c>
      <c r="F19" s="22">
        <f t="shared" si="0"/>
        <v>5</v>
      </c>
      <c r="G19" s="22">
        <f t="shared" si="1"/>
        <v>1</v>
      </c>
      <c r="H19" s="27" t="e">
        <f>VLOOKUP(E19,'Daily Rates'!$A$1:$Q$197,4,FALSE)</f>
        <v>#N/A</v>
      </c>
      <c r="I19" s="26" t="e">
        <f>VLOOKUP(E19,'Daily Rates'!$A$1:$Q$197,13,FALSE)</f>
        <v>#N/A</v>
      </c>
      <c r="J19" s="26" t="e">
        <f t="shared" si="2"/>
        <v>#N/A</v>
      </c>
      <c r="K19" s="26" t="e">
        <f t="shared" si="3"/>
        <v>#N/A</v>
      </c>
      <c r="L19" s="66"/>
      <c r="N19" s="22" t="s">
        <v>128</v>
      </c>
      <c r="O19" s="74"/>
      <c r="P19" s="74">
        <f>(Q19*0.118)*-1</f>
        <v>-29.5</v>
      </c>
      <c r="Q19" s="74">
        <v>250</v>
      </c>
    </row>
    <row r="20" spans="1:17" x14ac:dyDescent="0.2">
      <c r="A20" s="15">
        <v>18</v>
      </c>
      <c r="B20" s="34">
        <v>92737.150725689236</v>
      </c>
      <c r="C20" s="14"/>
      <c r="E20" s="23">
        <v>42398</v>
      </c>
      <c r="F20" s="22">
        <f t="shared" si="0"/>
        <v>5</v>
      </c>
      <c r="G20" s="22">
        <f t="shared" si="1"/>
        <v>1</v>
      </c>
      <c r="H20" s="27" t="e">
        <f>VLOOKUP(E20,'Daily Rates'!$A$1:$Q$197,4,FALSE)</f>
        <v>#N/A</v>
      </c>
      <c r="I20" s="26" t="e">
        <f>VLOOKUP(E20,'Daily Rates'!$A$1:$Q$197,13,FALSE)</f>
        <v>#N/A</v>
      </c>
      <c r="J20" s="26" t="e">
        <f t="shared" si="2"/>
        <v>#N/A</v>
      </c>
      <c r="K20" s="26" t="e">
        <f t="shared" si="3"/>
        <v>#N/A</v>
      </c>
      <c r="L20" s="66"/>
      <c r="N20" s="22" t="s">
        <v>129</v>
      </c>
      <c r="O20" s="74"/>
      <c r="P20" s="74"/>
      <c r="Q20" s="74"/>
    </row>
    <row r="21" spans="1:17" x14ac:dyDescent="0.2">
      <c r="A21" s="15">
        <v>19</v>
      </c>
      <c r="B21" s="34">
        <v>91246.823480826133</v>
      </c>
      <c r="E21" s="23">
        <v>42401</v>
      </c>
      <c r="F21" s="22">
        <f t="shared" si="0"/>
        <v>6</v>
      </c>
      <c r="G21" s="22">
        <f t="shared" si="1"/>
        <v>2</v>
      </c>
      <c r="H21" s="27">
        <f>VLOOKUP(E21,'Daily Rates'!$A$1:$Q$197,4,FALSE)</f>
        <v>67.849999999999994</v>
      </c>
      <c r="I21" s="26">
        <f>VLOOKUP(E21,'Daily Rates'!$A$1:$Q$197,13,FALSE)</f>
        <v>880</v>
      </c>
      <c r="J21" s="26">
        <f t="shared" si="2"/>
        <v>938.59633799149844</v>
      </c>
      <c r="K21" s="26">
        <f t="shared" si="3"/>
        <v>68083.761532723162</v>
      </c>
      <c r="L21" s="66"/>
      <c r="N21" s="22" t="s">
        <v>130</v>
      </c>
      <c r="O21" s="74"/>
      <c r="P21" s="74"/>
      <c r="Q21" s="74"/>
    </row>
    <row r="22" spans="1:17" x14ac:dyDescent="0.2">
      <c r="A22" s="15">
        <v>20</v>
      </c>
      <c r="B22" s="34">
        <v>90001.88967768343</v>
      </c>
      <c r="E22" s="23">
        <v>42402</v>
      </c>
      <c r="F22" s="22">
        <f t="shared" si="0"/>
        <v>6</v>
      </c>
      <c r="G22" s="22">
        <f t="shared" si="1"/>
        <v>2</v>
      </c>
      <c r="H22" s="27">
        <f>VLOOKUP(E22,'Daily Rates'!$A$1:$Q$197,4,FALSE)</f>
        <v>67.98</v>
      </c>
      <c r="I22" s="26">
        <f>VLOOKUP(E22,'Daily Rates'!$A$1:$Q$197,13,FALSE)</f>
        <v>880</v>
      </c>
      <c r="J22" s="26">
        <f t="shared" si="2"/>
        <v>938.59633799149844</v>
      </c>
      <c r="K22" s="26">
        <f t="shared" si="3"/>
        <v>68205.779056662068</v>
      </c>
      <c r="L22" s="66"/>
      <c r="N22" s="22"/>
      <c r="O22" s="74"/>
      <c r="P22" s="74"/>
      <c r="Q22" s="74"/>
    </row>
    <row r="23" spans="1:17" x14ac:dyDescent="0.2">
      <c r="A23" s="15">
        <v>21</v>
      </c>
      <c r="B23" s="34">
        <v>88586.234960954083</v>
      </c>
      <c r="E23" s="23">
        <v>42403</v>
      </c>
      <c r="F23" s="22">
        <f t="shared" si="0"/>
        <v>6</v>
      </c>
      <c r="G23" s="22">
        <f t="shared" si="1"/>
        <v>2</v>
      </c>
      <c r="H23" s="27">
        <f>VLOOKUP(E23,'Daily Rates'!$A$1:$Q$197,4,FALSE)</f>
        <v>68.08</v>
      </c>
      <c r="I23" s="26">
        <f>VLOOKUP(E23,'Daily Rates'!$A$1:$Q$197,13,FALSE)</f>
        <v>880</v>
      </c>
      <c r="J23" s="26">
        <f t="shared" si="2"/>
        <v>938.59633799149844</v>
      </c>
      <c r="K23" s="26">
        <f t="shared" si="3"/>
        <v>68299.638690461215</v>
      </c>
      <c r="L23" s="66"/>
      <c r="N23" s="22" t="s">
        <v>131</v>
      </c>
      <c r="O23" s="74"/>
      <c r="P23" s="74"/>
      <c r="Q23" s="74"/>
    </row>
    <row r="24" spans="1:17" x14ac:dyDescent="0.2">
      <c r="A24" s="15">
        <v>22</v>
      </c>
      <c r="B24" s="34">
        <v>88936.444434210192</v>
      </c>
      <c r="E24" s="23">
        <v>42404</v>
      </c>
      <c r="F24" s="22">
        <f t="shared" si="0"/>
        <v>6</v>
      </c>
      <c r="G24" s="22">
        <f t="shared" si="1"/>
        <v>2</v>
      </c>
      <c r="H24" s="27">
        <f>VLOOKUP(E24,'Daily Rates'!$A$1:$Q$197,4,FALSE)</f>
        <v>67.540000000000006</v>
      </c>
      <c r="I24" s="26">
        <f>VLOOKUP(E24,'Daily Rates'!$A$1:$Q$197,13,FALSE)</f>
        <v>880</v>
      </c>
      <c r="J24" s="26">
        <f t="shared" si="2"/>
        <v>938.59633799149844</v>
      </c>
      <c r="K24" s="26">
        <f t="shared" si="3"/>
        <v>67792.796667945804</v>
      </c>
      <c r="L24" s="66"/>
      <c r="N24" s="76" t="s">
        <v>132</v>
      </c>
      <c r="O24" s="74"/>
      <c r="P24" s="74">
        <v>18.37</v>
      </c>
      <c r="Q24" s="74"/>
    </row>
    <row r="25" spans="1:17" x14ac:dyDescent="0.2">
      <c r="A25" s="15">
        <v>23</v>
      </c>
      <c r="B25" s="34">
        <v>90362.359278151634</v>
      </c>
      <c r="E25" s="23">
        <v>42405</v>
      </c>
      <c r="F25" s="22">
        <f t="shared" si="0"/>
        <v>6</v>
      </c>
      <c r="G25" s="22">
        <f t="shared" si="1"/>
        <v>2</v>
      </c>
      <c r="H25" s="27">
        <f>VLOOKUP(E25,'Daily Rates'!$A$1:$Q$197,4,FALSE)</f>
        <v>67.66</v>
      </c>
      <c r="I25" s="26">
        <f>VLOOKUP(E25,'Daily Rates'!$A$1:$Q$197,13,FALSE)</f>
        <v>920</v>
      </c>
      <c r="J25" s="26">
        <f t="shared" si="2"/>
        <v>979.17317114771515</v>
      </c>
      <c r="K25" s="26">
        <f t="shared" si="3"/>
        <v>70650.856759854403</v>
      </c>
      <c r="L25" s="66"/>
      <c r="N25" s="76"/>
      <c r="O25" s="74"/>
      <c r="P25" s="74"/>
      <c r="Q25" s="74"/>
    </row>
    <row r="26" spans="1:17" x14ac:dyDescent="0.2">
      <c r="A26" s="15">
        <v>24</v>
      </c>
      <c r="B26" s="34">
        <v>94433.663434876187</v>
      </c>
      <c r="E26" s="23">
        <v>42408</v>
      </c>
      <c r="F26" s="22">
        <f t="shared" si="0"/>
        <v>7</v>
      </c>
      <c r="G26" s="22">
        <f t="shared" si="1"/>
        <v>2</v>
      </c>
      <c r="H26" s="27">
        <f>VLOOKUP(E26,'Daily Rates'!$A$1:$Q$197,4,FALSE)</f>
        <v>67.94</v>
      </c>
      <c r="I26" s="26">
        <f>VLOOKUP(E26,'Daily Rates'!$A$1:$Q$197,13,FALSE)</f>
        <v>920</v>
      </c>
      <c r="J26" s="26">
        <f t="shared" si="2"/>
        <v>979.17317114771515</v>
      </c>
      <c r="K26" s="26">
        <f t="shared" si="3"/>
        <v>70925.02524777576</v>
      </c>
      <c r="L26" s="66"/>
      <c r="N26" s="76" t="s">
        <v>116</v>
      </c>
      <c r="O26" s="74"/>
      <c r="P26" s="74">
        <f>17.56*0</f>
        <v>0</v>
      </c>
      <c r="Q26" s="74"/>
    </row>
    <row r="27" spans="1:17" x14ac:dyDescent="0.2">
      <c r="A27" s="15">
        <v>25</v>
      </c>
      <c r="B27" s="34">
        <v>96341.710275084683</v>
      </c>
      <c r="E27" s="23">
        <v>42409</v>
      </c>
      <c r="F27" s="22">
        <f t="shared" si="0"/>
        <v>7</v>
      </c>
      <c r="G27" s="22">
        <f t="shared" si="1"/>
        <v>2</v>
      </c>
      <c r="H27" s="27">
        <f>VLOOKUP(E27,'Daily Rates'!$A$1:$Q$197,4,FALSE)</f>
        <v>67.91</v>
      </c>
      <c r="I27" s="26">
        <f>VLOOKUP(E27,'Daily Rates'!$A$1:$Q$197,13,FALSE)</f>
        <v>925</v>
      </c>
      <c r="J27" s="26">
        <f t="shared" si="2"/>
        <v>984.24527529224235</v>
      </c>
      <c r="K27" s="26">
        <f t="shared" si="3"/>
        <v>71240.096645096171</v>
      </c>
      <c r="L27" s="66"/>
      <c r="N27" s="76"/>
      <c r="O27" s="74"/>
      <c r="P27" s="74"/>
      <c r="Q27" s="74"/>
    </row>
    <row r="28" spans="1:17" x14ac:dyDescent="0.2">
      <c r="A28" s="15">
        <v>26</v>
      </c>
      <c r="B28" s="34">
        <v>95964.896165541955</v>
      </c>
      <c r="E28" s="23">
        <v>42410</v>
      </c>
      <c r="F28" s="22">
        <f t="shared" si="0"/>
        <v>7</v>
      </c>
      <c r="G28" s="22">
        <f t="shared" si="1"/>
        <v>2</v>
      </c>
      <c r="H28" s="27">
        <f>VLOOKUP(E28,'Daily Rates'!$A$1:$Q$197,4,FALSE)</f>
        <v>67.849999999999994</v>
      </c>
      <c r="I28" s="26">
        <f>VLOOKUP(E28,'Daily Rates'!$A$1:$Q$197,13,FALSE)</f>
        <v>925</v>
      </c>
      <c r="J28" s="26">
        <f t="shared" si="2"/>
        <v>984.24527529224235</v>
      </c>
      <c r="K28" s="26">
        <f t="shared" si="3"/>
        <v>71181.041928578634</v>
      </c>
      <c r="L28" s="66"/>
      <c r="N28" s="77" t="s">
        <v>133</v>
      </c>
      <c r="O28" s="74"/>
      <c r="P28" s="78"/>
      <c r="Q28" s="74"/>
    </row>
    <row r="29" spans="1:17" x14ac:dyDescent="0.2">
      <c r="A29" s="15">
        <v>27</v>
      </c>
      <c r="B29" s="34">
        <v>95463.049131485954</v>
      </c>
      <c r="E29" s="23">
        <v>42411</v>
      </c>
      <c r="F29" s="22">
        <f t="shared" si="0"/>
        <v>7</v>
      </c>
      <c r="G29" s="22">
        <f t="shared" si="1"/>
        <v>2</v>
      </c>
      <c r="H29" s="27">
        <f>VLOOKUP(E29,'Daily Rates'!$A$1:$Q$197,4,FALSE)</f>
        <v>68.31</v>
      </c>
      <c r="I29" s="26">
        <f>VLOOKUP(E29,'Daily Rates'!$A$1:$Q$197,13,FALSE)</f>
        <v>950</v>
      </c>
      <c r="J29" s="26">
        <f t="shared" si="2"/>
        <v>1009.6057960148778</v>
      </c>
      <c r="K29" s="26">
        <f t="shared" si="3"/>
        <v>73366.171925776303</v>
      </c>
      <c r="L29" s="66"/>
      <c r="N29" s="22" t="s">
        <v>134</v>
      </c>
      <c r="O29" s="74"/>
      <c r="P29" s="74">
        <v>2.82</v>
      </c>
      <c r="Q29" s="74"/>
    </row>
    <row r="30" spans="1:17" x14ac:dyDescent="0.2">
      <c r="A30" s="15">
        <v>28</v>
      </c>
      <c r="B30" s="34">
        <v>94070.98195013548</v>
      </c>
      <c r="E30" s="23">
        <v>42412</v>
      </c>
      <c r="F30" s="22">
        <f t="shared" si="0"/>
        <v>7</v>
      </c>
      <c r="G30" s="22">
        <f t="shared" si="1"/>
        <v>2</v>
      </c>
      <c r="H30" s="27">
        <f>VLOOKUP(E30,'Daily Rates'!$A$1:$Q$197,4,FALSE)</f>
        <v>68.23</v>
      </c>
      <c r="I30" s="26">
        <f>VLOOKUP(E30,'Daily Rates'!$A$1:$Q$197,13,FALSE)</f>
        <v>975</v>
      </c>
      <c r="J30" s="26">
        <f t="shared" si="2"/>
        <v>1034.9663167375134</v>
      </c>
      <c r="K30" s="26">
        <f t="shared" si="3"/>
        <v>75015.751791000541</v>
      </c>
      <c r="L30" s="66"/>
      <c r="N30" s="22" t="s">
        <v>135</v>
      </c>
      <c r="O30" s="74"/>
      <c r="P30" s="74">
        <v>4.71</v>
      </c>
      <c r="Q30" s="74"/>
    </row>
    <row r="31" spans="1:17" x14ac:dyDescent="0.2">
      <c r="A31" s="15">
        <v>29</v>
      </c>
      <c r="B31" s="34">
        <v>91768.977226789808</v>
      </c>
      <c r="E31" s="23">
        <v>42415</v>
      </c>
      <c r="F31" s="22">
        <f t="shared" si="0"/>
        <v>8</v>
      </c>
      <c r="G31" s="22">
        <f t="shared" si="1"/>
        <v>2</v>
      </c>
      <c r="H31" s="27">
        <f>VLOOKUP(E31,'Daily Rates'!$A$1:$Q$197,4,FALSE)</f>
        <v>68.06</v>
      </c>
      <c r="I31" s="26">
        <f>VLOOKUP(E31,'Daily Rates'!$A$1:$Q$197,13,FALSE)</f>
        <v>978</v>
      </c>
      <c r="J31" s="26">
        <f t="shared" si="2"/>
        <v>1038.0095792242296</v>
      </c>
      <c r="K31" s="26">
        <f t="shared" si="3"/>
        <v>75046.931962001065</v>
      </c>
      <c r="L31" s="66"/>
      <c r="N31" s="22"/>
      <c r="O31" s="74"/>
      <c r="P31" s="74"/>
      <c r="Q31" s="74"/>
    </row>
    <row r="32" spans="1:17" x14ac:dyDescent="0.2">
      <c r="A32" s="15">
        <v>30</v>
      </c>
      <c r="B32" s="34">
        <v>94233.416982742056</v>
      </c>
      <c r="E32" s="23">
        <v>42417</v>
      </c>
      <c r="F32" s="22">
        <f t="shared" si="0"/>
        <v>8</v>
      </c>
      <c r="G32" s="22">
        <f t="shared" si="1"/>
        <v>2</v>
      </c>
      <c r="H32" s="27">
        <f>VLOOKUP(E32,'Daily Rates'!$A$1:$Q$197,4,FALSE)</f>
        <v>68.47</v>
      </c>
      <c r="I32" s="26">
        <f>VLOOKUP(E32,'Daily Rates'!$A$1:$Q$197,13,FALSE)</f>
        <v>970</v>
      </c>
      <c r="J32" s="26">
        <f t="shared" si="2"/>
        <v>1029.8942125929862</v>
      </c>
      <c r="K32" s="26">
        <f t="shared" si="3"/>
        <v>74916.856736241767</v>
      </c>
      <c r="L32" s="66"/>
      <c r="N32" s="77" t="s">
        <v>136</v>
      </c>
      <c r="O32" s="74"/>
      <c r="P32" s="78"/>
      <c r="Q32" s="74"/>
    </row>
    <row r="33" spans="1:17" x14ac:dyDescent="0.2">
      <c r="A33" s="15">
        <v>31</v>
      </c>
      <c r="B33" s="34">
        <v>96482.502770213498</v>
      </c>
      <c r="E33" s="23">
        <v>42418</v>
      </c>
      <c r="F33" s="22">
        <f t="shared" si="0"/>
        <v>8</v>
      </c>
      <c r="G33" s="22">
        <f t="shared" si="1"/>
        <v>2</v>
      </c>
      <c r="H33" s="27">
        <f>VLOOKUP(E33,'Daily Rates'!$A$1:$Q$197,4,FALSE)</f>
        <v>68.47</v>
      </c>
      <c r="I33" s="26">
        <f>VLOOKUP(E33,'Daily Rates'!$A$1:$Q$197,13,FALSE)</f>
        <v>970</v>
      </c>
      <c r="J33" s="26">
        <f t="shared" si="2"/>
        <v>1029.8942125929862</v>
      </c>
      <c r="K33" s="26">
        <f t="shared" si="3"/>
        <v>74916.856736241767</v>
      </c>
      <c r="L33" s="66"/>
      <c r="N33" s="22" t="s">
        <v>134</v>
      </c>
      <c r="O33" s="74"/>
      <c r="P33" s="74">
        <v>22.79</v>
      </c>
      <c r="Q33" s="74"/>
    </row>
    <row r="34" spans="1:17" x14ac:dyDescent="0.2">
      <c r="A34" s="15">
        <v>32</v>
      </c>
      <c r="B34" s="34">
        <v>97249.461588125705</v>
      </c>
      <c r="E34" s="23">
        <v>42419</v>
      </c>
      <c r="F34" s="22">
        <f t="shared" si="0"/>
        <v>8</v>
      </c>
      <c r="G34" s="22">
        <f t="shared" si="1"/>
        <v>2</v>
      </c>
      <c r="H34" s="27">
        <f>VLOOKUP(E34,'Daily Rates'!$A$1:$Q$197,4,FALSE)</f>
        <v>68.459999999999994</v>
      </c>
      <c r="I34" s="26">
        <f>VLOOKUP(E34,'Daily Rates'!$A$1:$Q$197,13,FALSE)</f>
        <v>970</v>
      </c>
      <c r="J34" s="26">
        <f t="shared" si="2"/>
        <v>1029.8942125929862</v>
      </c>
      <c r="K34" s="26">
        <f t="shared" si="3"/>
        <v>74906.557794115826</v>
      </c>
      <c r="L34" s="66"/>
      <c r="N34" s="22" t="s">
        <v>137</v>
      </c>
      <c r="O34" s="74"/>
      <c r="P34" s="74">
        <v>6.21</v>
      </c>
      <c r="Q34" s="74"/>
    </row>
    <row r="35" spans="1:17" x14ac:dyDescent="0.2">
      <c r="A35" s="15">
        <v>33</v>
      </c>
      <c r="B35" s="34">
        <v>97876.891904655145</v>
      </c>
      <c r="E35" s="23">
        <v>42422</v>
      </c>
      <c r="F35" s="22">
        <f t="shared" si="0"/>
        <v>9</v>
      </c>
      <c r="G35" s="22">
        <f t="shared" si="1"/>
        <v>2</v>
      </c>
      <c r="H35" s="27">
        <f>VLOOKUP(E35,'Daily Rates'!$A$1:$Q$197,4,FALSE)</f>
        <v>68.61</v>
      </c>
      <c r="I35" s="26">
        <f>VLOOKUP(E35,'Daily Rates'!$A$1:$Q$197,13,FALSE)</f>
        <v>970</v>
      </c>
      <c r="J35" s="26">
        <f t="shared" si="2"/>
        <v>1029.8942125929862</v>
      </c>
      <c r="K35" s="26">
        <f t="shared" si="3"/>
        <v>75061.041926004778</v>
      </c>
      <c r="L35" s="66"/>
      <c r="N35" s="22"/>
      <c r="O35" s="74"/>
      <c r="P35" s="74"/>
      <c r="Q35" s="74"/>
    </row>
    <row r="36" spans="1:17" x14ac:dyDescent="0.2">
      <c r="A36" s="15">
        <v>34</v>
      </c>
      <c r="B36" s="34">
        <v>105012.79492604089</v>
      </c>
      <c r="E36" s="23">
        <v>42423</v>
      </c>
      <c r="F36" s="22">
        <f t="shared" si="0"/>
        <v>9</v>
      </c>
      <c r="G36" s="22">
        <f t="shared" si="1"/>
        <v>2</v>
      </c>
      <c r="H36" s="27">
        <f>VLOOKUP(E36,'Daily Rates'!$A$1:$Q$197,4,FALSE)</f>
        <v>68.569999999999993</v>
      </c>
      <c r="I36" s="26">
        <f>VLOOKUP(E36,'Daily Rates'!$A$1:$Q$197,13,FALSE)</f>
        <v>990</v>
      </c>
      <c r="J36" s="26">
        <f t="shared" si="2"/>
        <v>1050.1826291710945</v>
      </c>
      <c r="K36" s="26">
        <f t="shared" si="3"/>
        <v>76411.022882261939</v>
      </c>
      <c r="L36" s="66"/>
      <c r="N36" s="22" t="s">
        <v>138</v>
      </c>
      <c r="O36" s="74"/>
      <c r="P36" s="74">
        <v>18.96</v>
      </c>
      <c r="Q36" s="74"/>
    </row>
    <row r="37" spans="1:17" x14ac:dyDescent="0.2">
      <c r="A37" s="15">
        <v>35</v>
      </c>
      <c r="B37" s="34">
        <v>105760.5769615629</v>
      </c>
      <c r="E37" s="23">
        <v>42424</v>
      </c>
      <c r="F37" s="22">
        <f t="shared" si="0"/>
        <v>9</v>
      </c>
      <c r="G37" s="22">
        <f t="shared" si="1"/>
        <v>2</v>
      </c>
      <c r="H37" s="27">
        <f>VLOOKUP(E37,'Daily Rates'!$A$1:$Q$197,4,FALSE)</f>
        <v>68.56</v>
      </c>
      <c r="I37" s="26">
        <f>VLOOKUP(E37,'Daily Rates'!$A$1:$Q$197,13,FALSE)</f>
        <v>990</v>
      </c>
      <c r="J37" s="26">
        <f t="shared" si="2"/>
        <v>1050.1826291710945</v>
      </c>
      <c r="K37" s="26">
        <f t="shared" si="3"/>
        <v>76400.521055970239</v>
      </c>
      <c r="L37" s="66"/>
      <c r="N37" s="22"/>
      <c r="O37" s="74"/>
      <c r="P37" s="74"/>
      <c r="Q37" s="74"/>
    </row>
    <row r="38" spans="1:17" x14ac:dyDescent="0.2">
      <c r="A38" s="15">
        <v>36</v>
      </c>
      <c r="B38" s="34">
        <v>106162.25330090329</v>
      </c>
      <c r="E38" s="23">
        <v>42425</v>
      </c>
      <c r="F38" s="22">
        <f t="shared" si="0"/>
        <v>9</v>
      </c>
      <c r="G38" s="22">
        <f t="shared" si="1"/>
        <v>2</v>
      </c>
      <c r="H38" s="27">
        <f>VLOOKUP(E38,'Daily Rates'!$A$1:$Q$197,4,FALSE)</f>
        <v>68.709999999999994</v>
      </c>
      <c r="I38" s="26">
        <f>VLOOKUP(E38,'Daily Rates'!$A$1:$Q$197,13,FALSE)</f>
        <v>990</v>
      </c>
      <c r="J38" s="26">
        <f t="shared" si="2"/>
        <v>1050.1826291710945</v>
      </c>
      <c r="K38" s="26">
        <f t="shared" si="3"/>
        <v>76558.048450345901</v>
      </c>
      <c r="L38" s="66"/>
      <c r="N38" s="79" t="s">
        <v>139</v>
      </c>
      <c r="O38" s="80"/>
      <c r="P38" s="80">
        <f>SUM(P24:P36)</f>
        <v>73.86</v>
      </c>
      <c r="Q38" s="80"/>
    </row>
    <row r="39" spans="1:17" x14ac:dyDescent="0.2">
      <c r="A39" s="15">
        <v>37</v>
      </c>
      <c r="B39" s="34">
        <v>106283.99285423498</v>
      </c>
      <c r="E39" s="23">
        <v>42426</v>
      </c>
      <c r="F39" s="22">
        <f t="shared" si="0"/>
        <v>9</v>
      </c>
      <c r="G39" s="22">
        <f t="shared" si="1"/>
        <v>2</v>
      </c>
      <c r="H39" s="27">
        <f>VLOOKUP(E39,'Daily Rates'!$A$1:$Q$197,4,FALSE)</f>
        <v>68.62</v>
      </c>
      <c r="I39" s="26">
        <f>VLOOKUP(E39,'Daily Rates'!$A$1:$Q$197,13,FALSE)</f>
        <v>990</v>
      </c>
      <c r="J39" s="26">
        <f t="shared" si="2"/>
        <v>1050.1826291710945</v>
      </c>
      <c r="K39" s="26">
        <f t="shared" si="3"/>
        <v>76463.532013720513</v>
      </c>
      <c r="L39" s="66"/>
      <c r="N39" s="22"/>
      <c r="O39" s="74"/>
      <c r="P39" s="74"/>
      <c r="Q39" s="74"/>
    </row>
    <row r="40" spans="1:17" x14ac:dyDescent="0.2">
      <c r="A40" s="15">
        <v>38</v>
      </c>
      <c r="B40" s="34">
        <v>105363.69980039081</v>
      </c>
      <c r="E40" s="23">
        <v>42429</v>
      </c>
      <c r="F40" s="22">
        <f t="shared" si="0"/>
        <v>10</v>
      </c>
      <c r="G40" s="22">
        <f t="shared" si="1"/>
        <v>2</v>
      </c>
      <c r="H40" s="27">
        <f>VLOOKUP(E40,'Daily Rates'!$A$1:$Q$197,4,FALSE)</f>
        <v>68.430000000000007</v>
      </c>
      <c r="I40" s="26">
        <f>VLOOKUP(E40,'Daily Rates'!$A$1:$Q$197,13,FALSE)</f>
        <v>1040</v>
      </c>
      <c r="J40" s="26">
        <f t="shared" si="2"/>
        <v>1100.9036706163656</v>
      </c>
      <c r="K40" s="26">
        <f t="shared" si="3"/>
        <v>79734.838180277904</v>
      </c>
      <c r="L40" s="66"/>
      <c r="N40" s="22" t="s">
        <v>140</v>
      </c>
      <c r="O40" s="74"/>
      <c r="P40" s="74" t="e">
        <f>SUM(P18:P36)</f>
        <v>#N/A</v>
      </c>
      <c r="Q40" s="74"/>
    </row>
    <row r="41" spans="1:17" x14ac:dyDescent="0.2">
      <c r="A41" s="15">
        <v>39</v>
      </c>
      <c r="B41" s="34">
        <v>105690.59483572305</v>
      </c>
      <c r="E41" s="23">
        <v>42430</v>
      </c>
      <c r="F41" s="22">
        <f t="shared" si="0"/>
        <v>10</v>
      </c>
      <c r="G41" s="22">
        <f t="shared" si="1"/>
        <v>3</v>
      </c>
      <c r="H41" s="27">
        <f>VLOOKUP(E41,'Daily Rates'!$A$1:$Q$197,4,FALSE)</f>
        <v>68.86</v>
      </c>
      <c r="I41" s="26">
        <f>VLOOKUP(E41,'Daily Rates'!$A$1:$Q$197,13,FALSE)</f>
        <v>1040</v>
      </c>
      <c r="J41" s="26">
        <f t="shared" si="2"/>
        <v>1100.9036706163656</v>
      </c>
      <c r="K41" s="26">
        <f t="shared" si="3"/>
        <v>80208.226758642937</v>
      </c>
      <c r="L41" s="66"/>
      <c r="N41" s="22"/>
      <c r="O41" s="74"/>
      <c r="P41" s="74"/>
      <c r="Q41" s="74"/>
    </row>
    <row r="42" spans="1:17" x14ac:dyDescent="0.2">
      <c r="A42" s="15">
        <v>40</v>
      </c>
      <c r="B42" s="34">
        <v>100853.41364625961</v>
      </c>
      <c r="E42" s="23">
        <v>42431</v>
      </c>
      <c r="F42" s="22">
        <f t="shared" si="0"/>
        <v>10</v>
      </c>
      <c r="G42" s="22">
        <f t="shared" si="1"/>
        <v>3</v>
      </c>
      <c r="H42" s="27">
        <f>VLOOKUP(E42,'Daily Rates'!$A$1:$Q$197,4,FALSE)</f>
        <v>67.55</v>
      </c>
      <c r="I42" s="26">
        <f>VLOOKUP(E42,'Daily Rates'!$A$1:$Q$197,13,FALSE)</f>
        <v>1040</v>
      </c>
      <c r="J42" s="26">
        <f t="shared" si="2"/>
        <v>1100.9036706163656</v>
      </c>
      <c r="K42" s="26">
        <f t="shared" si="3"/>
        <v>78766.042950135496</v>
      </c>
      <c r="L42" s="66"/>
      <c r="N42" s="22" t="s">
        <v>141</v>
      </c>
      <c r="O42" s="74"/>
      <c r="P42" s="74">
        <f>43.95/2</f>
        <v>21.975000000000001</v>
      </c>
      <c r="Q42" s="74"/>
    </row>
    <row r="43" spans="1:17" x14ac:dyDescent="0.2">
      <c r="A43" s="15">
        <v>41</v>
      </c>
      <c r="B43" s="34">
        <v>96101.064854353011</v>
      </c>
      <c r="E43" s="23">
        <v>42432</v>
      </c>
      <c r="F43" s="22">
        <f t="shared" si="0"/>
        <v>10</v>
      </c>
      <c r="G43" s="22">
        <f t="shared" si="1"/>
        <v>3</v>
      </c>
      <c r="H43" s="27">
        <f>VLOOKUP(E43,'Daily Rates'!$A$1:$Q$197,4,FALSE)</f>
        <v>67.34</v>
      </c>
      <c r="I43" s="26">
        <f>VLOOKUP(E43,'Daily Rates'!$A$1:$Q$197,13,FALSE)</f>
        <v>1040</v>
      </c>
      <c r="J43" s="26">
        <f t="shared" si="2"/>
        <v>1100.9036706163656</v>
      </c>
      <c r="K43" s="26">
        <f t="shared" si="3"/>
        <v>78534.853179306068</v>
      </c>
      <c r="L43" s="66"/>
      <c r="N43" s="22"/>
      <c r="O43" s="74"/>
      <c r="P43" s="74"/>
      <c r="Q43" s="74"/>
    </row>
    <row r="44" spans="1:17" x14ac:dyDescent="0.2">
      <c r="A44" s="15">
        <v>42</v>
      </c>
      <c r="B44" s="34">
        <v>94545.023913439945</v>
      </c>
      <c r="E44" s="23">
        <v>42433</v>
      </c>
      <c r="F44" s="22">
        <f t="shared" si="0"/>
        <v>10</v>
      </c>
      <c r="G44" s="22">
        <f t="shared" si="1"/>
        <v>3</v>
      </c>
      <c r="H44" s="27">
        <f>VLOOKUP(E44,'Daily Rates'!$A$1:$Q$197,4,FALSE)</f>
        <v>67.08</v>
      </c>
      <c r="I44" s="26">
        <f>VLOOKUP(E44,'Daily Rates'!$A$1:$Q$197,13,FALSE)</f>
        <v>1040</v>
      </c>
      <c r="J44" s="26">
        <f t="shared" si="2"/>
        <v>1100.9036706163656</v>
      </c>
      <c r="K44" s="26">
        <f t="shared" si="3"/>
        <v>78248.618224945807</v>
      </c>
      <c r="L44" s="66"/>
      <c r="N44" s="22" t="s">
        <v>142</v>
      </c>
      <c r="O44" s="74"/>
      <c r="P44" s="74" t="e">
        <f>P40+P42</f>
        <v>#N/A</v>
      </c>
      <c r="Q44" s="74"/>
    </row>
    <row r="45" spans="1:17" x14ac:dyDescent="0.2">
      <c r="A45" s="15">
        <v>43</v>
      </c>
      <c r="B45" s="34">
        <v>95558.826153602538</v>
      </c>
      <c r="E45" s="23">
        <v>42437</v>
      </c>
      <c r="F45" s="22">
        <f t="shared" si="0"/>
        <v>11</v>
      </c>
      <c r="G45" s="22">
        <f t="shared" si="1"/>
        <v>3</v>
      </c>
      <c r="H45" s="27">
        <f>VLOOKUP(E45,'Daily Rates'!$A$1:$Q$197,4,FALSE)</f>
        <v>67.349999999999994</v>
      </c>
      <c r="I45" s="26">
        <f>VLOOKUP(E45,'Daily Rates'!$A$1:$Q$197,13,FALSE)</f>
        <v>1055</v>
      </c>
      <c r="J45" s="26">
        <f t="shared" si="2"/>
        <v>1116.1199830499468</v>
      </c>
      <c r="K45" s="26">
        <f t="shared" si="3"/>
        <v>79570.680858413907</v>
      </c>
      <c r="L45" s="66"/>
      <c r="N45" s="22"/>
      <c r="O45" s="74"/>
      <c r="P45" s="74"/>
      <c r="Q45" s="74"/>
    </row>
    <row r="46" spans="1:17" x14ac:dyDescent="0.2">
      <c r="A46" s="15">
        <v>44</v>
      </c>
      <c r="B46" s="34">
        <v>97308.509482148773</v>
      </c>
      <c r="E46" s="23">
        <v>42438</v>
      </c>
      <c r="F46" s="22">
        <f t="shared" si="0"/>
        <v>11</v>
      </c>
      <c r="G46" s="22">
        <f t="shared" si="1"/>
        <v>3</v>
      </c>
      <c r="H46" s="27">
        <f>VLOOKUP(E46,'Daily Rates'!$A$1:$Q$197,4,FALSE)</f>
        <v>67.209999999999994</v>
      </c>
      <c r="I46" s="26">
        <f>VLOOKUP(E46,'Daily Rates'!$A$1:$Q$197,13,FALSE)</f>
        <v>1075</v>
      </c>
      <c r="J46" s="26">
        <f t="shared" si="2"/>
        <v>1136.4083996280551</v>
      </c>
      <c r="K46" s="26">
        <f t="shared" si="3"/>
        <v>80778.008539001574</v>
      </c>
      <c r="L46" s="66"/>
      <c r="N46" s="22" t="s">
        <v>143</v>
      </c>
      <c r="O46" s="74"/>
      <c r="P46" s="74">
        <f>30*0</f>
        <v>0</v>
      </c>
      <c r="Q46" s="74"/>
    </row>
    <row r="47" spans="1:17" x14ac:dyDescent="0.2">
      <c r="A47" s="15" t="s">
        <v>39</v>
      </c>
      <c r="B47" s="34">
        <v>90237.515725029007</v>
      </c>
      <c r="E47" s="23">
        <v>42439</v>
      </c>
      <c r="F47" s="22">
        <f t="shared" si="0"/>
        <v>11</v>
      </c>
      <c r="G47" s="22">
        <f t="shared" si="1"/>
        <v>3</v>
      </c>
      <c r="H47" s="27">
        <f>VLOOKUP(E47,'Daily Rates'!$A$1:$Q$197,4,FALSE)</f>
        <v>67.02</v>
      </c>
      <c r="I47" s="26">
        <f>VLOOKUP(E47,'Daily Rates'!$A$1:$Q$197,13,FALSE)</f>
        <v>1090</v>
      </c>
      <c r="J47" s="26">
        <f t="shared" si="2"/>
        <v>1151.6247120616365</v>
      </c>
      <c r="K47" s="26">
        <f t="shared" si="3"/>
        <v>81581.888202370872</v>
      </c>
      <c r="L47" s="66"/>
      <c r="N47" s="22"/>
      <c r="O47" s="74"/>
      <c r="P47" s="74"/>
      <c r="Q47" s="74"/>
    </row>
    <row r="48" spans="1:17" x14ac:dyDescent="0.25">
      <c r="E48" s="23">
        <v>42440</v>
      </c>
      <c r="F48" s="22">
        <f t="shared" si="0"/>
        <v>11</v>
      </c>
      <c r="G48" s="22">
        <f t="shared" si="1"/>
        <v>3</v>
      </c>
      <c r="H48" s="27">
        <f>VLOOKUP(E48,'Daily Rates'!$A$1:$Q$197,4,FALSE)</f>
        <v>67.13</v>
      </c>
      <c r="I48" s="26">
        <f>VLOOKUP(E48,'Daily Rates'!$A$1:$Q$197,13,FALSE)</f>
        <v>1120</v>
      </c>
      <c r="J48" s="26">
        <f t="shared" si="2"/>
        <v>1182.057336928799</v>
      </c>
      <c r="K48" s="26">
        <f t="shared" si="3"/>
        <v>83751.509028030268</v>
      </c>
      <c r="L48" s="66"/>
      <c r="N48" s="22" t="s">
        <v>144</v>
      </c>
      <c r="O48" s="81"/>
      <c r="P48" s="74" t="e">
        <f>(P46+P44)*Q48</f>
        <v>#N/A</v>
      </c>
      <c r="Q48" s="81">
        <v>0</v>
      </c>
    </row>
    <row r="49" spans="5:18" ht="15" customHeight="1" x14ac:dyDescent="0.25">
      <c r="E49" s="23">
        <v>42443</v>
      </c>
      <c r="F49" s="22">
        <f t="shared" si="0"/>
        <v>12</v>
      </c>
      <c r="G49" s="22">
        <f t="shared" si="1"/>
        <v>3</v>
      </c>
      <c r="H49" s="27">
        <f>VLOOKUP(E49,'Daily Rates'!$A$1:$Q$197,4,FALSE)</f>
        <v>67.05</v>
      </c>
      <c r="I49" s="26">
        <f>VLOOKUP(E49,'Daily Rates'!$A$1:$Q$197,13,FALSE)</f>
        <v>1135</v>
      </c>
      <c r="J49" s="26">
        <f t="shared" si="2"/>
        <v>1197.2736493623804</v>
      </c>
      <c r="K49" s="26">
        <f t="shared" si="3"/>
        <v>84677.198189747607</v>
      </c>
      <c r="L49" s="66"/>
      <c r="N49" s="22"/>
      <c r="O49" s="74"/>
      <c r="P49" s="74"/>
      <c r="Q49" s="74"/>
    </row>
    <row r="50" spans="5:18" ht="15" customHeight="1" thickBot="1" x14ac:dyDescent="0.3">
      <c r="E50" s="23">
        <v>42445</v>
      </c>
      <c r="F50" s="22">
        <f t="shared" si="0"/>
        <v>12</v>
      </c>
      <c r="G50" s="22">
        <f t="shared" si="1"/>
        <v>3</v>
      </c>
      <c r="H50" s="27">
        <f>VLOOKUP(E50,'Daily Rates'!$A$1:$Q$197,4,FALSE)</f>
        <v>67.239999999999995</v>
      </c>
      <c r="I50" s="26">
        <f>VLOOKUP(E50,'Daily Rates'!$A$1:$Q$197,13,FALSE)</f>
        <v>1140</v>
      </c>
      <c r="J50" s="26">
        <f t="shared" si="2"/>
        <v>1202.3457535069074</v>
      </c>
      <c r="K50" s="26">
        <f t="shared" si="3"/>
        <v>85245.728465804452</v>
      </c>
      <c r="L50" s="66"/>
      <c r="N50" s="22" t="s">
        <v>145</v>
      </c>
      <c r="O50" s="74"/>
      <c r="P50" s="82" t="e">
        <f>+P44+P48+P46</f>
        <v>#N/A</v>
      </c>
      <c r="Q50" s="74"/>
    </row>
    <row r="51" spans="5:18" ht="15" customHeight="1" thickTop="1" x14ac:dyDescent="0.25">
      <c r="E51" s="23">
        <v>42446</v>
      </c>
      <c r="F51" s="22">
        <f t="shared" si="0"/>
        <v>12</v>
      </c>
      <c r="G51" s="22">
        <f t="shared" si="1"/>
        <v>3</v>
      </c>
      <c r="H51" s="27">
        <f>VLOOKUP(E51,'Daily Rates'!$A$1:$Q$197,4,FALSE)</f>
        <v>66.75</v>
      </c>
      <c r="I51" s="26">
        <f>VLOOKUP(E51,'Daily Rates'!$A$1:$Q$197,13,FALSE)</f>
        <v>1220</v>
      </c>
      <c r="J51" s="26">
        <f t="shared" si="2"/>
        <v>1283.499419819341</v>
      </c>
      <c r="K51" s="26">
        <f t="shared" si="3"/>
        <v>90073.586272941015</v>
      </c>
      <c r="L51" s="66"/>
      <c r="R51" s="78"/>
    </row>
    <row r="52" spans="5:18" ht="15" customHeight="1" x14ac:dyDescent="0.25">
      <c r="E52" s="23">
        <v>42447</v>
      </c>
      <c r="F52" s="22">
        <f t="shared" si="0"/>
        <v>12</v>
      </c>
      <c r="G52" s="22">
        <f t="shared" si="1"/>
        <v>3</v>
      </c>
      <c r="H52" s="27">
        <f>VLOOKUP(E52,'Daily Rates'!$A$1:$Q$197,4,FALSE)</f>
        <v>66.5</v>
      </c>
      <c r="I52" s="26">
        <f>VLOOKUP(E52,'Daily Rates'!$A$1:$Q$197,13,FALSE)</f>
        <v>1220</v>
      </c>
      <c r="J52" s="26">
        <f t="shared" si="2"/>
        <v>1283.499419819341</v>
      </c>
      <c r="K52" s="26">
        <f t="shared" si="3"/>
        <v>89752.711417986182</v>
      </c>
      <c r="L52" s="66"/>
      <c r="N52" s="83" t="s">
        <v>146</v>
      </c>
    </row>
    <row r="53" spans="5:18" ht="15" customHeight="1" x14ac:dyDescent="0.25">
      <c r="E53" s="23">
        <v>42450</v>
      </c>
      <c r="F53" s="22">
        <f t="shared" si="0"/>
        <v>13</v>
      </c>
      <c r="G53" s="22">
        <f t="shared" si="1"/>
        <v>3</v>
      </c>
      <c r="H53" s="27">
        <f>VLOOKUP(E53,'Daily Rates'!$A$1:$Q$197,4,FALSE)</f>
        <v>66.53</v>
      </c>
      <c r="I53" s="26">
        <f>VLOOKUP(E53,'Daily Rates'!$A$1:$Q$197,13,FALSE)</f>
        <v>1240</v>
      </c>
      <c r="J53" s="26">
        <f t="shared" si="2"/>
        <v>1303.7878363974496</v>
      </c>
      <c r="K53" s="26">
        <f t="shared" si="3"/>
        <v>91141.004755522328</v>
      </c>
      <c r="L53" s="66"/>
      <c r="N53" s="28" t="s">
        <v>147</v>
      </c>
    </row>
    <row r="54" spans="5:18" ht="15" customHeight="1" x14ac:dyDescent="0.25">
      <c r="E54" s="23">
        <v>42451</v>
      </c>
      <c r="F54" s="22">
        <f t="shared" si="0"/>
        <v>13</v>
      </c>
      <c r="G54" s="22">
        <f t="shared" si="1"/>
        <v>3</v>
      </c>
      <c r="H54" s="27">
        <f>VLOOKUP(E54,'Daily Rates'!$A$1:$Q$197,4,FALSE)</f>
        <v>66.709999999999994</v>
      </c>
      <c r="I54" s="26">
        <f>VLOOKUP(E54,'Daily Rates'!$A$1:$Q$197,13,FALSE)</f>
        <v>1265</v>
      </c>
      <c r="J54" s="26">
        <f t="shared" si="2"/>
        <v>1329.1483571200849</v>
      </c>
      <c r="K54" s="26">
        <f t="shared" si="3"/>
        <v>93067.486903480851</v>
      </c>
      <c r="L54" s="66"/>
      <c r="N54" s="28" t="s">
        <v>148</v>
      </c>
    </row>
    <row r="55" spans="5:18" ht="15" customHeight="1" x14ac:dyDescent="0.25">
      <c r="E55" s="23">
        <v>42452</v>
      </c>
      <c r="F55" s="22">
        <f t="shared" si="0"/>
        <v>13</v>
      </c>
      <c r="G55" s="22">
        <f t="shared" si="1"/>
        <v>3</v>
      </c>
      <c r="H55" s="27">
        <f>VLOOKUP(E55,'Daily Rates'!$A$1:$Q$197,4,FALSE)</f>
        <v>66.87</v>
      </c>
      <c r="I55" s="26">
        <f>VLOOKUP(E55,'Daily Rates'!$A$1:$Q$197,13,FALSE)</f>
        <v>1259.375</v>
      </c>
      <c r="J55" s="26">
        <f t="shared" si="2"/>
        <v>1323.4422399574919</v>
      </c>
      <c r="K55" s="26">
        <f t="shared" si="3"/>
        <v>92898.582585957483</v>
      </c>
      <c r="L55" s="66"/>
      <c r="N55" s="28" t="s">
        <v>149</v>
      </c>
    </row>
    <row r="56" spans="5:18" ht="15" customHeight="1" x14ac:dyDescent="0.25">
      <c r="E56" s="23">
        <v>42453</v>
      </c>
      <c r="F56" s="22">
        <f t="shared" si="0"/>
        <v>13</v>
      </c>
      <c r="G56" s="22">
        <f t="shared" si="1"/>
        <v>3</v>
      </c>
      <c r="H56" s="27">
        <f>VLOOKUP(E56,'Daily Rates'!$A$1:$Q$197,4,FALSE)</f>
        <v>66.87</v>
      </c>
      <c r="I56" s="26">
        <f>VLOOKUP(E56,'Daily Rates'!$A$1:$Q$197,13,FALSE)</f>
        <v>1253.75</v>
      </c>
      <c r="J56" s="26">
        <f t="shared" si="2"/>
        <v>1317.7361227948991</v>
      </c>
      <c r="K56" s="26">
        <f t="shared" si="3"/>
        <v>92517.014531294903</v>
      </c>
      <c r="L56" s="66"/>
      <c r="N56" s="28" t="s">
        <v>150</v>
      </c>
    </row>
    <row r="57" spans="5:18" ht="15" customHeight="1" x14ac:dyDescent="0.25">
      <c r="E57" s="23">
        <v>42457</v>
      </c>
      <c r="F57" s="22">
        <f t="shared" si="0"/>
        <v>14</v>
      </c>
      <c r="G57" s="22">
        <f t="shared" si="1"/>
        <v>3</v>
      </c>
      <c r="H57" s="27">
        <f>VLOOKUP(E57,'Daily Rates'!$A$1:$Q$197,4,FALSE)</f>
        <v>66.59</v>
      </c>
      <c r="I57" s="26">
        <f>VLOOKUP(E57,'Daily Rates'!$A$1:$Q$197,13,FALSE)</f>
        <v>1248.125</v>
      </c>
      <c r="J57" s="26">
        <f t="shared" si="2"/>
        <v>1312.0300056323058</v>
      </c>
      <c r="K57" s="26">
        <f t="shared" si="3"/>
        <v>91768.078075055251</v>
      </c>
      <c r="L57" s="66"/>
      <c r="N57" s="28" t="s">
        <v>151</v>
      </c>
    </row>
    <row r="58" spans="5:18" ht="15" customHeight="1" x14ac:dyDescent="0.25">
      <c r="E58" s="23">
        <v>42458</v>
      </c>
      <c r="F58" s="22">
        <f t="shared" si="0"/>
        <v>14</v>
      </c>
      <c r="G58" s="22">
        <f t="shared" si="1"/>
        <v>3</v>
      </c>
      <c r="H58" s="27">
        <f>VLOOKUP(E58,'Daily Rates'!$A$1:$Q$197,4,FALSE)</f>
        <v>66.540000000000006</v>
      </c>
      <c r="I58" s="26">
        <f>VLOOKUP(E58,'Daily Rates'!$A$1:$Q$197,13,FALSE)</f>
        <v>1242.5</v>
      </c>
      <c r="J58" s="26">
        <f t="shared" si="2"/>
        <v>1306.323888469713</v>
      </c>
      <c r="K58" s="26">
        <f t="shared" si="3"/>
        <v>91322.791538774705</v>
      </c>
      <c r="L58" s="66"/>
      <c r="N58" s="28" t="s">
        <v>152</v>
      </c>
    </row>
    <row r="59" spans="5:18" ht="15" customHeight="1" x14ac:dyDescent="0.25">
      <c r="E59" s="23">
        <v>42459</v>
      </c>
      <c r="F59" s="22">
        <f t="shared" si="0"/>
        <v>14</v>
      </c>
      <c r="G59" s="22">
        <f t="shared" si="1"/>
        <v>3</v>
      </c>
      <c r="H59" s="27">
        <f>VLOOKUP(E59,'Daily Rates'!$A$1:$Q$197,4,FALSE)</f>
        <v>66.39</v>
      </c>
      <c r="I59" s="26">
        <f>VLOOKUP(E59,'Daily Rates'!$A$1:$Q$197,13,FALSE)</f>
        <v>1236.875</v>
      </c>
      <c r="J59" s="26">
        <f t="shared" si="2"/>
        <v>1300.6177713071199</v>
      </c>
      <c r="K59" s="26">
        <f t="shared" si="3"/>
        <v>90748.013837079692</v>
      </c>
      <c r="L59" s="66"/>
      <c r="N59" s="28" t="s">
        <v>153</v>
      </c>
    </row>
    <row r="60" spans="5:18" ht="15" customHeight="1" x14ac:dyDescent="0.25">
      <c r="E60" s="23">
        <v>42460</v>
      </c>
      <c r="F60" s="22">
        <f t="shared" si="0"/>
        <v>14</v>
      </c>
      <c r="G60" s="22">
        <f t="shared" si="1"/>
        <v>3</v>
      </c>
      <c r="H60" s="27">
        <f>VLOOKUP(E60,'Daily Rates'!$A$1:$Q$197,4,FALSE)</f>
        <v>66.25</v>
      </c>
      <c r="I60" s="26">
        <f>VLOOKUP(E60,'Daily Rates'!$A$1:$Q$197,13,FALSE)</f>
        <v>1231.25</v>
      </c>
      <c r="J60" s="26">
        <f t="shared" si="2"/>
        <v>1294.9116541445269</v>
      </c>
      <c r="K60" s="26">
        <f t="shared" si="3"/>
        <v>90187.897087074904</v>
      </c>
      <c r="L60" s="66"/>
    </row>
    <row r="61" spans="5:18" ht="15" customHeight="1" x14ac:dyDescent="0.25">
      <c r="E61" s="23">
        <v>42461</v>
      </c>
      <c r="F61" s="22">
        <f t="shared" si="0"/>
        <v>14</v>
      </c>
      <c r="G61" s="22">
        <f t="shared" si="1"/>
        <v>4</v>
      </c>
      <c r="H61" s="27">
        <f>VLOOKUP(E61,'Daily Rates'!$A$1:$Q$197,4,FALSE)</f>
        <v>66.349999999999994</v>
      </c>
      <c r="I61" s="26">
        <f>VLOOKUP(E61,'Daily Rates'!$A$1:$Q$197,13,FALSE)</f>
        <v>1225.625</v>
      </c>
      <c r="J61" s="26">
        <f t="shared" si="2"/>
        <v>1289.2055369819341</v>
      </c>
      <c r="K61" s="26">
        <f t="shared" si="3"/>
        <v>89938.787378751324</v>
      </c>
      <c r="L61" s="66"/>
    </row>
    <row r="62" spans="5:18" ht="15" customHeight="1" x14ac:dyDescent="0.25">
      <c r="E62" s="23">
        <v>42464</v>
      </c>
      <c r="F62" s="22">
        <f t="shared" si="0"/>
        <v>15</v>
      </c>
      <c r="G62" s="22">
        <f t="shared" si="1"/>
        <v>4</v>
      </c>
      <c r="H62" s="27">
        <f>VLOOKUP(E62,'Daily Rates'!$A$1:$Q$197,4,FALSE)</f>
        <v>66.06</v>
      </c>
      <c r="I62" s="26">
        <f>VLOOKUP(E62,'Daily Rates'!$A$1:$Q$197,13,FALSE)</f>
        <v>1350</v>
      </c>
      <c r="J62" s="26">
        <f t="shared" si="2"/>
        <v>1415.3741275770456</v>
      </c>
      <c r="K62" s="26">
        <f t="shared" si="3"/>
        <v>97899.614867739627</v>
      </c>
      <c r="L62" s="66"/>
    </row>
    <row r="63" spans="5:18" ht="15" customHeight="1" x14ac:dyDescent="0.25">
      <c r="E63" s="23">
        <v>42465</v>
      </c>
      <c r="F63" s="22">
        <f t="shared" si="0"/>
        <v>15</v>
      </c>
      <c r="G63" s="22">
        <f t="shared" si="1"/>
        <v>4</v>
      </c>
      <c r="H63" s="27">
        <f>VLOOKUP(E63,'Daily Rates'!$A$1:$Q$197,4,FALSE)</f>
        <v>66.22</v>
      </c>
      <c r="I63" s="26">
        <f>VLOOKUP(E63,'Daily Rates'!$A$1:$Q$197,13,FALSE)</f>
        <v>1350</v>
      </c>
      <c r="J63" s="26">
        <f t="shared" si="2"/>
        <v>1415.3741275770456</v>
      </c>
      <c r="K63" s="26">
        <f t="shared" si="3"/>
        <v>98126.074728151958</v>
      </c>
      <c r="L63" s="66"/>
    </row>
    <row r="64" spans="5:18" ht="15" customHeight="1" x14ac:dyDescent="0.25">
      <c r="E64" s="23">
        <v>42466</v>
      </c>
      <c r="F64" s="22">
        <f t="shared" si="0"/>
        <v>15</v>
      </c>
      <c r="G64" s="22">
        <f t="shared" si="1"/>
        <v>4</v>
      </c>
      <c r="H64" s="27">
        <f>VLOOKUP(E64,'Daily Rates'!$A$1:$Q$197,4,FALSE)</f>
        <v>66.66</v>
      </c>
      <c r="I64" s="26">
        <f>VLOOKUP(E64,'Daily Rates'!$A$1:$Q$197,13,FALSE)</f>
        <v>1330</v>
      </c>
      <c r="J64" s="26">
        <f t="shared" si="2"/>
        <v>1395.0857109989372</v>
      </c>
      <c r="K64" s="26">
        <f t="shared" si="3"/>
        <v>97396.413495189146</v>
      </c>
      <c r="L64" s="66"/>
    </row>
    <row r="65" spans="5:12" x14ac:dyDescent="0.25">
      <c r="E65" s="23">
        <v>42467</v>
      </c>
      <c r="F65" s="22">
        <f t="shared" si="0"/>
        <v>15</v>
      </c>
      <c r="G65" s="22">
        <f t="shared" si="1"/>
        <v>4</v>
      </c>
      <c r="H65" s="27">
        <f>VLOOKUP(E65,'Daily Rates'!$A$1:$Q$197,4,FALSE)</f>
        <v>66.47</v>
      </c>
      <c r="I65" s="26">
        <f>VLOOKUP(E65,'Daily Rates'!$A$1:$Q$197,13,FALSE)</f>
        <v>1310</v>
      </c>
      <c r="J65" s="26">
        <f t="shared" si="2"/>
        <v>1374.7972944208288</v>
      </c>
      <c r="K65" s="26">
        <f t="shared" si="3"/>
        <v>95782.776160152498</v>
      </c>
      <c r="L65" s="66"/>
    </row>
    <row r="66" spans="5:12" x14ac:dyDescent="0.25">
      <c r="E66" s="23">
        <v>42471</v>
      </c>
      <c r="F66" s="22">
        <f t="shared" si="0"/>
        <v>16</v>
      </c>
      <c r="G66" s="22">
        <f t="shared" si="1"/>
        <v>4</v>
      </c>
      <c r="H66" s="27">
        <f>VLOOKUP(E66,'Daily Rates'!$A$1:$Q$197,4,FALSE)</f>
        <v>66.430000000000007</v>
      </c>
      <c r="I66" s="26">
        <f>VLOOKUP(E66,'Daily Rates'!$A$1:$Q$197,13,FALSE)</f>
        <v>1290</v>
      </c>
      <c r="J66" s="26">
        <f t="shared" si="2"/>
        <v>1354.5088778427205</v>
      </c>
      <c r="K66" s="26">
        <f t="shared" si="3"/>
        <v>94380.02475509193</v>
      </c>
      <c r="L66" s="66"/>
    </row>
    <row r="67" spans="5:12" x14ac:dyDescent="0.25">
      <c r="E67" s="23">
        <v>42472</v>
      </c>
      <c r="F67" s="22">
        <f t="shared" ref="F67:F130" si="4">WEEKNUM(E67)</f>
        <v>16</v>
      </c>
      <c r="G67" s="22">
        <f t="shared" ref="G67:G130" si="5">MONTH(E67)</f>
        <v>4</v>
      </c>
      <c r="H67" s="27">
        <f>VLOOKUP(E67,'Daily Rates'!$A$1:$Q$197,4,FALSE)</f>
        <v>66.42</v>
      </c>
      <c r="I67" s="26">
        <f>VLOOKUP(E67,'Daily Rates'!$A$1:$Q$197,13,FALSE)</f>
        <v>1290</v>
      </c>
      <c r="J67" s="26">
        <f t="shared" ref="J67:J130" si="6">((I67-$O$8)/$P$17+SUM($P$19:$P$36)+$P$42)*0.23+(I67-$O$8)*0.77+$O$7+$O$8+$O$10</f>
        <v>1354.5088778427205</v>
      </c>
      <c r="K67" s="26">
        <f t="shared" ref="K67:K130" si="7">J67*H67+4400</f>
        <v>94366.479666313491</v>
      </c>
      <c r="L67" s="66"/>
    </row>
    <row r="68" spans="5:12" x14ac:dyDescent="0.25">
      <c r="E68" s="23">
        <v>42473</v>
      </c>
      <c r="F68" s="22">
        <f t="shared" si="4"/>
        <v>16</v>
      </c>
      <c r="G68" s="22">
        <f t="shared" si="5"/>
        <v>4</v>
      </c>
      <c r="H68" s="27">
        <f>VLOOKUP(E68,'Daily Rates'!$A$1:$Q$197,4,FALSE)</f>
        <v>66.64</v>
      </c>
      <c r="I68" s="26">
        <f>VLOOKUP(E68,'Daily Rates'!$A$1:$Q$197,13,FALSE)</f>
        <v>1290</v>
      </c>
      <c r="J68" s="26">
        <f t="shared" si="6"/>
        <v>1354.5088778427205</v>
      </c>
      <c r="K68" s="26">
        <f t="shared" si="7"/>
        <v>94664.471619438889</v>
      </c>
      <c r="L68" s="66"/>
    </row>
    <row r="69" spans="5:12" x14ac:dyDescent="0.25">
      <c r="E69" s="23">
        <v>42478</v>
      </c>
      <c r="F69" s="22">
        <f t="shared" si="4"/>
        <v>17</v>
      </c>
      <c r="G69" s="22">
        <f t="shared" si="5"/>
        <v>4</v>
      </c>
      <c r="H69" s="27">
        <f>VLOOKUP(E69,'Daily Rates'!$A$1:$Q$197,4,FALSE)</f>
        <v>66.55</v>
      </c>
      <c r="I69" s="26">
        <f>VLOOKUP(E69,'Daily Rates'!$A$1:$Q$197,13,FALSE)</f>
        <v>1250</v>
      </c>
      <c r="J69" s="26">
        <f t="shared" si="6"/>
        <v>1313.9320446865036</v>
      </c>
      <c r="K69" s="26">
        <f t="shared" si="7"/>
        <v>91842.177573886802</v>
      </c>
      <c r="L69" s="66"/>
    </row>
    <row r="70" spans="5:12" x14ac:dyDescent="0.25">
      <c r="E70" s="23">
        <v>42479</v>
      </c>
      <c r="F70" s="22">
        <f t="shared" si="4"/>
        <v>17</v>
      </c>
      <c r="G70" s="22">
        <f t="shared" si="5"/>
        <v>4</v>
      </c>
      <c r="H70" s="27">
        <f>VLOOKUP(E70,'Daily Rates'!$A$1:$Q$197,4,FALSE)</f>
        <v>66.489999999999995</v>
      </c>
      <c r="I70" s="26">
        <f>VLOOKUP(E70,'Daily Rates'!$A$1:$Q$197,13,FALSE)</f>
        <v>1260</v>
      </c>
      <c r="J70" s="26">
        <f t="shared" si="6"/>
        <v>1324.0762529755577</v>
      </c>
      <c r="K70" s="26">
        <f t="shared" si="7"/>
        <v>92437.83006034483</v>
      </c>
      <c r="L70" s="66"/>
    </row>
    <row r="71" spans="5:12" x14ac:dyDescent="0.25">
      <c r="E71" s="23">
        <v>42480</v>
      </c>
      <c r="F71" s="22">
        <f t="shared" si="4"/>
        <v>17</v>
      </c>
      <c r="G71" s="22">
        <f t="shared" si="5"/>
        <v>4</v>
      </c>
      <c r="H71" s="27">
        <f>VLOOKUP(E71,'Daily Rates'!$A$1:$Q$197,4,FALSE)</f>
        <v>66.3</v>
      </c>
      <c r="I71" s="26">
        <f>VLOOKUP(E71,'Daily Rates'!$A$1:$Q$197,13,FALSE)</f>
        <v>1290</v>
      </c>
      <c r="J71" s="26">
        <f t="shared" si="6"/>
        <v>1354.5088778427205</v>
      </c>
      <c r="K71" s="26">
        <f t="shared" si="7"/>
        <v>94203.938600972368</v>
      </c>
      <c r="L71" s="66"/>
    </row>
    <row r="72" spans="5:12" x14ac:dyDescent="0.25">
      <c r="E72" s="23">
        <v>42481</v>
      </c>
      <c r="F72" s="22">
        <f t="shared" si="4"/>
        <v>17</v>
      </c>
      <c r="G72" s="22">
        <f t="shared" si="5"/>
        <v>4</v>
      </c>
      <c r="H72" s="27">
        <f>VLOOKUP(E72,'Daily Rates'!$A$1:$Q$197,4,FALSE)</f>
        <v>66.39</v>
      </c>
      <c r="I72" s="26">
        <f>VLOOKUP(E72,'Daily Rates'!$A$1:$Q$197,13,FALSE)</f>
        <v>1290</v>
      </c>
      <c r="J72" s="26">
        <f t="shared" si="6"/>
        <v>1354.5088778427205</v>
      </c>
      <c r="K72" s="26">
        <f t="shared" si="7"/>
        <v>94325.844399978218</v>
      </c>
      <c r="L72" s="66"/>
    </row>
    <row r="73" spans="5:12" x14ac:dyDescent="0.25">
      <c r="E73" s="23">
        <v>42482</v>
      </c>
      <c r="F73" s="22">
        <f t="shared" si="4"/>
        <v>17</v>
      </c>
      <c r="G73" s="22">
        <f t="shared" si="5"/>
        <v>4</v>
      </c>
      <c r="H73" s="27">
        <f>VLOOKUP(E73,'Daily Rates'!$A$1:$Q$197,4,FALSE)</f>
        <v>66.489999999999995</v>
      </c>
      <c r="I73" s="26">
        <f>VLOOKUP(E73,'Daily Rates'!$A$1:$Q$197,13,FALSE)</f>
        <v>1285</v>
      </c>
      <c r="J73" s="26">
        <f t="shared" si="6"/>
        <v>1349.4367736981933</v>
      </c>
      <c r="K73" s="26">
        <f t="shared" si="7"/>
        <v>94124.05108319287</v>
      </c>
      <c r="L73" s="66"/>
    </row>
    <row r="74" spans="5:12" x14ac:dyDescent="0.25">
      <c r="E74" s="23">
        <v>42485</v>
      </c>
      <c r="F74" s="22">
        <f t="shared" si="4"/>
        <v>18</v>
      </c>
      <c r="G74" s="22">
        <f t="shared" si="5"/>
        <v>4</v>
      </c>
      <c r="H74" s="27">
        <f>VLOOKUP(E74,'Daily Rates'!$A$1:$Q$197,4,FALSE)</f>
        <v>66.61</v>
      </c>
      <c r="I74" s="26">
        <f>VLOOKUP(E74,'Daily Rates'!$A$1:$Q$197,13,FALSE)</f>
        <v>1275</v>
      </c>
      <c r="J74" s="26">
        <f t="shared" si="6"/>
        <v>1339.2925654091391</v>
      </c>
      <c r="K74" s="26">
        <f t="shared" si="7"/>
        <v>93610.277781902754</v>
      </c>
      <c r="L74" s="66"/>
    </row>
    <row r="75" spans="5:12" x14ac:dyDescent="0.25">
      <c r="E75" s="23">
        <v>42486</v>
      </c>
      <c r="F75" s="22">
        <f t="shared" si="4"/>
        <v>18</v>
      </c>
      <c r="G75" s="22">
        <f t="shared" si="5"/>
        <v>4</v>
      </c>
      <c r="H75" s="27">
        <f>VLOOKUP(E75,'Daily Rates'!$A$1:$Q$197,4,FALSE)</f>
        <v>66.52</v>
      </c>
      <c r="I75" s="26">
        <f>VLOOKUP(E75,'Daily Rates'!$A$1:$Q$197,13,FALSE)</f>
        <v>1275</v>
      </c>
      <c r="J75" s="26">
        <f t="shared" si="6"/>
        <v>1339.2925654091391</v>
      </c>
      <c r="K75" s="26">
        <f t="shared" si="7"/>
        <v>93489.741451015929</v>
      </c>
      <c r="L75" s="66"/>
    </row>
    <row r="76" spans="5:12" x14ac:dyDescent="0.25">
      <c r="E76" s="23">
        <v>42487</v>
      </c>
      <c r="F76" s="22">
        <f t="shared" si="4"/>
        <v>18</v>
      </c>
      <c r="G76" s="22">
        <f t="shared" si="5"/>
        <v>4</v>
      </c>
      <c r="H76" s="27">
        <f>VLOOKUP(E76,'Daily Rates'!$A$1:$Q$197,4,FALSE)</f>
        <v>66.58</v>
      </c>
      <c r="I76" s="26">
        <f>VLOOKUP(E76,'Daily Rates'!$A$1:$Q$197,13,FALSE)</f>
        <v>1260</v>
      </c>
      <c r="J76" s="26">
        <f t="shared" si="6"/>
        <v>1324.0762529755577</v>
      </c>
      <c r="K76" s="26">
        <f t="shared" si="7"/>
        <v>92556.996923112631</v>
      </c>
      <c r="L76" s="66"/>
    </row>
    <row r="77" spans="5:12" x14ac:dyDescent="0.25">
      <c r="E77" s="23">
        <v>42488</v>
      </c>
      <c r="F77" s="22">
        <f t="shared" si="4"/>
        <v>18</v>
      </c>
      <c r="G77" s="22">
        <f t="shared" si="5"/>
        <v>4</v>
      </c>
      <c r="H77" s="27">
        <f>VLOOKUP(E77,'Daily Rates'!$A$1:$Q$197,4,FALSE)</f>
        <v>66.52</v>
      </c>
      <c r="I77" s="26">
        <f>VLOOKUP(E77,'Daily Rates'!$A$1:$Q$197,13,FALSE)</f>
        <v>1250</v>
      </c>
      <c r="J77" s="26">
        <f t="shared" si="6"/>
        <v>1313.9320446865036</v>
      </c>
      <c r="K77" s="26">
        <f t="shared" si="7"/>
        <v>91802.759612546215</v>
      </c>
      <c r="L77" s="66"/>
    </row>
    <row r="78" spans="5:12" x14ac:dyDescent="0.25">
      <c r="E78" s="23">
        <v>42489</v>
      </c>
      <c r="F78" s="22">
        <f t="shared" si="4"/>
        <v>18</v>
      </c>
      <c r="G78" s="22">
        <f t="shared" si="5"/>
        <v>4</v>
      </c>
      <c r="H78" s="27">
        <f>VLOOKUP(E78,'Daily Rates'!$A$1:$Q$197,4,FALSE)</f>
        <v>66.33</v>
      </c>
      <c r="I78" s="26">
        <f>VLOOKUP(E78,'Daily Rates'!$A$1:$Q$197,13,FALSE)</f>
        <v>1260</v>
      </c>
      <c r="J78" s="26">
        <f t="shared" si="6"/>
        <v>1324.0762529755577</v>
      </c>
      <c r="K78" s="26">
        <f t="shared" si="7"/>
        <v>92225.977859868741</v>
      </c>
      <c r="L78" s="66"/>
    </row>
    <row r="79" spans="5:12" x14ac:dyDescent="0.25">
      <c r="E79" s="23">
        <v>42492</v>
      </c>
      <c r="F79" s="22">
        <f t="shared" si="4"/>
        <v>19</v>
      </c>
      <c r="G79" s="22">
        <f t="shared" si="5"/>
        <v>5</v>
      </c>
      <c r="H79" s="27">
        <f>VLOOKUP(E79,'Daily Rates'!$A$1:$Q$197,4,FALSE)</f>
        <v>66.459999999999994</v>
      </c>
      <c r="I79" s="26">
        <f>VLOOKUP(E79,'Daily Rates'!$A$1:$Q$197,13,FALSE)</f>
        <v>1255</v>
      </c>
      <c r="J79" s="26">
        <f t="shared" si="6"/>
        <v>1319.0041488310308</v>
      </c>
      <c r="K79" s="26">
        <f t="shared" si="7"/>
        <v>92061.015731310297</v>
      </c>
      <c r="L79" s="66"/>
    </row>
    <row r="80" spans="5:12" x14ac:dyDescent="0.25">
      <c r="E80" s="23">
        <v>42493</v>
      </c>
      <c r="F80" s="22">
        <f t="shared" si="4"/>
        <v>19</v>
      </c>
      <c r="G80" s="22">
        <f t="shared" si="5"/>
        <v>5</v>
      </c>
      <c r="H80" s="27">
        <f>VLOOKUP(E80,'Daily Rates'!$A$1:$Q$197,4,FALSE)</f>
        <v>66.430000000000007</v>
      </c>
      <c r="I80" s="26">
        <f>VLOOKUP(E80,'Daily Rates'!$A$1:$Q$197,13,FALSE)</f>
        <v>1250</v>
      </c>
      <c r="J80" s="26">
        <f t="shared" si="6"/>
        <v>1313.9320446865036</v>
      </c>
      <c r="K80" s="26">
        <f t="shared" si="7"/>
        <v>91684.50572852444</v>
      </c>
      <c r="L80" s="66"/>
    </row>
    <row r="81" spans="5:12" x14ac:dyDescent="0.25">
      <c r="E81" s="23">
        <v>42494</v>
      </c>
      <c r="F81" s="22">
        <f t="shared" si="4"/>
        <v>19</v>
      </c>
      <c r="G81" s="22">
        <f t="shared" si="5"/>
        <v>5</v>
      </c>
      <c r="H81" s="27">
        <f>VLOOKUP(E81,'Daily Rates'!$A$1:$Q$197,4,FALSE)</f>
        <v>66.55</v>
      </c>
      <c r="I81" s="26">
        <f>VLOOKUP(E81,'Daily Rates'!$A$1:$Q$197,13,FALSE)</f>
        <v>1240</v>
      </c>
      <c r="J81" s="26">
        <f t="shared" si="6"/>
        <v>1303.7878363974496</v>
      </c>
      <c r="K81" s="26">
        <f t="shared" si="7"/>
        <v>91167.080512250264</v>
      </c>
      <c r="L81" s="66"/>
    </row>
    <row r="82" spans="5:12" x14ac:dyDescent="0.25">
      <c r="E82" s="23">
        <v>42495</v>
      </c>
      <c r="F82" s="22">
        <f t="shared" si="4"/>
        <v>19</v>
      </c>
      <c r="G82" s="22">
        <f t="shared" si="5"/>
        <v>5</v>
      </c>
      <c r="H82" s="27">
        <f>VLOOKUP(E82,'Daily Rates'!$A$1:$Q$197,4,FALSE)</f>
        <v>66.55</v>
      </c>
      <c r="I82" s="26">
        <f>VLOOKUP(E82,'Daily Rates'!$A$1:$Q$197,13,FALSE)</f>
        <v>1240</v>
      </c>
      <c r="J82" s="26">
        <f t="shared" si="6"/>
        <v>1303.7878363974496</v>
      </c>
      <c r="K82" s="26">
        <f t="shared" si="7"/>
        <v>91167.080512250264</v>
      </c>
      <c r="L82" s="66"/>
    </row>
    <row r="83" spans="5:12" x14ac:dyDescent="0.25">
      <c r="E83" s="23">
        <v>42496</v>
      </c>
      <c r="F83" s="22">
        <f t="shared" si="4"/>
        <v>19</v>
      </c>
      <c r="G83" s="22">
        <f t="shared" si="5"/>
        <v>5</v>
      </c>
      <c r="H83" s="27">
        <f>VLOOKUP(E83,'Daily Rates'!$A$1:$Q$197,4,FALSE)</f>
        <v>66.55</v>
      </c>
      <c r="I83" s="26">
        <f>VLOOKUP(E83,'Daily Rates'!$A$1:$Q$197,13,FALSE)</f>
        <v>1225</v>
      </c>
      <c r="J83" s="26">
        <f t="shared" si="6"/>
        <v>1288.571523963868</v>
      </c>
      <c r="K83" s="26">
        <f t="shared" si="7"/>
        <v>90154.434919795414</v>
      </c>
      <c r="L83" s="66"/>
    </row>
    <row r="84" spans="5:12" x14ac:dyDescent="0.25">
      <c r="E84" s="23">
        <v>42499</v>
      </c>
      <c r="F84" s="22">
        <f t="shared" si="4"/>
        <v>20</v>
      </c>
      <c r="G84" s="22">
        <f t="shared" si="5"/>
        <v>5</v>
      </c>
      <c r="H84" s="27">
        <f>VLOOKUP(E84,'Daily Rates'!$A$1:$Q$197,4,FALSE)</f>
        <v>66.58</v>
      </c>
      <c r="I84" s="26">
        <f>VLOOKUP(E84,'Daily Rates'!$A$1:$Q$197,13,FALSE)</f>
        <v>1235</v>
      </c>
      <c r="J84" s="26">
        <f t="shared" si="6"/>
        <v>1298.7157322529224</v>
      </c>
      <c r="K84" s="26">
        <f t="shared" si="7"/>
        <v>90868.493453399569</v>
      </c>
      <c r="L84" s="66"/>
    </row>
    <row r="85" spans="5:12" x14ac:dyDescent="0.25">
      <c r="E85" s="23">
        <v>42500</v>
      </c>
      <c r="F85" s="22">
        <f t="shared" si="4"/>
        <v>20</v>
      </c>
      <c r="G85" s="22">
        <f t="shared" si="5"/>
        <v>5</v>
      </c>
      <c r="H85" s="27">
        <f>VLOOKUP(E85,'Daily Rates'!$A$1:$Q$197,4,FALSE)</f>
        <v>66.680000000000007</v>
      </c>
      <c r="I85" s="26">
        <f>VLOOKUP(E85,'Daily Rates'!$A$1:$Q$197,13,FALSE)</f>
        <v>1235</v>
      </c>
      <c r="J85" s="26">
        <f t="shared" si="6"/>
        <v>1298.7157322529224</v>
      </c>
      <c r="K85" s="26">
        <f t="shared" si="7"/>
        <v>90998.365026624873</v>
      </c>
      <c r="L85" s="66"/>
    </row>
    <row r="86" spans="5:12" x14ac:dyDescent="0.25">
      <c r="E86" s="23">
        <v>42501</v>
      </c>
      <c r="F86" s="22">
        <f t="shared" si="4"/>
        <v>20</v>
      </c>
      <c r="G86" s="22">
        <f t="shared" si="5"/>
        <v>5</v>
      </c>
      <c r="H86" s="27">
        <f>VLOOKUP(E86,'Daily Rates'!$A$1:$Q$197,4,FALSE)</f>
        <v>66.569999999999993</v>
      </c>
      <c r="I86" s="26">
        <f>VLOOKUP(E86,'Daily Rates'!$A$1:$Q$197,13,FALSE)</f>
        <v>1235</v>
      </c>
      <c r="J86" s="26">
        <f t="shared" si="6"/>
        <v>1298.7157322529224</v>
      </c>
      <c r="K86" s="26">
        <f t="shared" si="7"/>
        <v>90855.50629607703</v>
      </c>
      <c r="L86" s="66"/>
    </row>
    <row r="87" spans="5:12" x14ac:dyDescent="0.25">
      <c r="E87" s="23">
        <v>42502</v>
      </c>
      <c r="F87" s="22">
        <f t="shared" si="4"/>
        <v>20</v>
      </c>
      <c r="G87" s="22">
        <f t="shared" si="5"/>
        <v>5</v>
      </c>
      <c r="H87" s="27">
        <f>VLOOKUP(E87,'Daily Rates'!$A$1:$Q$197,4,FALSE)</f>
        <v>66.62</v>
      </c>
      <c r="I87" s="26">
        <f>VLOOKUP(E87,'Daily Rates'!$A$1:$Q$197,13,FALSE)</f>
        <v>1200</v>
      </c>
      <c r="J87" s="26">
        <f t="shared" si="6"/>
        <v>1263.2110032412327</v>
      </c>
      <c r="K87" s="26">
        <f t="shared" si="7"/>
        <v>88555.117035930933</v>
      </c>
      <c r="L87" s="66"/>
    </row>
    <row r="88" spans="5:12" x14ac:dyDescent="0.25">
      <c r="E88" s="23">
        <v>42503</v>
      </c>
      <c r="F88" s="22">
        <f t="shared" si="4"/>
        <v>20</v>
      </c>
      <c r="G88" s="22">
        <f t="shared" si="5"/>
        <v>5</v>
      </c>
      <c r="H88" s="27">
        <f>VLOOKUP(E88,'Daily Rates'!$A$1:$Q$197,4,FALSE)</f>
        <v>66.760000000000005</v>
      </c>
      <c r="I88" s="26">
        <f>VLOOKUP(E88,'Daily Rates'!$A$1:$Q$197,13,FALSE)</f>
        <v>1200</v>
      </c>
      <c r="J88" s="26">
        <f t="shared" si="6"/>
        <v>1263.2110032412327</v>
      </c>
      <c r="K88" s="26">
        <f t="shared" si="7"/>
        <v>88731.966576384701</v>
      </c>
      <c r="L88" s="66"/>
    </row>
    <row r="89" spans="5:12" x14ac:dyDescent="0.25">
      <c r="E89" s="23">
        <v>42506</v>
      </c>
      <c r="F89" s="22">
        <f t="shared" si="4"/>
        <v>21</v>
      </c>
      <c r="G89" s="22">
        <f t="shared" si="5"/>
        <v>5</v>
      </c>
      <c r="H89" s="27">
        <f>VLOOKUP(E89,'Daily Rates'!$A$1:$Q$197,4,FALSE)</f>
        <v>66.8</v>
      </c>
      <c r="I89" s="26">
        <f>VLOOKUP(E89,'Daily Rates'!$A$1:$Q$197,13,FALSE)</f>
        <v>1200</v>
      </c>
      <c r="J89" s="26">
        <f t="shared" si="6"/>
        <v>1263.2110032412327</v>
      </c>
      <c r="K89" s="26">
        <f t="shared" si="7"/>
        <v>88782.495016514338</v>
      </c>
      <c r="L89" s="66"/>
    </row>
    <row r="90" spans="5:12" x14ac:dyDescent="0.25">
      <c r="E90" s="23">
        <v>42507</v>
      </c>
      <c r="F90" s="22">
        <f t="shared" si="4"/>
        <v>21</v>
      </c>
      <c r="G90" s="22">
        <f t="shared" si="5"/>
        <v>5</v>
      </c>
      <c r="H90" s="27">
        <f>VLOOKUP(E90,'Daily Rates'!$A$1:$Q$197,4,FALSE)</f>
        <v>66.87</v>
      </c>
      <c r="I90" s="26">
        <f>VLOOKUP(E90,'Daily Rates'!$A$1:$Q$197,13,FALSE)</f>
        <v>1190</v>
      </c>
      <c r="J90" s="26">
        <f t="shared" si="6"/>
        <v>1253.0667949521785</v>
      </c>
      <c r="K90" s="26">
        <f t="shared" si="7"/>
        <v>88192.576578452179</v>
      </c>
      <c r="L90" s="66"/>
    </row>
    <row r="91" spans="5:12" x14ac:dyDescent="0.25">
      <c r="E91" s="23">
        <v>42508</v>
      </c>
      <c r="F91" s="22">
        <f t="shared" si="4"/>
        <v>21</v>
      </c>
      <c r="G91" s="22">
        <f t="shared" si="5"/>
        <v>5</v>
      </c>
      <c r="H91" s="27">
        <f>VLOOKUP(E91,'Daily Rates'!$A$1:$Q$197,4,FALSE)</f>
        <v>66.97</v>
      </c>
      <c r="I91" s="26">
        <f>VLOOKUP(E91,'Daily Rates'!$A$1:$Q$197,13,FALSE)</f>
        <v>1190</v>
      </c>
      <c r="J91" s="26">
        <f t="shared" si="6"/>
        <v>1253.0667949521785</v>
      </c>
      <c r="K91" s="26">
        <f t="shared" si="7"/>
        <v>88317.883257947396</v>
      </c>
      <c r="L91" s="66"/>
    </row>
    <row r="92" spans="5:12" x14ac:dyDescent="0.25">
      <c r="E92" s="23">
        <v>42509</v>
      </c>
      <c r="F92" s="22">
        <f t="shared" si="4"/>
        <v>21</v>
      </c>
      <c r="G92" s="22">
        <f t="shared" si="5"/>
        <v>5</v>
      </c>
      <c r="H92" s="27">
        <f>VLOOKUP(E92,'Daily Rates'!$A$1:$Q$197,4,FALSE)</f>
        <v>67.37</v>
      </c>
      <c r="I92" s="26">
        <f>VLOOKUP(E92,'Daily Rates'!$A$1:$Q$197,13,FALSE)</f>
        <v>1185</v>
      </c>
      <c r="J92" s="26">
        <f t="shared" si="6"/>
        <v>1247.9946908076513</v>
      </c>
      <c r="K92" s="26">
        <f t="shared" si="7"/>
        <v>88477.402319711473</v>
      </c>
      <c r="L92" s="66"/>
    </row>
    <row r="93" spans="5:12" x14ac:dyDescent="0.25">
      <c r="E93" s="23">
        <v>42510</v>
      </c>
      <c r="F93" s="22">
        <f t="shared" si="4"/>
        <v>21</v>
      </c>
      <c r="G93" s="22">
        <f t="shared" si="5"/>
        <v>5</v>
      </c>
      <c r="H93" s="27">
        <f>VLOOKUP(E93,'Daily Rates'!$A$1:$Q$197,4,FALSE)</f>
        <v>67.37</v>
      </c>
      <c r="I93" s="26">
        <f>VLOOKUP(E93,'Daily Rates'!$A$1:$Q$197,13,FALSE)</f>
        <v>1195</v>
      </c>
      <c r="J93" s="26">
        <f t="shared" si="6"/>
        <v>1258.1388990967055</v>
      </c>
      <c r="K93" s="26">
        <f t="shared" si="7"/>
        <v>89160.817632145059</v>
      </c>
      <c r="L93" s="66"/>
    </row>
    <row r="94" spans="5:12" x14ac:dyDescent="0.25">
      <c r="E94" s="23">
        <v>42513</v>
      </c>
      <c r="F94" s="22">
        <f t="shared" si="4"/>
        <v>22</v>
      </c>
      <c r="G94" s="22">
        <f t="shared" si="5"/>
        <v>5</v>
      </c>
      <c r="H94" s="27">
        <f>VLOOKUP(E94,'Daily Rates'!$A$1:$Q$197,4,FALSE)</f>
        <v>67.5</v>
      </c>
      <c r="I94" s="26">
        <f>VLOOKUP(E94,'Daily Rates'!$A$1:$Q$197,13,FALSE)</f>
        <v>1185</v>
      </c>
      <c r="J94" s="26">
        <f t="shared" si="6"/>
        <v>1247.9946908076513</v>
      </c>
      <c r="K94" s="26">
        <f t="shared" si="7"/>
        <v>88639.641629516467</v>
      </c>
      <c r="L94" s="66"/>
    </row>
    <row r="95" spans="5:12" x14ac:dyDescent="0.25">
      <c r="E95" s="23">
        <v>42514</v>
      </c>
      <c r="F95" s="22">
        <f t="shared" si="4"/>
        <v>22</v>
      </c>
      <c r="G95" s="22">
        <f t="shared" si="5"/>
        <v>5</v>
      </c>
      <c r="H95" s="27">
        <f>VLOOKUP(E95,'Daily Rates'!$A$1:$Q$197,4,FALSE)</f>
        <v>67.7</v>
      </c>
      <c r="I95" s="26">
        <f>VLOOKUP(E95,'Daily Rates'!$A$1:$Q$197,13,FALSE)</f>
        <v>1185</v>
      </c>
      <c r="J95" s="26">
        <f t="shared" si="6"/>
        <v>1247.9946908076513</v>
      </c>
      <c r="K95" s="26">
        <f t="shared" si="7"/>
        <v>88889.240567677989</v>
      </c>
      <c r="L95" s="66"/>
    </row>
    <row r="96" spans="5:12" x14ac:dyDescent="0.25">
      <c r="E96" s="23">
        <v>42515</v>
      </c>
      <c r="F96" s="22">
        <f t="shared" si="4"/>
        <v>22</v>
      </c>
      <c r="G96" s="22">
        <f t="shared" si="5"/>
        <v>5</v>
      </c>
      <c r="H96" s="27">
        <f>VLOOKUP(E96,'Daily Rates'!$A$1:$Q$197,4,FALSE)</f>
        <v>67.36</v>
      </c>
      <c r="I96" s="26">
        <f>VLOOKUP(E96,'Daily Rates'!$A$1:$Q$197,13,FALSE)</f>
        <v>1190</v>
      </c>
      <c r="J96" s="26">
        <f t="shared" si="6"/>
        <v>1253.0667949521785</v>
      </c>
      <c r="K96" s="26">
        <f t="shared" si="7"/>
        <v>88806.57930797874</v>
      </c>
      <c r="L96" s="66"/>
    </row>
    <row r="97" spans="5:12" x14ac:dyDescent="0.25">
      <c r="E97" s="23">
        <v>42516</v>
      </c>
      <c r="F97" s="22">
        <f t="shared" si="4"/>
        <v>22</v>
      </c>
      <c r="G97" s="22">
        <f t="shared" si="5"/>
        <v>5</v>
      </c>
      <c r="H97" s="27">
        <f>VLOOKUP(E97,'Daily Rates'!$A$1:$Q$197,4,FALSE)</f>
        <v>67.180000000000007</v>
      </c>
      <c r="I97" s="26">
        <f>VLOOKUP(E97,'Daily Rates'!$A$1:$Q$197,13,FALSE)</f>
        <v>1190</v>
      </c>
      <c r="J97" s="26">
        <f t="shared" si="6"/>
        <v>1253.0667949521785</v>
      </c>
      <c r="K97" s="26">
        <f t="shared" si="7"/>
        <v>88581.027284887357</v>
      </c>
      <c r="L97" s="66"/>
    </row>
    <row r="98" spans="5:12" x14ac:dyDescent="0.25">
      <c r="E98" s="23">
        <v>42517</v>
      </c>
      <c r="F98" s="22">
        <f t="shared" si="4"/>
        <v>22</v>
      </c>
      <c r="G98" s="22">
        <f t="shared" si="5"/>
        <v>5</v>
      </c>
      <c r="H98" s="27">
        <f>VLOOKUP(E98,'Daily Rates'!$A$1:$Q$197,4,FALSE)</f>
        <v>67.040000000000006</v>
      </c>
      <c r="I98" s="26">
        <f>VLOOKUP(E98,'Daily Rates'!$A$1:$Q$197,13,FALSE)</f>
        <v>1210</v>
      </c>
      <c r="J98" s="26">
        <f t="shared" si="6"/>
        <v>1273.3552115302869</v>
      </c>
      <c r="K98" s="26">
        <f t="shared" si="7"/>
        <v>89765.733380990438</v>
      </c>
      <c r="L98" s="66"/>
    </row>
    <row r="99" spans="5:12" x14ac:dyDescent="0.25">
      <c r="E99" s="23">
        <v>42520</v>
      </c>
      <c r="F99" s="22">
        <f t="shared" si="4"/>
        <v>23</v>
      </c>
      <c r="G99" s="22">
        <f t="shared" si="5"/>
        <v>5</v>
      </c>
      <c r="H99" s="27">
        <f>VLOOKUP(E99,'Daily Rates'!$A$1:$Q$197,4,FALSE)</f>
        <v>67.16</v>
      </c>
      <c r="I99" s="26">
        <f>VLOOKUP(E99,'Daily Rates'!$A$1:$Q$197,13,FALSE)</f>
        <v>1210</v>
      </c>
      <c r="J99" s="26">
        <f t="shared" si="6"/>
        <v>1273.3552115302869</v>
      </c>
      <c r="K99" s="26">
        <f t="shared" si="7"/>
        <v>89918.536006374066</v>
      </c>
      <c r="L99" s="66"/>
    </row>
    <row r="100" spans="5:12" x14ac:dyDescent="0.25">
      <c r="E100" s="23">
        <v>42521</v>
      </c>
      <c r="F100" s="22">
        <f t="shared" si="4"/>
        <v>23</v>
      </c>
      <c r="G100" s="22">
        <f t="shared" si="5"/>
        <v>5</v>
      </c>
      <c r="H100" s="27">
        <f>VLOOKUP(E100,'Daily Rates'!$A$1:$Q$197,4,FALSE)</f>
        <v>67.3</v>
      </c>
      <c r="I100" s="26">
        <f>VLOOKUP(E100,'Daily Rates'!$A$1:$Q$197,13,FALSE)</f>
        <v>1215</v>
      </c>
      <c r="J100" s="26">
        <f t="shared" si="6"/>
        <v>1278.4273156748141</v>
      </c>
      <c r="K100" s="26">
        <f t="shared" si="7"/>
        <v>90438.158344914977</v>
      </c>
      <c r="L100" s="66"/>
    </row>
    <row r="101" spans="5:12" x14ac:dyDescent="0.25">
      <c r="E101" s="23">
        <v>42522</v>
      </c>
      <c r="F101" s="22">
        <f t="shared" si="4"/>
        <v>23</v>
      </c>
      <c r="G101" s="22">
        <f t="shared" si="5"/>
        <v>6</v>
      </c>
      <c r="H101" s="27">
        <f>VLOOKUP(E101,'Daily Rates'!$A$1:$Q$197,4,FALSE)</f>
        <v>67.459999999999994</v>
      </c>
      <c r="I101" s="26">
        <f>VLOOKUP(E101,'Daily Rates'!$A$1:$Q$197,13,FALSE)</f>
        <v>1215</v>
      </c>
      <c r="J101" s="26">
        <f t="shared" si="6"/>
        <v>1278.4273156748141</v>
      </c>
      <c r="K101" s="26">
        <f t="shared" si="7"/>
        <v>90642.706715422944</v>
      </c>
      <c r="L101" s="66"/>
    </row>
    <row r="102" spans="5:12" x14ac:dyDescent="0.25">
      <c r="E102" s="23">
        <v>42523</v>
      </c>
      <c r="F102" s="22">
        <f t="shared" si="4"/>
        <v>23</v>
      </c>
      <c r="G102" s="22">
        <f t="shared" si="5"/>
        <v>6</v>
      </c>
      <c r="H102" s="27">
        <f>VLOOKUP(E102,'Daily Rates'!$A$1:$Q$197,4,FALSE)</f>
        <v>67.3</v>
      </c>
      <c r="I102" s="26">
        <f>VLOOKUP(E102,'Daily Rates'!$A$1:$Q$197,13,FALSE)</f>
        <v>1215</v>
      </c>
      <c r="J102" s="26">
        <f t="shared" si="6"/>
        <v>1278.4273156748141</v>
      </c>
      <c r="K102" s="26">
        <f t="shared" si="7"/>
        <v>90438.158344914977</v>
      </c>
      <c r="L102" s="66"/>
    </row>
    <row r="103" spans="5:12" x14ac:dyDescent="0.25">
      <c r="E103" s="23">
        <v>42524</v>
      </c>
      <c r="F103" s="22">
        <f t="shared" si="4"/>
        <v>23</v>
      </c>
      <c r="G103" s="22">
        <f t="shared" si="5"/>
        <v>6</v>
      </c>
      <c r="H103" s="27">
        <f>VLOOKUP(E103,'Daily Rates'!$A$1:$Q$197,4,FALSE)</f>
        <v>67.25</v>
      </c>
      <c r="I103" s="26">
        <f>VLOOKUP(E103,'Daily Rates'!$A$1:$Q$197,13,FALSE)</f>
        <v>1215</v>
      </c>
      <c r="J103" s="26">
        <f t="shared" si="6"/>
        <v>1278.4273156748141</v>
      </c>
      <c r="K103" s="26">
        <f t="shared" si="7"/>
        <v>90374.236979131252</v>
      </c>
      <c r="L103" s="66"/>
    </row>
    <row r="104" spans="5:12" x14ac:dyDescent="0.25">
      <c r="E104" s="23">
        <v>42527</v>
      </c>
      <c r="F104" s="22">
        <f t="shared" si="4"/>
        <v>24</v>
      </c>
      <c r="G104" s="22">
        <f t="shared" si="5"/>
        <v>6</v>
      </c>
      <c r="H104" s="27">
        <f>VLOOKUP(E104,'Daily Rates'!$A$1:$Q$197,4,FALSE)</f>
        <v>66.959999999999994</v>
      </c>
      <c r="I104" s="26">
        <f>VLOOKUP(E104,'Daily Rates'!$A$1:$Q$197,13,FALSE)</f>
        <v>1270</v>
      </c>
      <c r="J104" s="26">
        <f t="shared" si="6"/>
        <v>1334.2204612646119</v>
      </c>
      <c r="K104" s="26">
        <f t="shared" si="7"/>
        <v>93739.402086278409</v>
      </c>
      <c r="L104" s="66"/>
    </row>
    <row r="105" spans="5:12" x14ac:dyDescent="0.25">
      <c r="E105" s="23">
        <v>42528</v>
      </c>
      <c r="F105" s="22">
        <f t="shared" si="4"/>
        <v>24</v>
      </c>
      <c r="G105" s="22">
        <f t="shared" si="5"/>
        <v>6</v>
      </c>
      <c r="H105" s="27">
        <f>VLOOKUP(E105,'Daily Rates'!$A$1:$Q$197,4,FALSE)</f>
        <v>66.77</v>
      </c>
      <c r="I105" s="26">
        <f>VLOOKUP(E105,'Daily Rates'!$A$1:$Q$197,13,FALSE)</f>
        <v>1270</v>
      </c>
      <c r="J105" s="26">
        <f t="shared" si="6"/>
        <v>1334.2204612646119</v>
      </c>
      <c r="K105" s="26">
        <f t="shared" si="7"/>
        <v>93485.900198638134</v>
      </c>
      <c r="L105" s="66"/>
    </row>
    <row r="106" spans="5:12" x14ac:dyDescent="0.25">
      <c r="E106" s="23">
        <v>42529</v>
      </c>
      <c r="F106" s="22">
        <f t="shared" si="4"/>
        <v>24</v>
      </c>
      <c r="G106" s="22">
        <f t="shared" si="5"/>
        <v>6</v>
      </c>
      <c r="H106" s="27">
        <f>VLOOKUP(E106,'Daily Rates'!$A$1:$Q$197,4,FALSE)</f>
        <v>66.650000000000006</v>
      </c>
      <c r="I106" s="26">
        <f>VLOOKUP(E106,'Daily Rates'!$A$1:$Q$197,13,FALSE)</f>
        <v>1270</v>
      </c>
      <c r="J106" s="26">
        <f t="shared" si="6"/>
        <v>1334.2204612646119</v>
      </c>
      <c r="K106" s="26">
        <f t="shared" si="7"/>
        <v>93325.793743286398</v>
      </c>
      <c r="L106" s="66"/>
    </row>
    <row r="107" spans="5:12" x14ac:dyDescent="0.25">
      <c r="E107" s="23">
        <v>42530</v>
      </c>
      <c r="F107" s="22">
        <f t="shared" si="4"/>
        <v>24</v>
      </c>
      <c r="G107" s="22">
        <f t="shared" si="5"/>
        <v>6</v>
      </c>
      <c r="H107" s="27">
        <f>VLOOKUP(E107,'Daily Rates'!$A$1:$Q$197,4,FALSE)</f>
        <v>66.709999999999994</v>
      </c>
      <c r="I107" s="26">
        <f>VLOOKUP(E107,'Daily Rates'!$A$1:$Q$197,13,FALSE)</f>
        <v>1305</v>
      </c>
      <c r="J107" s="26">
        <f t="shared" si="6"/>
        <v>1369.7251902763016</v>
      </c>
      <c r="K107" s="26">
        <f t="shared" si="7"/>
        <v>95774.36744333207</v>
      </c>
      <c r="L107" s="66"/>
    </row>
    <row r="108" spans="5:12" x14ac:dyDescent="0.25">
      <c r="E108" s="23">
        <v>42531</v>
      </c>
      <c r="F108" s="22">
        <f t="shared" si="4"/>
        <v>24</v>
      </c>
      <c r="G108" s="22">
        <f t="shared" si="5"/>
        <v>6</v>
      </c>
      <c r="H108" s="27">
        <f>VLOOKUP(E108,'Daily Rates'!$A$1:$Q$197,4,FALSE)</f>
        <v>66.760000000000005</v>
      </c>
      <c r="I108" s="26">
        <f>VLOOKUP(E108,'Daily Rates'!$A$1:$Q$197,13,FALSE)</f>
        <v>1305</v>
      </c>
      <c r="J108" s="26">
        <f t="shared" si="6"/>
        <v>1369.7251902763016</v>
      </c>
      <c r="K108" s="26">
        <f t="shared" si="7"/>
        <v>95842.85370284591</v>
      </c>
      <c r="L108" s="66"/>
    </row>
    <row r="109" spans="5:12" x14ac:dyDescent="0.25">
      <c r="E109" s="23">
        <v>42534</v>
      </c>
      <c r="F109" s="22">
        <f t="shared" si="4"/>
        <v>25</v>
      </c>
      <c r="G109" s="22">
        <f t="shared" si="5"/>
        <v>6</v>
      </c>
      <c r="H109" s="27">
        <f>VLOOKUP(E109,'Daily Rates'!$A$1:$Q$197,4,FALSE)</f>
        <v>67.13</v>
      </c>
      <c r="I109" s="26">
        <f>VLOOKUP(E109,'Daily Rates'!$A$1:$Q$197,13,FALSE)</f>
        <v>1310</v>
      </c>
      <c r="J109" s="26">
        <f t="shared" si="6"/>
        <v>1374.7972944208288</v>
      </c>
      <c r="K109" s="26">
        <f t="shared" si="7"/>
        <v>96690.142374470233</v>
      </c>
      <c r="L109" s="66"/>
    </row>
    <row r="110" spans="5:12" x14ac:dyDescent="0.25">
      <c r="E110" s="23">
        <v>42535</v>
      </c>
      <c r="F110" s="22">
        <f t="shared" si="4"/>
        <v>25</v>
      </c>
      <c r="G110" s="22">
        <f t="shared" si="5"/>
        <v>6</v>
      </c>
      <c r="H110" s="27">
        <f>VLOOKUP(E110,'Daily Rates'!$A$1:$Q$197,4,FALSE)</f>
        <v>67.150000000000006</v>
      </c>
      <c r="I110" s="26">
        <f>VLOOKUP(E110,'Daily Rates'!$A$1:$Q$197,13,FALSE)</f>
        <v>1310</v>
      </c>
      <c r="J110" s="26">
        <f t="shared" si="6"/>
        <v>1374.7972944208288</v>
      </c>
      <c r="K110" s="26">
        <f t="shared" si="7"/>
        <v>96717.638320358659</v>
      </c>
      <c r="L110" s="66"/>
    </row>
    <row r="111" spans="5:12" x14ac:dyDescent="0.25">
      <c r="E111" s="23">
        <v>42536</v>
      </c>
      <c r="F111" s="22">
        <f t="shared" si="4"/>
        <v>25</v>
      </c>
      <c r="G111" s="22">
        <f t="shared" si="5"/>
        <v>6</v>
      </c>
      <c r="H111" s="27">
        <f>VLOOKUP(E111,'Daily Rates'!$A$1:$Q$197,4,FALSE)</f>
        <v>67.22</v>
      </c>
      <c r="I111" s="26">
        <f>VLOOKUP(E111,'Daily Rates'!$A$1:$Q$197,13,FALSE)</f>
        <v>1310</v>
      </c>
      <c r="J111" s="26">
        <f t="shared" si="6"/>
        <v>1374.7972944208288</v>
      </c>
      <c r="K111" s="26">
        <f t="shared" si="7"/>
        <v>96813.874130968121</v>
      </c>
      <c r="L111" s="66"/>
    </row>
    <row r="112" spans="5:12" x14ac:dyDescent="0.25">
      <c r="E112" s="23">
        <v>42537</v>
      </c>
      <c r="F112" s="22">
        <f t="shared" si="4"/>
        <v>25</v>
      </c>
      <c r="G112" s="22">
        <f t="shared" si="5"/>
        <v>6</v>
      </c>
      <c r="H112" s="27">
        <f>VLOOKUP(E112,'Daily Rates'!$A$1:$Q$197,4,FALSE)</f>
        <v>67.3</v>
      </c>
      <c r="I112" s="26">
        <f>VLOOKUP(E112,'Daily Rates'!$A$1:$Q$197,13,FALSE)</f>
        <v>1295</v>
      </c>
      <c r="J112" s="26">
        <f t="shared" si="6"/>
        <v>1359.5809819872475</v>
      </c>
      <c r="K112" s="26">
        <f t="shared" si="7"/>
        <v>95899.800087741751</v>
      </c>
      <c r="L112" s="66"/>
    </row>
    <row r="113" spans="5:12" x14ac:dyDescent="0.25">
      <c r="E113" s="23">
        <v>42538</v>
      </c>
      <c r="F113" s="22">
        <f t="shared" si="4"/>
        <v>25</v>
      </c>
      <c r="G113" s="22">
        <f t="shared" si="5"/>
        <v>6</v>
      </c>
      <c r="H113" s="27">
        <f>VLOOKUP(E113,'Daily Rates'!$A$1:$Q$197,4,FALSE)</f>
        <v>67.069999999999993</v>
      </c>
      <c r="I113" s="26">
        <f>VLOOKUP(E113,'Daily Rates'!$A$1:$Q$197,13,FALSE)</f>
        <v>1295</v>
      </c>
      <c r="J113" s="26">
        <f t="shared" si="6"/>
        <v>1359.5809819872475</v>
      </c>
      <c r="K113" s="26">
        <f t="shared" si="7"/>
        <v>95587.096461884677</v>
      </c>
      <c r="L113" s="66"/>
    </row>
    <row r="114" spans="5:12" x14ac:dyDescent="0.25">
      <c r="E114" s="23">
        <v>42541</v>
      </c>
      <c r="F114" s="22">
        <f t="shared" si="4"/>
        <v>26</v>
      </c>
      <c r="G114" s="22">
        <f t="shared" si="5"/>
        <v>6</v>
      </c>
      <c r="H114" s="27">
        <f>VLOOKUP(E114,'Daily Rates'!$A$1:$Q$197,4,FALSE)</f>
        <v>67.31</v>
      </c>
      <c r="I114" s="26">
        <f>VLOOKUP(E114,'Daily Rates'!$A$1:$Q$197,13,FALSE)</f>
        <v>1295</v>
      </c>
      <c r="J114" s="26">
        <f t="shared" si="6"/>
        <v>1359.5809819872475</v>
      </c>
      <c r="K114" s="26">
        <f t="shared" si="7"/>
        <v>95913.395897561626</v>
      </c>
      <c r="L114" s="66"/>
    </row>
    <row r="115" spans="5:12" x14ac:dyDescent="0.25">
      <c r="E115" s="23">
        <v>42542</v>
      </c>
      <c r="F115" s="22">
        <f t="shared" si="4"/>
        <v>26</v>
      </c>
      <c r="G115" s="22">
        <f t="shared" si="5"/>
        <v>6</v>
      </c>
      <c r="H115" s="27">
        <f>VLOOKUP(E115,'Daily Rates'!$A$1:$Q$197,4,FALSE)</f>
        <v>67.5</v>
      </c>
      <c r="I115" s="26">
        <f>VLOOKUP(E115,'Daily Rates'!$A$1:$Q$197,13,FALSE)</f>
        <v>1295</v>
      </c>
      <c r="J115" s="26">
        <f t="shared" si="6"/>
        <v>1359.5809819872475</v>
      </c>
      <c r="K115" s="26">
        <f t="shared" si="7"/>
        <v>96171.716284139198</v>
      </c>
      <c r="L115" s="66"/>
    </row>
    <row r="116" spans="5:12" x14ac:dyDescent="0.25">
      <c r="E116" s="23">
        <v>42543</v>
      </c>
      <c r="F116" s="22">
        <f t="shared" si="4"/>
        <v>26</v>
      </c>
      <c r="G116" s="22">
        <f t="shared" si="5"/>
        <v>6</v>
      </c>
      <c r="H116" s="27">
        <f>VLOOKUP(E116,'Daily Rates'!$A$1:$Q$197,4,FALSE)</f>
        <v>67.48</v>
      </c>
      <c r="I116" s="26">
        <f>VLOOKUP(E116,'Daily Rates'!$A$1:$Q$197,13,FALSE)</f>
        <v>1295</v>
      </c>
      <c r="J116" s="26">
        <f t="shared" si="6"/>
        <v>1359.5809819872475</v>
      </c>
      <c r="K116" s="26">
        <f t="shared" si="7"/>
        <v>96144.524664499462</v>
      </c>
      <c r="L116" s="66"/>
    </row>
    <row r="117" spans="5:12" x14ac:dyDescent="0.25">
      <c r="E117" s="23">
        <v>42544</v>
      </c>
      <c r="F117" s="22">
        <f t="shared" si="4"/>
        <v>26</v>
      </c>
      <c r="G117" s="22">
        <f t="shared" si="5"/>
        <v>6</v>
      </c>
      <c r="H117" s="27">
        <f>VLOOKUP(E117,'Daily Rates'!$A$1:$Q$197,4,FALSE)</f>
        <v>67.25</v>
      </c>
      <c r="I117" s="26">
        <f>VLOOKUP(E117,'Daily Rates'!$A$1:$Q$197,13,FALSE)</f>
        <v>1295</v>
      </c>
      <c r="J117" s="26">
        <f t="shared" si="6"/>
        <v>1359.5809819872475</v>
      </c>
      <c r="K117" s="26">
        <f t="shared" si="7"/>
        <v>95831.821038642389</v>
      </c>
      <c r="L117" s="66"/>
    </row>
    <row r="118" spans="5:12" x14ac:dyDescent="0.25">
      <c r="E118" s="23">
        <v>42545</v>
      </c>
      <c r="F118" s="22">
        <f t="shared" si="4"/>
        <v>26</v>
      </c>
      <c r="G118" s="22">
        <f t="shared" si="5"/>
        <v>6</v>
      </c>
      <c r="H118" s="27">
        <f>VLOOKUP(E118,'Daily Rates'!$A$1:$Q$197,4,FALSE)</f>
        <v>67.959999999999994</v>
      </c>
      <c r="I118" s="26">
        <f>VLOOKUP(E118,'Daily Rates'!$A$1:$Q$197,13,FALSE)</f>
        <v>1280</v>
      </c>
      <c r="J118" s="26">
        <f t="shared" si="6"/>
        <v>1344.3646695536663</v>
      </c>
      <c r="K118" s="26">
        <f t="shared" si="7"/>
        <v>95763.022942867159</v>
      </c>
      <c r="L118" s="66"/>
    </row>
    <row r="119" spans="5:12" x14ac:dyDescent="0.25">
      <c r="E119" s="23">
        <v>42548</v>
      </c>
      <c r="F119" s="22">
        <f t="shared" si="4"/>
        <v>27</v>
      </c>
      <c r="G119" s="22">
        <f t="shared" si="5"/>
        <v>6</v>
      </c>
      <c r="H119" s="27">
        <f>VLOOKUP(E119,'Daily Rates'!$A$1:$Q$197,4,FALSE)</f>
        <v>67.95</v>
      </c>
      <c r="I119" s="26">
        <f>VLOOKUP(E119,'Daily Rates'!$A$1:$Q$197,13,FALSE)</f>
        <v>1285</v>
      </c>
      <c r="J119" s="26">
        <f t="shared" si="6"/>
        <v>1349.4367736981933</v>
      </c>
      <c r="K119" s="26">
        <f t="shared" si="7"/>
        <v>96094.228772792238</v>
      </c>
      <c r="L119" s="66"/>
    </row>
    <row r="120" spans="5:12" x14ac:dyDescent="0.25">
      <c r="E120" s="23">
        <v>42549</v>
      </c>
      <c r="F120" s="22">
        <f t="shared" si="4"/>
        <v>27</v>
      </c>
      <c r="G120" s="22">
        <f t="shared" si="5"/>
        <v>6</v>
      </c>
      <c r="H120" s="27">
        <f>VLOOKUP(E120,'Daily Rates'!$A$1:$Q$197,4,FALSE)</f>
        <v>67.95</v>
      </c>
      <c r="I120" s="26">
        <f>VLOOKUP(E120,'Daily Rates'!$A$1:$Q$197,13,FALSE)</f>
        <v>1280</v>
      </c>
      <c r="J120" s="26">
        <f t="shared" si="6"/>
        <v>1344.3646695536663</v>
      </c>
      <c r="K120" s="26">
        <f t="shared" si="7"/>
        <v>95749.579296171636</v>
      </c>
      <c r="L120" s="66"/>
    </row>
    <row r="121" spans="5:12" x14ac:dyDescent="0.25">
      <c r="E121" s="23">
        <v>42550</v>
      </c>
      <c r="F121" s="22">
        <f t="shared" si="4"/>
        <v>27</v>
      </c>
      <c r="G121" s="22">
        <f t="shared" si="5"/>
        <v>6</v>
      </c>
      <c r="H121" s="27">
        <f>VLOOKUP(E121,'Daily Rates'!$A$1:$Q$197,4,FALSE)</f>
        <v>67.69</v>
      </c>
      <c r="I121" s="26">
        <f>VLOOKUP(E121,'Daily Rates'!$A$1:$Q$197,13,FALSE)</f>
        <v>1270</v>
      </c>
      <c r="J121" s="26">
        <f t="shared" si="6"/>
        <v>1334.2204612646119</v>
      </c>
      <c r="K121" s="26">
        <f t="shared" si="7"/>
        <v>94713.383023001574</v>
      </c>
      <c r="L121" s="66"/>
    </row>
    <row r="122" spans="5:12" x14ac:dyDescent="0.25">
      <c r="E122" s="23">
        <v>42551</v>
      </c>
      <c r="F122" s="22">
        <f t="shared" si="4"/>
        <v>27</v>
      </c>
      <c r="G122" s="22">
        <f t="shared" si="5"/>
        <v>6</v>
      </c>
      <c r="H122" s="27">
        <f>VLOOKUP(E122,'Daily Rates'!$A$1:$Q$197,4,FALSE)</f>
        <v>67.52</v>
      </c>
      <c r="I122" s="26">
        <f>VLOOKUP(E122,'Daily Rates'!$A$1:$Q$197,13,FALSE)</f>
        <v>1285</v>
      </c>
      <c r="J122" s="26">
        <f t="shared" si="6"/>
        <v>1349.4367736981933</v>
      </c>
      <c r="K122" s="26">
        <f t="shared" si="7"/>
        <v>95513.970960102</v>
      </c>
      <c r="L122" s="66"/>
    </row>
    <row r="123" spans="5:12" x14ac:dyDescent="0.25">
      <c r="E123" s="23">
        <v>42552</v>
      </c>
      <c r="F123" s="22">
        <f t="shared" si="4"/>
        <v>27</v>
      </c>
      <c r="G123" s="22">
        <f t="shared" si="5"/>
        <v>7</v>
      </c>
      <c r="H123" s="27">
        <f>VLOOKUP(E123,'Daily Rates'!$A$1:$Q$197,4,FALSE)</f>
        <v>67.319999999999993</v>
      </c>
      <c r="I123" s="26">
        <f>VLOOKUP(E123,'Daily Rates'!$A$1:$Q$197,13,FALSE)</f>
        <v>1285</v>
      </c>
      <c r="J123" s="26">
        <f t="shared" si="6"/>
        <v>1349.4367736981933</v>
      </c>
      <c r="K123" s="26">
        <f t="shared" si="7"/>
        <v>95244.083605362364</v>
      </c>
      <c r="L123" s="66"/>
    </row>
    <row r="124" spans="5:12" x14ac:dyDescent="0.25">
      <c r="E124" s="23">
        <v>42555</v>
      </c>
      <c r="F124" s="22">
        <f t="shared" si="4"/>
        <v>28</v>
      </c>
      <c r="G124" s="22">
        <f t="shared" si="5"/>
        <v>7</v>
      </c>
      <c r="H124" s="27">
        <f>VLOOKUP(E124,'Daily Rates'!$A$1:$Q$197,4,FALSE)</f>
        <v>67.72</v>
      </c>
      <c r="I124" s="26">
        <f>VLOOKUP(E124,'Daily Rates'!$A$1:$Q$197,13,FALSE)</f>
        <v>1270</v>
      </c>
      <c r="J124" s="26">
        <f t="shared" si="6"/>
        <v>1334.2204612646119</v>
      </c>
      <c r="K124" s="26">
        <f t="shared" si="7"/>
        <v>94753.409636839511</v>
      </c>
      <c r="L124" s="66"/>
    </row>
    <row r="125" spans="5:12" x14ac:dyDescent="0.25">
      <c r="E125" s="23">
        <v>42556</v>
      </c>
      <c r="F125" s="22">
        <f t="shared" si="4"/>
        <v>28</v>
      </c>
      <c r="G125" s="22">
        <f t="shared" si="5"/>
        <v>7</v>
      </c>
      <c r="H125" s="27">
        <f>VLOOKUP(E125,'Daily Rates'!$A$1:$Q$197,4,FALSE)</f>
        <v>67.56</v>
      </c>
      <c r="I125" s="26">
        <f>VLOOKUP(E125,'Daily Rates'!$A$1:$Q$197,13,FALSE)</f>
        <v>1270</v>
      </c>
      <c r="J125" s="26">
        <f t="shared" si="6"/>
        <v>1334.2204612646119</v>
      </c>
      <c r="K125" s="26">
        <f t="shared" si="7"/>
        <v>94539.934363037188</v>
      </c>
      <c r="L125" s="66"/>
    </row>
    <row r="126" spans="5:12" x14ac:dyDescent="0.25">
      <c r="E126" s="23">
        <v>42559</v>
      </c>
      <c r="F126" s="22">
        <f t="shared" si="4"/>
        <v>28</v>
      </c>
      <c r="G126" s="22">
        <f t="shared" si="5"/>
        <v>7</v>
      </c>
      <c r="H126" s="27">
        <f>VLOOKUP(E126,'Daily Rates'!$A$1:$Q$197,4,FALSE)</f>
        <v>67.37</v>
      </c>
      <c r="I126" s="26">
        <f>VLOOKUP(E126,'Daily Rates'!$A$1:$Q$197,13,FALSE)</f>
        <v>1250</v>
      </c>
      <c r="J126" s="26">
        <f t="shared" si="6"/>
        <v>1313.9320446865036</v>
      </c>
      <c r="K126" s="26">
        <f t="shared" si="7"/>
        <v>92919.601850529754</v>
      </c>
      <c r="L126" s="66"/>
    </row>
    <row r="127" spans="5:12" x14ac:dyDescent="0.25">
      <c r="E127" s="23">
        <v>42562</v>
      </c>
      <c r="F127" s="22">
        <f t="shared" si="4"/>
        <v>29</v>
      </c>
      <c r="G127" s="22">
        <f t="shared" si="5"/>
        <v>7</v>
      </c>
      <c r="H127" s="27">
        <f>VLOOKUP(E127,'Daily Rates'!$A$1:$Q$197,4,FALSE)</f>
        <v>67.13</v>
      </c>
      <c r="I127" s="26">
        <f>VLOOKUP(E127,'Daily Rates'!$A$1:$Q$197,13,FALSE)</f>
        <v>1250</v>
      </c>
      <c r="J127" s="26">
        <f t="shared" si="6"/>
        <v>1313.9320446865036</v>
      </c>
      <c r="K127" s="26">
        <f t="shared" si="7"/>
        <v>92604.258159804973</v>
      </c>
      <c r="L127" s="66"/>
    </row>
    <row r="128" spans="5:12" x14ac:dyDescent="0.25">
      <c r="E128" s="23">
        <v>42563</v>
      </c>
      <c r="F128" s="22">
        <f t="shared" si="4"/>
        <v>29</v>
      </c>
      <c r="G128" s="22">
        <f t="shared" si="5"/>
        <v>7</v>
      </c>
      <c r="H128" s="27">
        <f>VLOOKUP(E128,'Daily Rates'!$A$1:$Q$197,4,FALSE)</f>
        <v>67.180000000000007</v>
      </c>
      <c r="I128" s="26">
        <f>VLOOKUP(E128,'Daily Rates'!$A$1:$Q$197,13,FALSE)</f>
        <v>1225</v>
      </c>
      <c r="J128" s="26">
        <f t="shared" si="6"/>
        <v>1288.571523963868</v>
      </c>
      <c r="K128" s="26">
        <f t="shared" si="7"/>
        <v>90966.234979892659</v>
      </c>
      <c r="L128" s="66"/>
    </row>
    <row r="129" spans="5:12" x14ac:dyDescent="0.25">
      <c r="E129" s="23">
        <v>42564</v>
      </c>
      <c r="F129" s="22">
        <f t="shared" si="4"/>
        <v>29</v>
      </c>
      <c r="G129" s="22">
        <f t="shared" si="5"/>
        <v>7</v>
      </c>
      <c r="H129" s="27">
        <f>VLOOKUP(E129,'Daily Rates'!$A$1:$Q$197,4,FALSE)</f>
        <v>67.05</v>
      </c>
      <c r="I129" s="26">
        <f>VLOOKUP(E129,'Daily Rates'!$A$1:$Q$197,13,FALSE)</f>
        <v>1240</v>
      </c>
      <c r="J129" s="26">
        <f t="shared" si="6"/>
        <v>1303.7878363974496</v>
      </c>
      <c r="K129" s="26">
        <f t="shared" si="7"/>
        <v>91818.974430448987</v>
      </c>
      <c r="L129" s="66"/>
    </row>
    <row r="130" spans="5:12" x14ac:dyDescent="0.25">
      <c r="E130" s="23">
        <v>42565</v>
      </c>
      <c r="F130" s="22">
        <f t="shared" si="4"/>
        <v>29</v>
      </c>
      <c r="G130" s="22">
        <f t="shared" si="5"/>
        <v>7</v>
      </c>
      <c r="H130" s="27">
        <f>VLOOKUP(E130,'Daily Rates'!$A$1:$Q$197,4,FALSE)</f>
        <v>66.91</v>
      </c>
      <c r="I130" s="26">
        <f>VLOOKUP(E130,'Daily Rates'!$A$1:$Q$197,13,FALSE)</f>
        <v>1240</v>
      </c>
      <c r="J130" s="26">
        <f t="shared" si="6"/>
        <v>1303.7878363974496</v>
      </c>
      <c r="K130" s="26">
        <f t="shared" si="7"/>
        <v>91636.444133353347</v>
      </c>
      <c r="L130" s="66"/>
    </row>
    <row r="131" spans="5:12" x14ac:dyDescent="0.25">
      <c r="E131" s="23">
        <v>42566</v>
      </c>
      <c r="F131" s="22">
        <f t="shared" ref="F131:F194" si="8">WEEKNUM(E131)</f>
        <v>29</v>
      </c>
      <c r="G131" s="22">
        <f t="shared" ref="G131:G194" si="9">MONTH(E131)</f>
        <v>7</v>
      </c>
      <c r="H131" s="27">
        <f>VLOOKUP(E131,'Daily Rates'!$A$1:$Q$197,4,FALSE)</f>
        <v>67.05</v>
      </c>
      <c r="I131" s="26">
        <f>VLOOKUP(E131,'Daily Rates'!$A$1:$Q$197,13,FALSE)</f>
        <v>1240</v>
      </c>
      <c r="J131" s="26">
        <f t="shared" ref="J131:J194" si="10">((I131-$O$8)/$P$17+SUM($P$19:$P$36)+$P$42)*0.23+(I131-$O$8)*0.77+$O$7+$O$8+$O$10</f>
        <v>1303.7878363974496</v>
      </c>
      <c r="K131" s="26">
        <f t="shared" ref="K131:K194" si="11">J131*H131+4400</f>
        <v>91818.974430448987</v>
      </c>
      <c r="L131" s="66"/>
    </row>
    <row r="132" spans="5:12" x14ac:dyDescent="0.25">
      <c r="E132" s="23">
        <v>42569</v>
      </c>
      <c r="F132" s="22">
        <f t="shared" si="8"/>
        <v>30</v>
      </c>
      <c r="G132" s="22">
        <f t="shared" si="9"/>
        <v>7</v>
      </c>
      <c r="H132" s="27">
        <f>VLOOKUP(E132,'Daily Rates'!$A$1:$Q$197,4,FALSE)</f>
        <v>67.08</v>
      </c>
      <c r="I132" s="26">
        <f>VLOOKUP(E132,'Daily Rates'!$A$1:$Q$197,13,FALSE)</f>
        <v>1270</v>
      </c>
      <c r="J132" s="26">
        <f t="shared" si="10"/>
        <v>1334.2204612646119</v>
      </c>
      <c r="K132" s="26">
        <f t="shared" si="11"/>
        <v>93899.508541630159</v>
      </c>
      <c r="L132" s="66"/>
    </row>
    <row r="133" spans="5:12" x14ac:dyDescent="0.25">
      <c r="E133" s="23">
        <v>42570</v>
      </c>
      <c r="F133" s="22">
        <f t="shared" si="8"/>
        <v>30</v>
      </c>
      <c r="G133" s="22">
        <f t="shared" si="9"/>
        <v>7</v>
      </c>
      <c r="H133" s="27">
        <f>VLOOKUP(E133,'Daily Rates'!$A$1:$Q$197,4,FALSE)</f>
        <v>67.099999999999994</v>
      </c>
      <c r="I133" s="26">
        <f>VLOOKUP(E133,'Daily Rates'!$A$1:$Q$197,13,FALSE)</f>
        <v>1260</v>
      </c>
      <c r="J133" s="26">
        <f t="shared" si="10"/>
        <v>1324.0762529755577</v>
      </c>
      <c r="K133" s="26">
        <f t="shared" si="11"/>
        <v>93245.516574659923</v>
      </c>
      <c r="L133" s="66"/>
    </row>
    <row r="134" spans="5:12" x14ac:dyDescent="0.25">
      <c r="E134" s="23">
        <v>42571</v>
      </c>
      <c r="F134" s="22">
        <f t="shared" si="8"/>
        <v>30</v>
      </c>
      <c r="G134" s="22">
        <f t="shared" si="9"/>
        <v>7</v>
      </c>
      <c r="H134" s="27">
        <f>VLOOKUP(E134,'Daily Rates'!$A$1:$Q$197,4,FALSE)</f>
        <v>67.19</v>
      </c>
      <c r="I134" s="26">
        <f>VLOOKUP(E134,'Daily Rates'!$A$1:$Q$197,13,FALSE)</f>
        <v>1270</v>
      </c>
      <c r="J134" s="26">
        <f t="shared" si="10"/>
        <v>1334.2204612646119</v>
      </c>
      <c r="K134" s="26">
        <f t="shared" si="11"/>
        <v>94046.272792369273</v>
      </c>
      <c r="L134" s="66"/>
    </row>
    <row r="135" spans="5:12" x14ac:dyDescent="0.25">
      <c r="E135" s="23">
        <v>42572</v>
      </c>
      <c r="F135" s="22">
        <f t="shared" si="8"/>
        <v>30</v>
      </c>
      <c r="G135" s="22">
        <f t="shared" si="9"/>
        <v>7</v>
      </c>
      <c r="H135" s="27">
        <f>VLOOKUP(E135,'Daily Rates'!$A$1:$Q$197,4,FALSE)</f>
        <v>67.17</v>
      </c>
      <c r="I135" s="26">
        <f>VLOOKUP(E135,'Daily Rates'!$A$1:$Q$197,13,FALSE)</f>
        <v>1290</v>
      </c>
      <c r="J135" s="26">
        <f t="shared" si="10"/>
        <v>1354.5088778427205</v>
      </c>
      <c r="K135" s="26">
        <f t="shared" si="11"/>
        <v>95382.361324695536</v>
      </c>
      <c r="L135" s="66"/>
    </row>
    <row r="136" spans="5:12" x14ac:dyDescent="0.25">
      <c r="E136" s="23">
        <v>42573</v>
      </c>
      <c r="F136" s="22">
        <f t="shared" si="8"/>
        <v>30</v>
      </c>
      <c r="G136" s="22">
        <f t="shared" si="9"/>
        <v>7</v>
      </c>
      <c r="H136" s="27">
        <f>VLOOKUP(E136,'Daily Rates'!$A$1:$Q$197,4,FALSE)</f>
        <v>67.09</v>
      </c>
      <c r="I136" s="26">
        <f>VLOOKUP(E136,'Daily Rates'!$A$1:$Q$197,13,FALSE)</f>
        <v>1280</v>
      </c>
      <c r="J136" s="26">
        <f t="shared" si="10"/>
        <v>1344.3646695536663</v>
      </c>
      <c r="K136" s="26">
        <f t="shared" si="11"/>
        <v>94593.425680355474</v>
      </c>
      <c r="L136" s="66"/>
    </row>
    <row r="137" spans="5:12" x14ac:dyDescent="0.25">
      <c r="E137" s="23">
        <v>42576</v>
      </c>
      <c r="F137" s="22">
        <f t="shared" si="8"/>
        <v>31</v>
      </c>
      <c r="G137" s="22">
        <f t="shared" si="9"/>
        <v>7</v>
      </c>
      <c r="H137" s="27">
        <f>VLOOKUP(E137,'Daily Rates'!$A$1:$Q$197,4,FALSE)</f>
        <v>67.31</v>
      </c>
      <c r="I137" s="26">
        <f>VLOOKUP(E137,'Daily Rates'!$A$1:$Q$197,13,FALSE)</f>
        <v>1290</v>
      </c>
      <c r="J137" s="26">
        <f t="shared" si="10"/>
        <v>1354.5088778427205</v>
      </c>
      <c r="K137" s="26">
        <f t="shared" si="11"/>
        <v>95571.992567593523</v>
      </c>
      <c r="L137" s="66"/>
    </row>
    <row r="138" spans="5:12" x14ac:dyDescent="0.25">
      <c r="E138" s="23">
        <v>42577</v>
      </c>
      <c r="F138" s="22">
        <f t="shared" si="8"/>
        <v>31</v>
      </c>
      <c r="G138" s="22">
        <f t="shared" si="9"/>
        <v>7</v>
      </c>
      <c r="H138" s="27">
        <f>VLOOKUP(E138,'Daily Rates'!$A$1:$Q$197,4,FALSE)</f>
        <v>67.27</v>
      </c>
      <c r="I138" s="26">
        <f>VLOOKUP(E138,'Daily Rates'!$A$1:$Q$197,13,FALSE)</f>
        <v>1300</v>
      </c>
      <c r="J138" s="26">
        <f t="shared" si="10"/>
        <v>1364.6530861317747</v>
      </c>
      <c r="K138" s="26">
        <f t="shared" si="11"/>
        <v>96200.213104084483</v>
      </c>
      <c r="L138" s="66"/>
    </row>
    <row r="139" spans="5:12" x14ac:dyDescent="0.25">
      <c r="E139" s="23">
        <v>42578</v>
      </c>
      <c r="F139" s="22">
        <f t="shared" si="8"/>
        <v>31</v>
      </c>
      <c r="G139" s="22">
        <f t="shared" si="9"/>
        <v>7</v>
      </c>
      <c r="H139" s="27">
        <f>VLOOKUP(E139,'Daily Rates'!$A$1:$Q$197,4,FALSE)</f>
        <v>67.25</v>
      </c>
      <c r="I139" s="26">
        <f>VLOOKUP(E139,'Daily Rates'!$A$1:$Q$197,13,FALSE)</f>
        <v>1310</v>
      </c>
      <c r="J139" s="26">
        <f t="shared" si="10"/>
        <v>1374.7972944208288</v>
      </c>
      <c r="K139" s="26">
        <f t="shared" si="11"/>
        <v>96855.118049800745</v>
      </c>
      <c r="L139" s="66"/>
    </row>
    <row r="140" spans="5:12" x14ac:dyDescent="0.25">
      <c r="E140" s="23">
        <v>42579</v>
      </c>
      <c r="F140" s="22">
        <f t="shared" si="8"/>
        <v>31</v>
      </c>
      <c r="G140" s="22">
        <f t="shared" si="9"/>
        <v>7</v>
      </c>
      <c r="H140" s="27">
        <f>VLOOKUP(E140,'Daily Rates'!$A$1:$Q$197,4,FALSE)</f>
        <v>67.040000000000006</v>
      </c>
      <c r="I140" s="26">
        <f>VLOOKUP(E140,'Daily Rates'!$A$1:$Q$197,13,FALSE)</f>
        <v>1310</v>
      </c>
      <c r="J140" s="26">
        <f t="shared" si="10"/>
        <v>1374.7972944208288</v>
      </c>
      <c r="K140" s="26">
        <f t="shared" si="11"/>
        <v>96566.410617972375</v>
      </c>
      <c r="L140" s="66"/>
    </row>
    <row r="141" spans="5:12" x14ac:dyDescent="0.25">
      <c r="E141" s="23">
        <v>42580</v>
      </c>
      <c r="F141" s="22">
        <f t="shared" si="8"/>
        <v>31</v>
      </c>
      <c r="G141" s="22">
        <f t="shared" si="9"/>
        <v>7</v>
      </c>
      <c r="H141" s="27">
        <f>VLOOKUP(E141,'Daily Rates'!$A$1:$Q$197,4,FALSE)</f>
        <v>67.02</v>
      </c>
      <c r="I141" s="26">
        <f>VLOOKUP(E141,'Daily Rates'!$A$1:$Q$197,13,FALSE)</f>
        <v>1320</v>
      </c>
      <c r="J141" s="26">
        <f t="shared" si="10"/>
        <v>1384.941502709883</v>
      </c>
      <c r="K141" s="26">
        <f t="shared" si="11"/>
        <v>97218.779511616362</v>
      </c>
      <c r="L141" s="66"/>
    </row>
    <row r="142" spans="5:12" x14ac:dyDescent="0.25">
      <c r="E142" s="23">
        <v>42583</v>
      </c>
      <c r="F142" s="22">
        <f t="shared" si="8"/>
        <v>32</v>
      </c>
      <c r="G142" s="22">
        <f t="shared" si="9"/>
        <v>8</v>
      </c>
      <c r="H142" s="27">
        <f>VLOOKUP(E142,'Daily Rates'!$A$1:$Q$197,4,FALSE)</f>
        <v>66.77</v>
      </c>
      <c r="I142" s="26">
        <f>VLOOKUP(E142,'Daily Rates'!$A$1:$Q$197,13,FALSE)</f>
        <v>1320</v>
      </c>
      <c r="J142" s="26">
        <f t="shared" si="10"/>
        <v>1384.941502709883</v>
      </c>
      <c r="K142" s="26">
        <f t="shared" si="11"/>
        <v>96872.544135938879</v>
      </c>
      <c r="L142" s="66"/>
    </row>
    <row r="143" spans="5:12" x14ac:dyDescent="0.25">
      <c r="E143" s="23">
        <v>42584</v>
      </c>
      <c r="F143" s="22">
        <f t="shared" si="8"/>
        <v>32</v>
      </c>
      <c r="G143" s="22">
        <f t="shared" si="9"/>
        <v>8</v>
      </c>
      <c r="H143" s="27">
        <f>VLOOKUP(E143,'Daily Rates'!$A$1:$Q$197,4,FALSE)</f>
        <v>66.73</v>
      </c>
      <c r="I143" s="26">
        <f>VLOOKUP(E143,'Daily Rates'!$A$1:$Q$197,13,FALSE)</f>
        <v>1320</v>
      </c>
      <c r="J143" s="26">
        <f t="shared" si="10"/>
        <v>1384.941502709883</v>
      </c>
      <c r="K143" s="26">
        <f t="shared" si="11"/>
        <v>96817.146475830494</v>
      </c>
      <c r="L143" s="66"/>
    </row>
    <row r="144" spans="5:12" x14ac:dyDescent="0.25">
      <c r="E144" s="23">
        <v>42585</v>
      </c>
      <c r="F144" s="22">
        <f t="shared" si="8"/>
        <v>32</v>
      </c>
      <c r="G144" s="22">
        <f t="shared" si="9"/>
        <v>8</v>
      </c>
      <c r="H144" s="27">
        <f>VLOOKUP(E144,'Daily Rates'!$A$1:$Q$197,4,FALSE)</f>
        <v>66.989999999999995</v>
      </c>
      <c r="I144" s="26">
        <f>VLOOKUP(E144,'Daily Rates'!$A$1:$Q$197,13,FALSE)</f>
        <v>1330</v>
      </c>
      <c r="J144" s="26">
        <f t="shared" si="10"/>
        <v>1395.0857109989372</v>
      </c>
      <c r="K144" s="26">
        <f t="shared" si="11"/>
        <v>97856.791779818799</v>
      </c>
      <c r="L144" s="66"/>
    </row>
    <row r="145" spans="5:12" x14ac:dyDescent="0.25">
      <c r="E145" s="23">
        <v>42586</v>
      </c>
      <c r="F145" s="22">
        <f t="shared" si="8"/>
        <v>32</v>
      </c>
      <c r="G145" s="22">
        <f t="shared" si="9"/>
        <v>8</v>
      </c>
      <c r="H145" s="27">
        <f>VLOOKUP(E145,'Daily Rates'!$A$1:$Q$197,4,FALSE)</f>
        <v>66.91</v>
      </c>
      <c r="I145" s="26">
        <f>VLOOKUP(E145,'Daily Rates'!$A$1:$Q$197,13,FALSE)</f>
        <v>1330</v>
      </c>
      <c r="J145" s="26">
        <f t="shared" si="10"/>
        <v>1395.0857109989372</v>
      </c>
      <c r="K145" s="26">
        <f t="shared" si="11"/>
        <v>97745.18492293889</v>
      </c>
      <c r="L145" s="66"/>
    </row>
    <row r="146" spans="5:12" x14ac:dyDescent="0.25">
      <c r="E146" s="23">
        <v>42587</v>
      </c>
      <c r="F146" s="22">
        <f t="shared" si="8"/>
        <v>32</v>
      </c>
      <c r="G146" s="22">
        <f t="shared" si="9"/>
        <v>8</v>
      </c>
      <c r="H146" s="27">
        <f>VLOOKUP(E146,'Daily Rates'!$A$1:$Q$197,4,FALSE)</f>
        <v>66.83</v>
      </c>
      <c r="I146" s="26">
        <f>VLOOKUP(E146,'Daily Rates'!$A$1:$Q$197,13,FALSE)</f>
        <v>1320</v>
      </c>
      <c r="J146" s="26">
        <f t="shared" si="10"/>
        <v>1384.941502709883</v>
      </c>
      <c r="K146" s="26">
        <f t="shared" si="11"/>
        <v>96955.640626101478</v>
      </c>
      <c r="L146" s="66"/>
    </row>
    <row r="147" spans="5:12" x14ac:dyDescent="0.25">
      <c r="E147" s="23">
        <v>42590</v>
      </c>
      <c r="F147" s="22">
        <f t="shared" si="8"/>
        <v>33</v>
      </c>
      <c r="G147" s="22">
        <f t="shared" si="9"/>
        <v>8</v>
      </c>
      <c r="H147" s="27">
        <f>VLOOKUP(E147,'Daily Rates'!$A$1:$Q$197,4,FALSE)</f>
        <v>66.849999999999994</v>
      </c>
      <c r="I147" s="26">
        <f>VLOOKUP(E147,'Daily Rates'!$A$1:$Q$197,13,FALSE)</f>
        <v>1330</v>
      </c>
      <c r="J147" s="26">
        <f t="shared" si="10"/>
        <v>1395.0857109989372</v>
      </c>
      <c r="K147" s="26">
        <f t="shared" si="11"/>
        <v>97661.47978027894</v>
      </c>
      <c r="L147" s="66"/>
    </row>
    <row r="148" spans="5:12" x14ac:dyDescent="0.25">
      <c r="E148" s="23">
        <v>42591</v>
      </c>
      <c r="F148" s="22">
        <f t="shared" si="8"/>
        <v>33</v>
      </c>
      <c r="G148" s="22">
        <f t="shared" si="9"/>
        <v>8</v>
      </c>
      <c r="H148" s="27">
        <f>VLOOKUP(E148,'Daily Rates'!$A$1:$Q$197,4,FALSE)</f>
        <v>66.84</v>
      </c>
      <c r="I148" s="26">
        <f>VLOOKUP(E148,'Daily Rates'!$A$1:$Q$197,13,FALSE)</f>
        <v>1330</v>
      </c>
      <c r="J148" s="26">
        <f t="shared" si="10"/>
        <v>1395.0857109989372</v>
      </c>
      <c r="K148" s="26">
        <f t="shared" si="11"/>
        <v>97647.528923168968</v>
      </c>
      <c r="L148" s="66"/>
    </row>
    <row r="149" spans="5:12" x14ac:dyDescent="0.25">
      <c r="E149" s="23">
        <v>42592</v>
      </c>
      <c r="F149" s="22">
        <f t="shared" si="8"/>
        <v>33</v>
      </c>
      <c r="G149" s="22">
        <f t="shared" si="9"/>
        <v>8</v>
      </c>
      <c r="H149" s="27">
        <f>VLOOKUP(E149,'Daily Rates'!$A$1:$Q$197,4,FALSE)</f>
        <v>66.680000000000007</v>
      </c>
      <c r="I149" s="26">
        <f>VLOOKUP(E149,'Daily Rates'!$A$1:$Q$197,13,FALSE)</f>
        <v>1330</v>
      </c>
      <c r="J149" s="26">
        <f t="shared" si="10"/>
        <v>1395.0857109989372</v>
      </c>
      <c r="K149" s="26">
        <f t="shared" si="11"/>
        <v>97424.315209409149</v>
      </c>
      <c r="L149" s="66"/>
    </row>
    <row r="150" spans="5:12" x14ac:dyDescent="0.25">
      <c r="E150" s="23">
        <v>42593</v>
      </c>
      <c r="F150" s="22">
        <f t="shared" si="8"/>
        <v>33</v>
      </c>
      <c r="G150" s="22">
        <f t="shared" si="9"/>
        <v>8</v>
      </c>
      <c r="H150" s="27">
        <f>VLOOKUP(E150,'Daily Rates'!$A$1:$Q$197,4,FALSE)</f>
        <v>66.84</v>
      </c>
      <c r="I150" s="26">
        <f>VLOOKUP(E150,'Daily Rates'!$A$1:$Q$197,13,FALSE)</f>
        <v>1330</v>
      </c>
      <c r="J150" s="26">
        <f t="shared" si="10"/>
        <v>1395.0857109989372</v>
      </c>
      <c r="K150" s="26">
        <f t="shared" si="11"/>
        <v>97647.528923168968</v>
      </c>
      <c r="L150" s="66"/>
    </row>
    <row r="151" spans="5:12" x14ac:dyDescent="0.25">
      <c r="E151" s="23">
        <v>42594</v>
      </c>
      <c r="F151" s="22">
        <f t="shared" si="8"/>
        <v>33</v>
      </c>
      <c r="G151" s="22">
        <f t="shared" si="9"/>
        <v>8</v>
      </c>
      <c r="H151" s="27">
        <f>VLOOKUP(E151,'Daily Rates'!$A$1:$Q$197,4,FALSE)</f>
        <v>66.84</v>
      </c>
      <c r="I151" s="26">
        <f>VLOOKUP(E151,'Daily Rates'!$A$1:$Q$197,13,FALSE)</f>
        <v>1350</v>
      </c>
      <c r="J151" s="26">
        <f t="shared" si="10"/>
        <v>1415.3741275770456</v>
      </c>
      <c r="K151" s="26">
        <f t="shared" si="11"/>
        <v>99003.606687249732</v>
      </c>
      <c r="L151" s="66"/>
    </row>
    <row r="152" spans="5:12" x14ac:dyDescent="0.25">
      <c r="E152" s="23">
        <v>42600</v>
      </c>
      <c r="F152" s="22">
        <f t="shared" si="8"/>
        <v>34</v>
      </c>
      <c r="G152" s="22">
        <f t="shared" si="9"/>
        <v>8</v>
      </c>
      <c r="H152" s="27">
        <f>VLOOKUP(E152,'Daily Rates'!$A$1:$Q$197,4,FALSE)</f>
        <v>66.8</v>
      </c>
      <c r="I152" s="26">
        <f>VLOOKUP(E152,'Daily Rates'!$A$1:$Q$197,13,FALSE)</f>
        <v>1425</v>
      </c>
      <c r="J152" s="26">
        <f t="shared" si="10"/>
        <v>1491.455689744952</v>
      </c>
      <c r="K152" s="26">
        <f t="shared" si="11"/>
        <v>104029.24007496279</v>
      </c>
      <c r="L152" s="66"/>
    </row>
    <row r="153" spans="5:12" x14ac:dyDescent="0.25">
      <c r="E153" s="23">
        <v>42601</v>
      </c>
      <c r="F153" s="22">
        <f t="shared" si="8"/>
        <v>34</v>
      </c>
      <c r="G153" s="22">
        <f t="shared" si="9"/>
        <v>8</v>
      </c>
      <c r="H153" s="27">
        <f>VLOOKUP(E153,'Daily Rates'!$A$1:$Q$197,4,FALSE)</f>
        <v>66.98</v>
      </c>
      <c r="I153" s="26">
        <f>VLOOKUP(E153,'Daily Rates'!$A$1:$Q$197,13,FALSE)</f>
        <v>1450</v>
      </c>
      <c r="J153" s="26">
        <f t="shared" si="10"/>
        <v>1516.8162104675876</v>
      </c>
      <c r="K153" s="26">
        <f t="shared" si="11"/>
        <v>105996.34977711902</v>
      </c>
      <c r="L153" s="66"/>
    </row>
    <row r="154" spans="5:12" x14ac:dyDescent="0.25">
      <c r="E154" s="23">
        <v>42604</v>
      </c>
      <c r="F154" s="22">
        <f t="shared" si="8"/>
        <v>35</v>
      </c>
      <c r="G154" s="22">
        <f t="shared" si="9"/>
        <v>8</v>
      </c>
      <c r="H154" s="27">
        <f>VLOOKUP(E154,'Daily Rates'!$A$1:$Q$197,4,FALSE)</f>
        <v>67.19</v>
      </c>
      <c r="I154" s="26">
        <f>VLOOKUP(E154,'Daily Rates'!$A$1:$Q$197,13,FALSE)</f>
        <v>1430</v>
      </c>
      <c r="J154" s="26">
        <f t="shared" si="10"/>
        <v>1496.5277938894792</v>
      </c>
      <c r="K154" s="26">
        <f t="shared" si="11"/>
        <v>104951.70247143411</v>
      </c>
      <c r="L154" s="66"/>
    </row>
    <row r="155" spans="5:12" x14ac:dyDescent="0.25">
      <c r="E155" s="23">
        <v>42605</v>
      </c>
      <c r="F155" s="22">
        <f t="shared" si="8"/>
        <v>35</v>
      </c>
      <c r="G155" s="22">
        <f t="shared" si="9"/>
        <v>8</v>
      </c>
      <c r="H155" s="27">
        <f>VLOOKUP(E155,'Daily Rates'!$A$1:$Q$197,4,FALSE)</f>
        <v>67.06</v>
      </c>
      <c r="I155" s="26">
        <f>VLOOKUP(E155,'Daily Rates'!$A$1:$Q$197,13,FALSE)</f>
        <v>1440</v>
      </c>
      <c r="J155" s="26">
        <f t="shared" si="10"/>
        <v>1506.6720021785334</v>
      </c>
      <c r="K155" s="26">
        <f t="shared" si="11"/>
        <v>105437.42446609245</v>
      </c>
      <c r="L155" s="66"/>
    </row>
    <row r="156" spans="5:12" x14ac:dyDescent="0.25">
      <c r="E156" s="23">
        <v>42606</v>
      </c>
      <c r="F156" s="22">
        <f t="shared" si="8"/>
        <v>35</v>
      </c>
      <c r="G156" s="22">
        <f t="shared" si="9"/>
        <v>8</v>
      </c>
      <c r="H156" s="27">
        <f>VLOOKUP(E156,'Daily Rates'!$A$1:$Q$197,4,FALSE)</f>
        <v>67.11</v>
      </c>
      <c r="I156" s="26">
        <f>VLOOKUP(E156,'Daily Rates'!$A$1:$Q$197,13,FALSE)</f>
        <v>1450</v>
      </c>
      <c r="J156" s="26">
        <f t="shared" si="10"/>
        <v>1516.8162104675876</v>
      </c>
      <c r="K156" s="26">
        <f t="shared" si="11"/>
        <v>106193.5358844798</v>
      </c>
      <c r="L156" s="66"/>
    </row>
    <row r="157" spans="5:12" x14ac:dyDescent="0.25">
      <c r="E157" s="23">
        <v>42607</v>
      </c>
      <c r="F157" s="22">
        <f t="shared" si="8"/>
        <v>35</v>
      </c>
      <c r="G157" s="22">
        <f t="shared" si="9"/>
        <v>8</v>
      </c>
      <c r="H157" s="27">
        <f>VLOOKUP(E157,'Daily Rates'!$A$1:$Q$197,4,FALSE)</f>
        <v>67.05</v>
      </c>
      <c r="I157" s="26">
        <f>VLOOKUP(E157,'Daily Rates'!$A$1:$Q$197,13,FALSE)</f>
        <v>1450</v>
      </c>
      <c r="J157" s="26">
        <f t="shared" si="10"/>
        <v>1516.8162104675876</v>
      </c>
      <c r="K157" s="26">
        <f t="shared" si="11"/>
        <v>106102.52691185175</v>
      </c>
      <c r="L157" s="66"/>
    </row>
    <row r="158" spans="5:12" x14ac:dyDescent="0.25">
      <c r="E158" s="23">
        <v>42608</v>
      </c>
      <c r="F158" s="22">
        <f t="shared" si="8"/>
        <v>35</v>
      </c>
      <c r="G158" s="22">
        <f t="shared" si="9"/>
        <v>8</v>
      </c>
      <c r="H158" s="27">
        <f>VLOOKUP(E158,'Daily Rates'!$A$1:$Q$197,4,FALSE)</f>
        <v>67.06</v>
      </c>
      <c r="I158" s="26">
        <f>VLOOKUP(E158,'Daily Rates'!$A$1:$Q$197,13,FALSE)</f>
        <v>1450</v>
      </c>
      <c r="J158" s="26">
        <f t="shared" si="10"/>
        <v>1516.8162104675876</v>
      </c>
      <c r="K158" s="26">
        <f t="shared" si="11"/>
        <v>106117.69507395642</v>
      </c>
      <c r="L158" s="66"/>
    </row>
    <row r="159" spans="5:12" x14ac:dyDescent="0.25">
      <c r="E159" s="23">
        <v>42611</v>
      </c>
      <c r="F159" s="22">
        <f t="shared" si="8"/>
        <v>36</v>
      </c>
      <c r="G159" s="22">
        <f t="shared" si="9"/>
        <v>8</v>
      </c>
      <c r="H159" s="27">
        <f>VLOOKUP(E159,'Daily Rates'!$A$1:$Q$197,4,FALSE)</f>
        <v>67.25</v>
      </c>
      <c r="I159" s="26">
        <f>VLOOKUP(E159,'Daily Rates'!$A$1:$Q$197,13,FALSE)</f>
        <v>1450</v>
      </c>
      <c r="J159" s="26">
        <f t="shared" si="10"/>
        <v>1516.8162104675876</v>
      </c>
      <c r="K159" s="26">
        <f t="shared" si="11"/>
        <v>106405.89015394526</v>
      </c>
      <c r="L159" s="66"/>
    </row>
    <row r="160" spans="5:12" x14ac:dyDescent="0.25">
      <c r="E160" s="23">
        <v>42612</v>
      </c>
      <c r="F160" s="22">
        <f t="shared" si="8"/>
        <v>36</v>
      </c>
      <c r="G160" s="22">
        <f t="shared" si="9"/>
        <v>8</v>
      </c>
      <c r="H160" s="27">
        <f>VLOOKUP(E160,'Daily Rates'!$A$1:$Q$197,4,FALSE)</f>
        <v>67.02</v>
      </c>
      <c r="I160" s="26">
        <f>VLOOKUP(E160,'Daily Rates'!$A$1:$Q$197,13,FALSE)</f>
        <v>1450</v>
      </c>
      <c r="J160" s="26">
        <f t="shared" si="10"/>
        <v>1516.8162104675876</v>
      </c>
      <c r="K160" s="26">
        <f t="shared" si="11"/>
        <v>106057.02242553771</v>
      </c>
      <c r="L160" s="66"/>
    </row>
    <row r="161" spans="5:12" x14ac:dyDescent="0.25">
      <c r="E161" s="23">
        <v>42613</v>
      </c>
      <c r="F161" s="22">
        <f t="shared" si="8"/>
        <v>36</v>
      </c>
      <c r="G161" s="22">
        <f t="shared" si="9"/>
        <v>8</v>
      </c>
      <c r="H161" s="27">
        <f>VLOOKUP(E161,'Daily Rates'!$A$1:$Q$197,4,FALSE)</f>
        <v>66.959999999999994</v>
      </c>
      <c r="I161" s="26">
        <f>VLOOKUP(E161,'Daily Rates'!$A$1:$Q$197,13,FALSE)</f>
        <v>1450</v>
      </c>
      <c r="J161" s="26">
        <f t="shared" si="10"/>
        <v>1516.8162104675876</v>
      </c>
      <c r="K161" s="26">
        <f t="shared" si="11"/>
        <v>105966.01345290965</v>
      </c>
      <c r="L161" s="66"/>
    </row>
    <row r="162" spans="5:12" x14ac:dyDescent="0.25">
      <c r="E162" s="23">
        <v>42614</v>
      </c>
      <c r="F162" s="22">
        <f t="shared" si="8"/>
        <v>36</v>
      </c>
      <c r="G162" s="22">
        <f t="shared" si="9"/>
        <v>9</v>
      </c>
      <c r="H162" s="27">
        <f>VLOOKUP(E162,'Daily Rates'!$A$1:$Q$197,4,FALSE)</f>
        <v>66.95</v>
      </c>
      <c r="I162" s="26">
        <f>VLOOKUP(E162,'Daily Rates'!$A$1:$Q$197,13,FALSE)</f>
        <v>1450</v>
      </c>
      <c r="J162" s="26">
        <f t="shared" si="10"/>
        <v>1516.8162104675876</v>
      </c>
      <c r="K162" s="26">
        <f t="shared" si="11"/>
        <v>105950.84529080499</v>
      </c>
      <c r="L162" s="66"/>
    </row>
    <row r="163" spans="5:12" x14ac:dyDescent="0.25">
      <c r="E163" s="23">
        <v>42615</v>
      </c>
      <c r="F163" s="22">
        <f t="shared" si="8"/>
        <v>36</v>
      </c>
      <c r="G163" s="22">
        <f t="shared" si="9"/>
        <v>9</v>
      </c>
      <c r="H163" s="27">
        <f>VLOOKUP(E163,'Daily Rates'!$A$1:$Q$197,4,FALSE)</f>
        <v>66.819999999999993</v>
      </c>
      <c r="I163" s="26">
        <f>VLOOKUP(E163,'Daily Rates'!$A$1:$Q$197,13,FALSE)</f>
        <v>1460</v>
      </c>
      <c r="J163" s="26">
        <f t="shared" si="10"/>
        <v>1526.9604187566417</v>
      </c>
      <c r="K163" s="26">
        <f t="shared" si="11"/>
        <v>106431.49518131879</v>
      </c>
      <c r="L163" s="66"/>
    </row>
    <row r="164" spans="5:12" x14ac:dyDescent="0.25">
      <c r="E164" s="23">
        <v>42619</v>
      </c>
      <c r="F164" s="22">
        <f t="shared" si="8"/>
        <v>37</v>
      </c>
      <c r="G164" s="22">
        <f t="shared" si="9"/>
        <v>9</v>
      </c>
      <c r="H164" s="27">
        <f>VLOOKUP(E164,'Daily Rates'!$A$1:$Q$197,4,FALSE)</f>
        <v>66.53</v>
      </c>
      <c r="I164" s="26">
        <f>VLOOKUP(E164,'Daily Rates'!$A$1:$Q$197,13,FALSE)</f>
        <v>1465</v>
      </c>
      <c r="J164" s="26">
        <f t="shared" si="10"/>
        <v>1532.0325229011687</v>
      </c>
      <c r="K164" s="26">
        <f t="shared" si="11"/>
        <v>106326.12374861476</v>
      </c>
      <c r="L164" s="66"/>
    </row>
    <row r="165" spans="5:12" x14ac:dyDescent="0.25">
      <c r="E165" s="23">
        <v>42620</v>
      </c>
      <c r="F165" s="22">
        <f t="shared" si="8"/>
        <v>37</v>
      </c>
      <c r="G165" s="22">
        <f t="shared" si="9"/>
        <v>9</v>
      </c>
      <c r="H165" s="27">
        <f>VLOOKUP(E165,'Daily Rates'!$A$1:$Q$197,4,FALSE)</f>
        <v>66.37</v>
      </c>
      <c r="I165" s="26">
        <f>VLOOKUP(E165,'Daily Rates'!$A$1:$Q$197,13,FALSE)</f>
        <v>1465</v>
      </c>
      <c r="J165" s="26">
        <f t="shared" si="10"/>
        <v>1532.0325229011687</v>
      </c>
      <c r="K165" s="26">
        <f t="shared" si="11"/>
        <v>106080.99854495058</v>
      </c>
      <c r="L165" s="66"/>
    </row>
    <row r="166" spans="5:12" x14ac:dyDescent="0.25">
      <c r="E166" s="23">
        <v>42621</v>
      </c>
      <c r="F166" s="22">
        <f t="shared" si="8"/>
        <v>37</v>
      </c>
      <c r="G166" s="22">
        <f t="shared" si="9"/>
        <v>9</v>
      </c>
      <c r="H166" s="27">
        <f>VLOOKUP(E166,'Daily Rates'!$A$1:$Q$197,4,FALSE)</f>
        <v>66.430000000000007</v>
      </c>
      <c r="I166" s="26">
        <f>VLOOKUP(E166,'Daily Rates'!$A$1:$Q$197,13,FALSE)</f>
        <v>1465</v>
      </c>
      <c r="J166" s="26">
        <f t="shared" si="10"/>
        <v>1532.0325229011687</v>
      </c>
      <c r="K166" s="26">
        <f t="shared" si="11"/>
        <v>106172.92049632464</v>
      </c>
      <c r="L166" s="66"/>
    </row>
    <row r="167" spans="5:12" x14ac:dyDescent="0.25">
      <c r="E167" s="23">
        <v>42622</v>
      </c>
      <c r="F167" s="22">
        <f t="shared" si="8"/>
        <v>37</v>
      </c>
      <c r="G167" s="22">
        <f t="shared" si="9"/>
        <v>9</v>
      </c>
      <c r="H167" s="27">
        <f>VLOOKUP(E167,'Daily Rates'!$A$1:$Q$197,4,FALSE)</f>
        <v>66.680000000000007</v>
      </c>
      <c r="I167" s="26">
        <f>VLOOKUP(E167,'Daily Rates'!$A$1:$Q$197,13,FALSE)</f>
        <v>1465</v>
      </c>
      <c r="J167" s="26">
        <f t="shared" si="10"/>
        <v>1532.0325229011687</v>
      </c>
      <c r="K167" s="26">
        <f t="shared" si="11"/>
        <v>106555.92862704994</v>
      </c>
      <c r="L167" s="66"/>
    </row>
    <row r="168" spans="5:12" x14ac:dyDescent="0.25">
      <c r="E168" s="23">
        <v>42626</v>
      </c>
      <c r="F168" s="22">
        <f t="shared" si="8"/>
        <v>38</v>
      </c>
      <c r="G168" s="22">
        <f t="shared" si="9"/>
        <v>9</v>
      </c>
      <c r="H168" s="27">
        <f>VLOOKUP(E168,'Daily Rates'!$A$1:$Q$197,4,FALSE)</f>
        <v>66.92</v>
      </c>
      <c r="I168" s="26">
        <f>VLOOKUP(E168,'Daily Rates'!$A$1:$Q$197,13,FALSE)</f>
        <v>1455</v>
      </c>
      <c r="J168" s="26">
        <f t="shared" si="10"/>
        <v>1521.8883146121148</v>
      </c>
      <c r="K168" s="26">
        <f t="shared" si="11"/>
        <v>106244.76601384272</v>
      </c>
      <c r="L168" s="66"/>
    </row>
    <row r="169" spans="5:12" x14ac:dyDescent="0.25">
      <c r="E169" s="23">
        <v>42627</v>
      </c>
      <c r="F169" s="22">
        <f t="shared" si="8"/>
        <v>38</v>
      </c>
      <c r="G169" s="22">
        <f t="shared" si="9"/>
        <v>9</v>
      </c>
      <c r="H169" s="27">
        <f>VLOOKUP(E169,'Daily Rates'!$A$1:$Q$197,4,FALSE)</f>
        <v>66.89</v>
      </c>
      <c r="I169" s="26">
        <f>VLOOKUP(E169,'Daily Rates'!$A$1:$Q$197,13,FALSE)</f>
        <v>1445</v>
      </c>
      <c r="J169" s="26">
        <f t="shared" si="10"/>
        <v>1511.7441063230606</v>
      </c>
      <c r="K169" s="26">
        <f t="shared" si="11"/>
        <v>105520.56327194952</v>
      </c>
      <c r="L169" s="66"/>
    </row>
    <row r="170" spans="5:12" x14ac:dyDescent="0.25">
      <c r="E170" s="23">
        <v>42628</v>
      </c>
      <c r="F170" s="22">
        <f t="shared" si="8"/>
        <v>38</v>
      </c>
      <c r="G170" s="22">
        <f t="shared" si="9"/>
        <v>9</v>
      </c>
      <c r="H170" s="27">
        <f>VLOOKUP(E170,'Daily Rates'!$A$1:$Q$197,4,FALSE)</f>
        <v>67.02</v>
      </c>
      <c r="I170" s="26">
        <f>VLOOKUP(E170,'Daily Rates'!$A$1:$Q$197,13,FALSE)</f>
        <v>1430</v>
      </c>
      <c r="J170" s="26">
        <f t="shared" si="10"/>
        <v>1496.5277938894792</v>
      </c>
      <c r="K170" s="26">
        <f t="shared" si="11"/>
        <v>104697.29274647289</v>
      </c>
      <c r="L170" s="66"/>
    </row>
    <row r="171" spans="5:12" x14ac:dyDescent="0.25">
      <c r="E171" s="23">
        <v>42629</v>
      </c>
      <c r="F171" s="22">
        <f t="shared" si="8"/>
        <v>38</v>
      </c>
      <c r="G171" s="22">
        <f t="shared" si="9"/>
        <v>9</v>
      </c>
      <c r="H171" s="27">
        <f>VLOOKUP(E171,'Daily Rates'!$A$1:$Q$197,4,FALSE)</f>
        <v>66.989999999999995</v>
      </c>
      <c r="I171" s="26">
        <f>VLOOKUP(E171,'Daily Rates'!$A$1:$Q$197,13,FALSE)</f>
        <v>1435</v>
      </c>
      <c r="J171" s="26">
        <f t="shared" si="10"/>
        <v>1501.5998980340064</v>
      </c>
      <c r="K171" s="26">
        <f t="shared" si="11"/>
        <v>104992.17716929808</v>
      </c>
      <c r="L171" s="66"/>
    </row>
    <row r="172" spans="5:12" x14ac:dyDescent="0.25">
      <c r="E172" s="23">
        <v>42632</v>
      </c>
      <c r="F172" s="22">
        <f t="shared" si="8"/>
        <v>39</v>
      </c>
      <c r="G172" s="22">
        <f t="shared" si="9"/>
        <v>9</v>
      </c>
      <c r="H172" s="27">
        <f>VLOOKUP(E172,'Daily Rates'!$A$1:$Q$197,4,FALSE)</f>
        <v>66.97</v>
      </c>
      <c r="I172" s="26">
        <f>VLOOKUP(E172,'Daily Rates'!$A$1:$Q$197,13,FALSE)</f>
        <v>1440</v>
      </c>
      <c r="J172" s="26">
        <f t="shared" si="10"/>
        <v>1506.6720021785334</v>
      </c>
      <c r="K172" s="26">
        <f t="shared" si="11"/>
        <v>105301.82398589638</v>
      </c>
      <c r="L172" s="66"/>
    </row>
    <row r="173" spans="5:12" x14ac:dyDescent="0.25">
      <c r="E173" s="23">
        <v>42633</v>
      </c>
      <c r="F173" s="22">
        <f t="shared" si="8"/>
        <v>39</v>
      </c>
      <c r="G173" s="22">
        <f t="shared" si="9"/>
        <v>9</v>
      </c>
      <c r="H173" s="27">
        <f>VLOOKUP(E173,'Daily Rates'!$A$1:$Q$197,4,FALSE)</f>
        <v>67.010000000000005</v>
      </c>
      <c r="I173" s="26">
        <f>VLOOKUP(E173,'Daily Rates'!$A$1:$Q$197,13,FALSE)</f>
        <v>1450</v>
      </c>
      <c r="J173" s="26">
        <f t="shared" si="10"/>
        <v>1516.8162104675876</v>
      </c>
      <c r="K173" s="26">
        <f t="shared" si="11"/>
        <v>106041.85426343305</v>
      </c>
      <c r="L173" s="66"/>
    </row>
    <row r="174" spans="5:12" x14ac:dyDescent="0.25">
      <c r="E174" s="23">
        <v>42634</v>
      </c>
      <c r="F174" s="22">
        <f t="shared" si="8"/>
        <v>39</v>
      </c>
      <c r="G174" s="22">
        <f t="shared" si="9"/>
        <v>9</v>
      </c>
      <c r="H174" s="27">
        <f>VLOOKUP(E174,'Daily Rates'!$A$1:$Q$197,4,FALSE)</f>
        <v>67.05</v>
      </c>
      <c r="I174" s="26">
        <f>VLOOKUP(E174,'Daily Rates'!$A$1:$Q$197,13,FALSE)</f>
        <v>1450</v>
      </c>
      <c r="J174" s="26">
        <f t="shared" si="10"/>
        <v>1516.8162104675876</v>
      </c>
      <c r="K174" s="26">
        <f t="shared" si="11"/>
        <v>106102.52691185175</v>
      </c>
      <c r="L174" s="66"/>
    </row>
    <row r="175" spans="5:12" x14ac:dyDescent="0.25">
      <c r="E175" s="23">
        <v>42635</v>
      </c>
      <c r="F175" s="22">
        <f t="shared" si="8"/>
        <v>39</v>
      </c>
      <c r="G175" s="22">
        <f t="shared" si="9"/>
        <v>9</v>
      </c>
      <c r="H175" s="27">
        <f>VLOOKUP(E175,'Daily Rates'!$A$1:$Q$197,4,FALSE)</f>
        <v>66.66</v>
      </c>
      <c r="I175" s="26">
        <f>VLOOKUP(E175,'Daily Rates'!$A$1:$Q$197,13,FALSE)</f>
        <v>1450</v>
      </c>
      <c r="J175" s="26">
        <f t="shared" si="10"/>
        <v>1516.8162104675876</v>
      </c>
      <c r="K175" s="26">
        <f t="shared" si="11"/>
        <v>105510.96858976939</v>
      </c>
      <c r="L175" s="66"/>
    </row>
    <row r="176" spans="5:12" x14ac:dyDescent="0.25">
      <c r="E176" s="23">
        <v>42636</v>
      </c>
      <c r="F176" s="22">
        <f t="shared" si="8"/>
        <v>39</v>
      </c>
      <c r="G176" s="22">
        <f t="shared" si="9"/>
        <v>9</v>
      </c>
      <c r="H176" s="27">
        <f>VLOOKUP(E176,'Daily Rates'!$A$1:$Q$197,4,FALSE)</f>
        <v>66.650000000000006</v>
      </c>
      <c r="I176" s="26">
        <f>VLOOKUP(E176,'Daily Rates'!$A$1:$Q$197,13,FALSE)</f>
        <v>1450</v>
      </c>
      <c r="J176" s="26">
        <f t="shared" si="10"/>
        <v>1516.8162104675876</v>
      </c>
      <c r="K176" s="26">
        <f t="shared" si="11"/>
        <v>105495.80042766473</v>
      </c>
      <c r="L176" s="66"/>
    </row>
    <row r="177" spans="5:12" x14ac:dyDescent="0.25">
      <c r="E177" s="23">
        <v>42639</v>
      </c>
      <c r="F177" s="22">
        <f t="shared" si="8"/>
        <v>40</v>
      </c>
      <c r="G177" s="22">
        <f t="shared" si="9"/>
        <v>9</v>
      </c>
      <c r="H177" s="27">
        <f>VLOOKUP(E177,'Daily Rates'!$A$1:$Q$197,4,FALSE)</f>
        <v>66.599999999999994</v>
      </c>
      <c r="I177" s="26">
        <f>VLOOKUP(E177,'Daily Rates'!$A$1:$Q$197,13,FALSE)</f>
        <v>1440</v>
      </c>
      <c r="J177" s="26">
        <f t="shared" si="10"/>
        <v>1506.6720021785334</v>
      </c>
      <c r="K177" s="26">
        <f t="shared" si="11"/>
        <v>104744.35534509031</v>
      </c>
      <c r="L177" s="66"/>
    </row>
    <row r="178" spans="5:12" x14ac:dyDescent="0.25">
      <c r="E178" s="23">
        <v>42640</v>
      </c>
      <c r="F178" s="22">
        <f t="shared" si="8"/>
        <v>40</v>
      </c>
      <c r="G178" s="22">
        <f t="shared" si="9"/>
        <v>9</v>
      </c>
      <c r="H178" s="27">
        <f>VLOOKUP(E178,'Daily Rates'!$A$1:$Q$197,4,FALSE)</f>
        <v>66.48</v>
      </c>
      <c r="I178" s="26">
        <f>VLOOKUP(E178,'Daily Rates'!$A$1:$Q$197,13,FALSE)</f>
        <v>1440</v>
      </c>
      <c r="J178" s="26">
        <f t="shared" si="10"/>
        <v>1506.6720021785334</v>
      </c>
      <c r="K178" s="26">
        <f t="shared" si="11"/>
        <v>104563.5547048289</v>
      </c>
      <c r="L178" s="66"/>
    </row>
    <row r="179" spans="5:12" x14ac:dyDescent="0.25">
      <c r="E179" s="23">
        <v>42641</v>
      </c>
      <c r="F179" s="22">
        <f t="shared" si="8"/>
        <v>40</v>
      </c>
      <c r="G179" s="22">
        <f t="shared" si="9"/>
        <v>9</v>
      </c>
      <c r="H179" s="27">
        <f>VLOOKUP(E179,'Daily Rates'!$A$1:$Q$197,4,FALSE)</f>
        <v>66.459999999999994</v>
      </c>
      <c r="I179" s="26">
        <f>VLOOKUP(E179,'Daily Rates'!$A$1:$Q$197,13,FALSE)</f>
        <v>1370</v>
      </c>
      <c r="J179" s="26">
        <f t="shared" si="10"/>
        <v>1435.6625441551539</v>
      </c>
      <c r="K179" s="26">
        <f t="shared" si="11"/>
        <v>99814.132684551514</v>
      </c>
      <c r="L179" s="66"/>
    </row>
    <row r="180" spans="5:12" x14ac:dyDescent="0.25">
      <c r="E180" s="23">
        <v>42642</v>
      </c>
      <c r="F180" s="22">
        <f t="shared" si="8"/>
        <v>40</v>
      </c>
      <c r="G180" s="22">
        <f t="shared" si="9"/>
        <v>9</v>
      </c>
      <c r="H180" s="27">
        <f>VLOOKUP(E180,'Daily Rates'!$A$1:$Q$197,4,FALSE)</f>
        <v>66.48</v>
      </c>
      <c r="I180" s="26">
        <f>VLOOKUP(E180,'Daily Rates'!$A$1:$Q$197,13,FALSE)</f>
        <v>1350</v>
      </c>
      <c r="J180" s="26">
        <f t="shared" si="10"/>
        <v>1415.3741275770456</v>
      </c>
      <c r="K180" s="26">
        <f t="shared" si="11"/>
        <v>98494.072001321998</v>
      </c>
      <c r="L180" s="66"/>
    </row>
    <row r="181" spans="5:12" x14ac:dyDescent="0.25">
      <c r="E181" s="23">
        <v>42643</v>
      </c>
      <c r="F181" s="22">
        <f t="shared" si="8"/>
        <v>40</v>
      </c>
      <c r="G181" s="22">
        <f t="shared" si="9"/>
        <v>9</v>
      </c>
      <c r="H181" s="27">
        <f>VLOOKUP(E181,'Daily Rates'!$A$1:$Q$197,4,FALSE)</f>
        <v>66.61</v>
      </c>
      <c r="I181" s="26">
        <f>VLOOKUP(E181,'Daily Rates'!$A$1:$Q$197,13,FALSE)</f>
        <v>1320</v>
      </c>
      <c r="J181" s="26">
        <f t="shared" si="10"/>
        <v>1384.941502709883</v>
      </c>
      <c r="K181" s="26">
        <f t="shared" si="11"/>
        <v>96650.95349550531</v>
      </c>
      <c r="L181" s="66"/>
    </row>
    <row r="182" spans="5:12" x14ac:dyDescent="0.25">
      <c r="E182" s="23">
        <v>42646</v>
      </c>
      <c r="F182" s="22">
        <f t="shared" si="8"/>
        <v>41</v>
      </c>
      <c r="G182" s="22">
        <f t="shared" si="9"/>
        <v>10</v>
      </c>
      <c r="H182" s="27">
        <f>VLOOKUP(E182,'Daily Rates'!$A$1:$Q$197,4,FALSE)</f>
        <v>66.59</v>
      </c>
      <c r="I182" s="26">
        <f>VLOOKUP(E182,'Daily Rates'!$A$1:$Q$197,13,FALSE)</f>
        <v>1320</v>
      </c>
      <c r="J182" s="26">
        <f t="shared" si="10"/>
        <v>1384.941502709883</v>
      </c>
      <c r="K182" s="26">
        <f t="shared" si="11"/>
        <v>96623.25466545111</v>
      </c>
      <c r="L182" s="66"/>
    </row>
    <row r="183" spans="5:12" x14ac:dyDescent="0.25">
      <c r="E183" s="23">
        <v>42647</v>
      </c>
      <c r="F183" s="22">
        <f t="shared" si="8"/>
        <v>41</v>
      </c>
      <c r="G183" s="22">
        <f t="shared" si="9"/>
        <v>10</v>
      </c>
      <c r="H183" s="27">
        <f>VLOOKUP(E183,'Daily Rates'!$A$1:$Q$197,4,FALSE)</f>
        <v>66.459999999999994</v>
      </c>
      <c r="I183" s="26">
        <f>VLOOKUP(E183,'Daily Rates'!$A$1:$Q$197,13,FALSE)</f>
        <v>1320</v>
      </c>
      <c r="J183" s="26">
        <f t="shared" si="10"/>
        <v>1384.941502709883</v>
      </c>
      <c r="K183" s="26">
        <f t="shared" si="11"/>
        <v>96443.212270098811</v>
      </c>
      <c r="L183" s="66"/>
    </row>
    <row r="184" spans="5:12" x14ac:dyDescent="0.25">
      <c r="E184" s="23">
        <v>42648</v>
      </c>
      <c r="F184" s="22">
        <f t="shared" si="8"/>
        <v>41</v>
      </c>
      <c r="G184" s="22">
        <f t="shared" si="9"/>
        <v>10</v>
      </c>
      <c r="H184" s="27">
        <f>VLOOKUP(E184,'Daily Rates'!$A$1:$Q$197,4,FALSE)</f>
        <v>66.5</v>
      </c>
      <c r="I184" s="26">
        <f>VLOOKUP(E184,'Daily Rates'!$A$1:$Q$197,13,FALSE)</f>
        <v>1320</v>
      </c>
      <c r="J184" s="26">
        <f t="shared" si="10"/>
        <v>1384.941502709883</v>
      </c>
      <c r="K184" s="26">
        <f t="shared" si="11"/>
        <v>96498.609930207225</v>
      </c>
      <c r="L184" s="66"/>
    </row>
    <row r="185" spans="5:12" x14ac:dyDescent="0.25">
      <c r="E185" s="23">
        <v>42649</v>
      </c>
      <c r="F185" s="22">
        <f t="shared" si="8"/>
        <v>41</v>
      </c>
      <c r="G185" s="22">
        <f t="shared" si="9"/>
        <v>10</v>
      </c>
      <c r="H185" s="27">
        <f>VLOOKUP(E185,'Daily Rates'!$A$1:$Q$197,4,FALSE)</f>
        <v>66.78</v>
      </c>
      <c r="I185" s="26">
        <f>VLOOKUP(E185,'Daily Rates'!$A$1:$Q$197,13,FALSE)</f>
        <v>1300</v>
      </c>
      <c r="J185" s="26">
        <f t="shared" si="10"/>
        <v>1364.6530861317747</v>
      </c>
      <c r="K185" s="26">
        <f t="shared" si="11"/>
        <v>95531.533091879915</v>
      </c>
      <c r="L185" s="66"/>
    </row>
    <row r="186" spans="5:12" x14ac:dyDescent="0.25">
      <c r="E186" s="23">
        <v>42650</v>
      </c>
      <c r="F186" s="22">
        <f t="shared" si="8"/>
        <v>41</v>
      </c>
      <c r="G186" s="22">
        <f t="shared" si="9"/>
        <v>10</v>
      </c>
      <c r="H186" s="27">
        <f>VLOOKUP(E186,'Daily Rates'!$A$1:$Q$197,4,FALSE)</f>
        <v>66.69</v>
      </c>
      <c r="I186" s="26">
        <f>VLOOKUP(E186,'Daily Rates'!$A$1:$Q$197,13,FALSE)</f>
        <v>1300</v>
      </c>
      <c r="J186" s="26">
        <f t="shared" si="10"/>
        <v>1364.6530861317747</v>
      </c>
      <c r="K186" s="26">
        <f t="shared" si="11"/>
        <v>95408.714314128054</v>
      </c>
      <c r="L186" s="66"/>
    </row>
    <row r="187" spans="5:12" x14ac:dyDescent="0.25">
      <c r="E187" s="23">
        <v>42653</v>
      </c>
      <c r="F187" s="22">
        <f t="shared" si="8"/>
        <v>42</v>
      </c>
      <c r="G187" s="22">
        <f t="shared" si="9"/>
        <v>10</v>
      </c>
      <c r="H187" s="27">
        <f>VLOOKUP(E187,'Daily Rates'!$A$1:$Q$197,4,FALSE)</f>
        <v>66.53</v>
      </c>
      <c r="I187" s="26">
        <f>VLOOKUP(E187,'Daily Rates'!$A$1:$Q$197,13,FALSE)</f>
        <v>1300</v>
      </c>
      <c r="J187" s="26">
        <f t="shared" si="10"/>
        <v>1364.6530861317747</v>
      </c>
      <c r="K187" s="26">
        <f t="shared" si="11"/>
        <v>95190.369820346968</v>
      </c>
      <c r="L187" s="66"/>
    </row>
    <row r="188" spans="5:12" x14ac:dyDescent="0.25">
      <c r="E188" s="23">
        <v>42655</v>
      </c>
      <c r="F188" s="22">
        <f t="shared" si="8"/>
        <v>42</v>
      </c>
      <c r="G188" s="22">
        <f t="shared" si="9"/>
        <v>10</v>
      </c>
      <c r="H188" s="27">
        <f>VLOOKUP(E188,'Daily Rates'!$A$1:$Q$197,4,FALSE)</f>
        <v>66.78</v>
      </c>
      <c r="I188" s="26">
        <f>VLOOKUP(E188,'Daily Rates'!$A$1:$Q$197,13,FALSE)</f>
        <v>1285</v>
      </c>
      <c r="J188" s="26">
        <f t="shared" si="10"/>
        <v>1349.4367736981933</v>
      </c>
      <c r="K188" s="26">
        <f t="shared" si="11"/>
        <v>94515.387747565343</v>
      </c>
      <c r="L188" s="66"/>
    </row>
    <row r="189" spans="5:12" x14ac:dyDescent="0.25">
      <c r="E189" s="23">
        <v>42656</v>
      </c>
      <c r="F189" s="22">
        <f t="shared" si="8"/>
        <v>42</v>
      </c>
      <c r="G189" s="22">
        <f t="shared" si="9"/>
        <v>10</v>
      </c>
      <c r="H189" s="27">
        <f>VLOOKUP(E189,'Daily Rates'!$A$1:$Q$197,4,FALSE)</f>
        <v>66.930000000000007</v>
      </c>
      <c r="I189" s="26">
        <f>VLOOKUP(E189,'Daily Rates'!$A$1:$Q$197,13,FALSE)</f>
        <v>1280</v>
      </c>
      <c r="J189" s="26">
        <f t="shared" si="10"/>
        <v>1344.3646695536663</v>
      </c>
      <c r="K189" s="26">
        <f t="shared" si="11"/>
        <v>94378.327333226902</v>
      </c>
      <c r="L189" s="66"/>
    </row>
    <row r="190" spans="5:12" x14ac:dyDescent="0.25">
      <c r="E190" s="23">
        <v>42657</v>
      </c>
      <c r="F190" s="22">
        <f t="shared" si="8"/>
        <v>42</v>
      </c>
      <c r="G190" s="22">
        <f t="shared" si="9"/>
        <v>10</v>
      </c>
      <c r="H190" s="27">
        <f>VLOOKUP(E190,'Daily Rates'!$A$1:$Q$197,4,FALSE)</f>
        <v>66.72</v>
      </c>
      <c r="I190" s="26">
        <f>VLOOKUP(E190,'Daily Rates'!$A$1:$Q$197,13,FALSE)</f>
        <v>1280</v>
      </c>
      <c r="J190" s="26">
        <f t="shared" si="10"/>
        <v>1344.3646695536663</v>
      </c>
      <c r="K190" s="26">
        <f t="shared" si="11"/>
        <v>94096.010752620612</v>
      </c>
      <c r="L190" s="66"/>
    </row>
    <row r="191" spans="5:12" x14ac:dyDescent="0.25">
      <c r="E191" s="23">
        <v>42660</v>
      </c>
      <c r="F191" s="22">
        <f t="shared" si="8"/>
        <v>43</v>
      </c>
      <c r="G191" s="22">
        <f t="shared" si="9"/>
        <v>10</v>
      </c>
      <c r="H191" s="27">
        <f>VLOOKUP(E191,'Daily Rates'!$A$1:$Q$197,4,FALSE)</f>
        <v>66.89</v>
      </c>
      <c r="I191" s="26">
        <f>VLOOKUP(E191,'Daily Rates'!$A$1:$Q$197,13,FALSE)</f>
        <v>1300</v>
      </c>
      <c r="J191" s="26">
        <f t="shared" si="10"/>
        <v>1364.6530861317747</v>
      </c>
      <c r="K191" s="26">
        <f t="shared" si="11"/>
        <v>95681.644931354414</v>
      </c>
      <c r="L191" s="66"/>
    </row>
    <row r="192" spans="5:12" x14ac:dyDescent="0.25">
      <c r="E192" s="23">
        <v>42661</v>
      </c>
      <c r="F192" s="22">
        <f t="shared" si="8"/>
        <v>43</v>
      </c>
      <c r="G192" s="22">
        <f t="shared" si="9"/>
        <v>10</v>
      </c>
      <c r="H192" s="27">
        <f>VLOOKUP(E192,'Daily Rates'!$A$1:$Q$197,4,FALSE)</f>
        <v>66.73</v>
      </c>
      <c r="I192" s="26">
        <f>VLOOKUP(E192,'Daily Rates'!$A$1:$Q$197,13,FALSE)</f>
        <v>1300</v>
      </c>
      <c r="J192" s="26">
        <f t="shared" si="10"/>
        <v>1364.6530861317747</v>
      </c>
      <c r="K192" s="26">
        <f t="shared" si="11"/>
        <v>95463.300437573329</v>
      </c>
      <c r="L192" s="66"/>
    </row>
    <row r="193" spans="5:12" x14ac:dyDescent="0.25">
      <c r="E193" s="23">
        <v>42662</v>
      </c>
      <c r="F193" s="22">
        <f t="shared" si="8"/>
        <v>43</v>
      </c>
      <c r="G193" s="22">
        <f t="shared" si="9"/>
        <v>10</v>
      </c>
      <c r="H193" s="27">
        <f>VLOOKUP(E193,'Daily Rates'!$A$1:$Q$197,4,FALSE)</f>
        <v>66.69</v>
      </c>
      <c r="I193" s="26">
        <f>VLOOKUP(E193,'Daily Rates'!$A$1:$Q$197,13,FALSE)</f>
        <v>1300</v>
      </c>
      <c r="J193" s="26">
        <f t="shared" si="10"/>
        <v>1364.6530861317747</v>
      </c>
      <c r="K193" s="26">
        <f t="shared" si="11"/>
        <v>95408.714314128054</v>
      </c>
      <c r="L193" s="66"/>
    </row>
    <row r="194" spans="5:12" x14ac:dyDescent="0.25">
      <c r="E194" s="23">
        <v>42663</v>
      </c>
      <c r="F194" s="22">
        <f t="shared" si="8"/>
        <v>43</v>
      </c>
      <c r="G194" s="22">
        <f t="shared" si="9"/>
        <v>10</v>
      </c>
      <c r="H194" s="27">
        <f>VLOOKUP(E194,'Daily Rates'!$A$1:$Q$197,4,FALSE)</f>
        <v>66.819999999999993</v>
      </c>
      <c r="I194" s="26">
        <f>VLOOKUP(E194,'Daily Rates'!$A$1:$Q$197,13,FALSE)</f>
        <v>1300</v>
      </c>
      <c r="J194" s="26">
        <f t="shared" si="10"/>
        <v>1364.6530861317747</v>
      </c>
      <c r="K194" s="26">
        <f t="shared" si="11"/>
        <v>95586.119215325176</v>
      </c>
      <c r="L194" s="66"/>
    </row>
    <row r="195" spans="5:12" x14ac:dyDescent="0.25">
      <c r="E195" s="23">
        <v>42664</v>
      </c>
      <c r="F195" s="22">
        <f t="shared" ref="F195:F197" si="12">WEEKNUM(E195)</f>
        <v>43</v>
      </c>
      <c r="G195" s="22">
        <f t="shared" ref="G195:G197" si="13">MONTH(E195)</f>
        <v>10</v>
      </c>
      <c r="H195" s="27">
        <f>VLOOKUP(E195,'Daily Rates'!$A$1:$Q$197,4,FALSE)</f>
        <v>66.87</v>
      </c>
      <c r="I195" s="26">
        <f>VLOOKUP(E195,'Daily Rates'!$A$1:$Q$197,13,FALSE)</f>
        <v>1300</v>
      </c>
      <c r="J195" s="26">
        <f t="shared" ref="J195:J197" si="14">((I195-$O$8)/$P$17+SUM($P$19:$P$36)+$P$42)*0.23+(I195-$O$8)*0.77+$O$7+$O$8+$O$10</f>
        <v>1364.6530861317747</v>
      </c>
      <c r="K195" s="26">
        <f t="shared" ref="K195:K197" si="15">J195*H195+4400</f>
        <v>95654.351869631777</v>
      </c>
      <c r="L195" s="66"/>
    </row>
    <row r="196" spans="5:12" x14ac:dyDescent="0.25">
      <c r="E196" s="23">
        <v>42667</v>
      </c>
      <c r="F196" s="22">
        <f t="shared" si="12"/>
        <v>44</v>
      </c>
      <c r="G196" s="22">
        <f t="shared" si="13"/>
        <v>10</v>
      </c>
      <c r="H196" s="27">
        <f>VLOOKUP(E196,'Daily Rates'!$A$1:$Q$197,4,FALSE)</f>
        <v>66.84</v>
      </c>
      <c r="I196" s="26">
        <f>VLOOKUP(E196,'Daily Rates'!$A$1:$Q$197,13,FALSE)</f>
        <v>1320</v>
      </c>
      <c r="J196" s="26">
        <f t="shared" si="14"/>
        <v>1384.941502709883</v>
      </c>
      <c r="K196" s="26">
        <f t="shared" si="15"/>
        <v>96969.490041128593</v>
      </c>
      <c r="L196" s="66"/>
    </row>
    <row r="197" spans="5:12" x14ac:dyDescent="0.25">
      <c r="E197" s="23">
        <v>42668</v>
      </c>
      <c r="F197" s="22">
        <f t="shared" si="12"/>
        <v>44</v>
      </c>
      <c r="G197" s="22">
        <f t="shared" si="13"/>
        <v>10</v>
      </c>
      <c r="H197" s="27">
        <f>VLOOKUP(E197,'Daily Rates'!$A$1:$Q$197,4,FALSE)</f>
        <v>66.84</v>
      </c>
      <c r="I197" s="26">
        <f>VLOOKUP(E197,'Daily Rates'!$A$1:$Q$197,13,FALSE)</f>
        <v>1330</v>
      </c>
      <c r="J197" s="26">
        <f t="shared" si="14"/>
        <v>1395.0857109989372</v>
      </c>
      <c r="K197" s="26">
        <f t="shared" si="15"/>
        <v>97647.528923168968</v>
      </c>
      <c r="L19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Summary</vt:lpstr>
      <vt:lpstr>VA Apr</vt:lpstr>
      <vt:lpstr>VA May</vt:lpstr>
      <vt:lpstr>VA Jun</vt:lpstr>
      <vt:lpstr>VA Jul</vt:lpstr>
      <vt:lpstr>VA Aug</vt:lpstr>
      <vt:lpstr>VA Sep</vt:lpstr>
      <vt:lpstr>VA Oct</vt:lpstr>
      <vt:lpstr>VA Nov</vt:lpstr>
      <vt:lpstr>VA Dec</vt:lpstr>
      <vt:lpstr>VA Jan</vt:lpstr>
      <vt:lpstr>VA Feb</vt:lpstr>
      <vt:lpstr>VA Mar</vt:lpstr>
      <vt:lpstr>GRN Apr</vt:lpstr>
      <vt:lpstr>GRN May</vt:lpstr>
      <vt:lpstr>GRN Jun</vt:lpstr>
      <vt:lpstr>GRN Jul</vt:lpstr>
      <vt:lpstr>GRN Aug</vt:lpstr>
      <vt:lpstr>GRN Sep</vt:lpstr>
      <vt:lpstr>GRN Oct</vt:lpstr>
      <vt:lpstr>GRN Nov</vt:lpstr>
      <vt:lpstr>GRN Dec</vt:lpstr>
      <vt:lpstr>GRN Jan</vt:lpstr>
      <vt:lpstr>GRN Feb</vt:lpstr>
      <vt:lpstr>GRN Mar</vt:lpstr>
      <vt:lpstr>Daily Rates Pivot</vt:lpstr>
      <vt:lpstr>Daily Rates</vt:lpstr>
      <vt:lpstr>Fresco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Dakshinamurthy</dc:creator>
  <cp:lastModifiedBy>Madhavan Dakshinamurthy</cp:lastModifiedBy>
  <dcterms:created xsi:type="dcterms:W3CDTF">2016-06-21T11:42:16Z</dcterms:created>
  <dcterms:modified xsi:type="dcterms:W3CDTF">2017-04-12T08:10:51Z</dcterms:modified>
</cp:coreProperties>
</file>