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05" windowWidth="14805" windowHeight="5940"/>
  </bookViews>
  <sheets>
    <sheet name="Summary" sheetId="1" r:id="rId1"/>
    <sheet name="Baddi" sheetId="4" r:id="rId2"/>
    <sheet name="Kutch" sheetId="5" r:id="rId3"/>
    <sheet name="Tiljala" sheetId="6" r:id="rId4"/>
    <sheet name="Daman" sheetId="7" r:id="rId5"/>
    <sheet name="Sheet2" sheetId="2" r:id="rId6"/>
    <sheet name="Sheet3" sheetId="3" r:id="rId7"/>
    <sheet name="Sheet1" sheetId="8" r:id="rId8"/>
  </sheets>
  <definedNames>
    <definedName name="_xlnm._FilterDatabase" localSheetId="4" hidden="1">Daman!$A$2:$AH$39</definedName>
    <definedName name="_xlnm._FilterDatabase" localSheetId="0" hidden="1">Summary!$A$3:$AS$56</definedName>
  </definedNames>
  <calcPr calcId="145621"/>
</workbook>
</file>

<file path=xl/calcChain.xml><?xml version="1.0" encoding="utf-8"?>
<calcChain xmlns="http://schemas.openxmlformats.org/spreadsheetml/2006/main">
  <c r="J8" i="6" l="1"/>
  <c r="AF8" i="6" l="1"/>
  <c r="J7" i="6"/>
  <c r="AA13" i="5" l="1"/>
  <c r="X13" i="5"/>
  <c r="W13" i="5"/>
  <c r="V13" i="5"/>
  <c r="U13" i="5"/>
  <c r="T13" i="5"/>
  <c r="R13" i="5"/>
  <c r="O13" i="5"/>
  <c r="N13" i="5"/>
  <c r="M13" i="5"/>
  <c r="L13" i="5"/>
  <c r="K13" i="5"/>
  <c r="AH43" i="7"/>
  <c r="AG43" i="7"/>
  <c r="AF43" i="7"/>
  <c r="AE43" i="7"/>
  <c r="AD43" i="7"/>
  <c r="AC43" i="7"/>
  <c r="AB43" i="7"/>
  <c r="AA43" i="7"/>
  <c r="Z43" i="7"/>
  <c r="Y43" i="7"/>
  <c r="X43" i="7"/>
  <c r="V43" i="7"/>
  <c r="U43" i="7"/>
  <c r="T43" i="7"/>
  <c r="S43" i="7"/>
  <c r="R43" i="7"/>
  <c r="Q43" i="7"/>
  <c r="P43" i="7"/>
  <c r="O43" i="7"/>
  <c r="N43" i="7"/>
  <c r="M43" i="7"/>
  <c r="AB24" i="4"/>
  <c r="AA24" i="4"/>
  <c r="Z24" i="4"/>
  <c r="Y24" i="4"/>
  <c r="X24" i="4"/>
  <c r="W24" i="4"/>
  <c r="V24" i="4"/>
  <c r="U24" i="4"/>
  <c r="T24" i="4"/>
  <c r="R24" i="4"/>
  <c r="Q24" i="4"/>
  <c r="P24" i="4"/>
  <c r="O24" i="4"/>
  <c r="N24" i="4"/>
  <c r="M24" i="4"/>
  <c r="L24" i="4"/>
  <c r="K24" i="4"/>
  <c r="AG40" i="7" l="1"/>
  <c r="AF40" i="7"/>
  <c r="AE40" i="7"/>
  <c r="AD40" i="7"/>
  <c r="AC40" i="7"/>
  <c r="AB40" i="7"/>
  <c r="AA40" i="7"/>
  <c r="Z40" i="7"/>
  <c r="Y40" i="7"/>
  <c r="X40" i="7"/>
  <c r="AG39" i="7"/>
  <c r="AF39" i="7"/>
  <c r="AE39" i="7"/>
  <c r="AD39" i="7"/>
  <c r="AC39" i="7"/>
  <c r="AB39" i="7"/>
  <c r="AA39" i="7"/>
  <c r="Z39" i="7"/>
  <c r="Y39" i="7"/>
  <c r="X39" i="7"/>
  <c r="AG38" i="7"/>
  <c r="AF38" i="7"/>
  <c r="AE38" i="7"/>
  <c r="AD38" i="7"/>
  <c r="AC38" i="7"/>
  <c r="AB38" i="7"/>
  <c r="AA38" i="7"/>
  <c r="Z38" i="7"/>
  <c r="Y38" i="7"/>
  <c r="X38" i="7"/>
  <c r="AG37" i="7"/>
  <c r="AF37" i="7"/>
  <c r="AE37" i="7"/>
  <c r="AD37" i="7"/>
  <c r="AC37" i="7"/>
  <c r="AB37" i="7"/>
  <c r="AA37" i="7"/>
  <c r="Z37" i="7"/>
  <c r="Y37" i="7"/>
  <c r="X37" i="7"/>
  <c r="AG36" i="7"/>
  <c r="AF36" i="7"/>
  <c r="AE36" i="7"/>
  <c r="AD36" i="7"/>
  <c r="AC36" i="7"/>
  <c r="AB36" i="7"/>
  <c r="AA36" i="7"/>
  <c r="Z36" i="7"/>
  <c r="Y36" i="7"/>
  <c r="X36" i="7"/>
  <c r="AG35" i="7"/>
  <c r="AF35" i="7"/>
  <c r="AE35" i="7"/>
  <c r="AD35" i="7"/>
  <c r="AC35" i="7"/>
  <c r="AB35" i="7"/>
  <c r="AA35" i="7"/>
  <c r="Z35" i="7"/>
  <c r="Y35" i="7"/>
  <c r="X35" i="7"/>
  <c r="AG34" i="7"/>
  <c r="AF34" i="7"/>
  <c r="AE34" i="7"/>
  <c r="AD34" i="7"/>
  <c r="AC34" i="7"/>
  <c r="AB34" i="7"/>
  <c r="AA34" i="7"/>
  <c r="Z34" i="7"/>
  <c r="Y34" i="7"/>
  <c r="X34" i="7"/>
  <c r="AG33" i="7"/>
  <c r="AF33" i="7"/>
  <c r="AE33" i="7"/>
  <c r="AD33" i="7"/>
  <c r="AC33" i="7"/>
  <c r="AB33" i="7"/>
  <c r="AA33" i="7"/>
  <c r="Z33" i="7"/>
  <c r="Y33" i="7"/>
  <c r="X33" i="7"/>
  <c r="AG32" i="7"/>
  <c r="AF32" i="7"/>
  <c r="AE32" i="7"/>
  <c r="AD32" i="7"/>
  <c r="AC32" i="7"/>
  <c r="AB32" i="7"/>
  <c r="AA32" i="7"/>
  <c r="Z32" i="7"/>
  <c r="Y32" i="7"/>
  <c r="X32" i="7"/>
  <c r="AG31" i="7"/>
  <c r="AF31" i="7"/>
  <c r="AE31" i="7"/>
  <c r="AD31" i="7"/>
  <c r="AC31" i="7"/>
  <c r="AB31" i="7"/>
  <c r="AA31" i="7"/>
  <c r="Z31" i="7"/>
  <c r="Y31" i="7"/>
  <c r="X31" i="7"/>
  <c r="AG30" i="7"/>
  <c r="AF30" i="7"/>
  <c r="AE30" i="7"/>
  <c r="AD30" i="7"/>
  <c r="AC30" i="7"/>
  <c r="AB30" i="7"/>
  <c r="AA30" i="7"/>
  <c r="Z30" i="7"/>
  <c r="Y30" i="7"/>
  <c r="X30" i="7"/>
  <c r="AG29" i="7"/>
  <c r="AF29" i="7"/>
  <c r="AE29" i="7"/>
  <c r="AD29" i="7"/>
  <c r="AC29" i="7"/>
  <c r="AB29" i="7"/>
  <c r="AA29" i="7"/>
  <c r="Z29" i="7"/>
  <c r="Y29" i="7"/>
  <c r="X29" i="7"/>
  <c r="AG28" i="7"/>
  <c r="AF28" i="7"/>
  <c r="AE28" i="7"/>
  <c r="AD28" i="7"/>
  <c r="AC28" i="7"/>
  <c r="AB28" i="7"/>
  <c r="AA28" i="7"/>
  <c r="Z28" i="7"/>
  <c r="Y28" i="7"/>
  <c r="X28" i="7"/>
  <c r="K39" i="7"/>
  <c r="K38" i="7"/>
  <c r="K37" i="7"/>
  <c r="K36" i="7"/>
  <c r="K35" i="7"/>
  <c r="K34" i="7"/>
  <c r="K33" i="7"/>
  <c r="K32" i="7"/>
  <c r="K31" i="7"/>
  <c r="K30" i="7"/>
  <c r="K29" i="7"/>
  <c r="K28" i="7"/>
  <c r="J34" i="7"/>
  <c r="J32" i="7"/>
  <c r="J31" i="7"/>
  <c r="J30" i="7"/>
  <c r="J29" i="7"/>
  <c r="J28" i="7"/>
  <c r="H17" i="4" l="1"/>
  <c r="H16" i="4"/>
  <c r="H15" i="4"/>
  <c r="H14" i="4"/>
  <c r="H12" i="4"/>
  <c r="H11" i="4"/>
  <c r="H10" i="4"/>
  <c r="H21" i="4"/>
  <c r="H7" i="4"/>
  <c r="H6" i="4"/>
  <c r="H4" i="4"/>
  <c r="H19" i="4"/>
  <c r="M3" i="5" l="1"/>
  <c r="N7" i="4"/>
  <c r="K19" i="1" l="1"/>
  <c r="U25" i="7"/>
  <c r="T25" i="7"/>
  <c r="J20" i="1"/>
  <c r="P7" i="4"/>
  <c r="P19" i="4"/>
  <c r="Q17" i="4"/>
  <c r="P17" i="4"/>
  <c r="Q21" i="4" l="1"/>
  <c r="P16" i="4" l="1"/>
  <c r="Q7" i="4" l="1"/>
  <c r="P3" i="4" l="1"/>
  <c r="K40" i="1" l="1"/>
  <c r="K9" i="1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6" i="4"/>
  <c r="R5" i="4"/>
  <c r="R4" i="4"/>
  <c r="R3" i="4"/>
  <c r="R7" i="4"/>
  <c r="O13" i="4" l="1"/>
  <c r="K18" i="1" l="1"/>
  <c r="K58" i="1" s="1"/>
  <c r="K59" i="1" s="1"/>
  <c r="K60" i="1" s="1"/>
  <c r="T22" i="4"/>
  <c r="AA3" i="4"/>
  <c r="Z21" i="4"/>
  <c r="Y21" i="4"/>
  <c r="X21" i="4"/>
  <c r="W21" i="4"/>
  <c r="V21" i="4"/>
  <c r="U21" i="4"/>
  <c r="T21" i="4"/>
  <c r="Q22" i="4"/>
  <c r="P22" i="4"/>
  <c r="O22" i="4"/>
  <c r="N22" i="4"/>
  <c r="M22" i="4"/>
  <c r="L22" i="4"/>
  <c r="K22" i="4"/>
  <c r="I21" i="4"/>
  <c r="AA21" i="4" s="1"/>
  <c r="H22" i="4"/>
  <c r="G22" i="4"/>
  <c r="F22" i="4"/>
  <c r="E22" i="4"/>
  <c r="D22" i="4"/>
  <c r="C22" i="4"/>
  <c r="B22" i="4"/>
  <c r="H18" i="4"/>
  <c r="H20" i="4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U41" i="7"/>
  <c r="V40" i="7"/>
  <c r="V26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3" i="7"/>
  <c r="J41" i="7"/>
  <c r="J42" i="7" s="1"/>
  <c r="K40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AF41" i="7" l="1"/>
  <c r="AF42" i="7" s="1"/>
  <c r="U42" i="7"/>
  <c r="Y12" i="4" l="1"/>
  <c r="P20" i="4"/>
  <c r="N11" i="4"/>
  <c r="P4" i="4" l="1"/>
  <c r="P14" i="4" l="1"/>
  <c r="P6" i="4" l="1"/>
  <c r="O12" i="4" l="1"/>
  <c r="N12" i="4"/>
  <c r="I20" i="4" l="1"/>
  <c r="I19" i="4"/>
  <c r="I18" i="4"/>
  <c r="AA18" i="4" s="1"/>
  <c r="I17" i="4"/>
  <c r="I16" i="4"/>
  <c r="I15" i="4"/>
  <c r="I14" i="4"/>
  <c r="I13" i="4"/>
  <c r="I12" i="4"/>
  <c r="AA12" i="4" s="1"/>
  <c r="I11" i="4"/>
  <c r="I10" i="4"/>
  <c r="I9" i="4"/>
  <c r="I8" i="4"/>
  <c r="I7" i="4"/>
  <c r="I6" i="4"/>
  <c r="I5" i="4"/>
  <c r="I4" i="4"/>
  <c r="S25" i="7" l="1"/>
  <c r="V25" i="7" s="1"/>
  <c r="N10" i="4" l="1"/>
  <c r="M10" i="4"/>
  <c r="M11" i="4"/>
  <c r="L10" i="4"/>
  <c r="O16" i="4"/>
  <c r="W11" i="4" l="1"/>
  <c r="X11" i="4" l="1"/>
  <c r="T4" i="7" l="1"/>
  <c r="V4" i="7" s="1"/>
  <c r="Q23" i="4" l="1"/>
  <c r="H23" i="4"/>
  <c r="I22" i="4" l="1"/>
  <c r="L20" i="1"/>
  <c r="L13" i="1"/>
  <c r="L10" i="1"/>
  <c r="L7" i="1"/>
  <c r="L4" i="1"/>
  <c r="Z18" i="4"/>
  <c r="Z22" i="4"/>
  <c r="Z23" i="4" s="1"/>
  <c r="Z20" i="4"/>
  <c r="Z19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J19" i="1" l="1"/>
  <c r="O10" i="4" l="1"/>
  <c r="T27" i="7" l="1"/>
  <c r="J43" i="1" s="1"/>
  <c r="S27" i="7"/>
  <c r="I43" i="1" l="1"/>
  <c r="V27" i="7"/>
  <c r="O11" i="4"/>
  <c r="J18" i="1" l="1"/>
  <c r="I41" i="7" l="1"/>
  <c r="I42" i="7" s="1"/>
  <c r="T41" i="7"/>
  <c r="T42" i="7" s="1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41" i="7" l="1"/>
  <c r="AE42" i="7" s="1"/>
  <c r="K41" i="7"/>
  <c r="K42" i="7" s="1"/>
  <c r="Y20" i="4" l="1"/>
  <c r="X20" i="4"/>
  <c r="W20" i="4"/>
  <c r="V20" i="4"/>
  <c r="U20" i="4"/>
  <c r="Y19" i="4"/>
  <c r="X19" i="4"/>
  <c r="W19" i="4"/>
  <c r="V19" i="4"/>
  <c r="U19" i="4"/>
  <c r="Y17" i="4"/>
  <c r="X17" i="4"/>
  <c r="W17" i="4"/>
  <c r="V17" i="4"/>
  <c r="U17" i="4"/>
  <c r="Y16" i="4"/>
  <c r="X16" i="4"/>
  <c r="W16" i="4"/>
  <c r="V16" i="4"/>
  <c r="U16" i="4"/>
  <c r="Y15" i="4"/>
  <c r="X15" i="4"/>
  <c r="W15" i="4"/>
  <c r="V15" i="4"/>
  <c r="U15" i="4"/>
  <c r="Y14" i="4"/>
  <c r="X14" i="4"/>
  <c r="W14" i="4"/>
  <c r="V14" i="4"/>
  <c r="U14" i="4"/>
  <c r="Y13" i="4"/>
  <c r="X13" i="4"/>
  <c r="W13" i="4"/>
  <c r="V13" i="4"/>
  <c r="U13" i="4"/>
  <c r="X12" i="4"/>
  <c r="W12" i="4"/>
  <c r="V12" i="4"/>
  <c r="U12" i="4"/>
  <c r="Y11" i="4"/>
  <c r="V11" i="4"/>
  <c r="U11" i="4"/>
  <c r="Y10" i="4"/>
  <c r="X10" i="4"/>
  <c r="W10" i="4"/>
  <c r="V10" i="4"/>
  <c r="U10" i="4"/>
  <c r="Y9" i="4"/>
  <c r="X9" i="4"/>
  <c r="W9" i="4"/>
  <c r="V9" i="4"/>
  <c r="U9" i="4"/>
  <c r="Y8" i="4"/>
  <c r="X8" i="4"/>
  <c r="W8" i="4"/>
  <c r="V8" i="4"/>
  <c r="U8" i="4"/>
  <c r="Y7" i="4"/>
  <c r="X7" i="4"/>
  <c r="W7" i="4"/>
  <c r="V7" i="4"/>
  <c r="U7" i="4"/>
  <c r="Y6" i="4"/>
  <c r="X6" i="4"/>
  <c r="W6" i="4"/>
  <c r="V6" i="4"/>
  <c r="U6" i="4"/>
  <c r="Y5" i="4"/>
  <c r="X5" i="4"/>
  <c r="W5" i="4"/>
  <c r="V5" i="4"/>
  <c r="U5" i="4"/>
  <c r="Y4" i="4"/>
  <c r="X4" i="4"/>
  <c r="W4" i="4"/>
  <c r="V4" i="4"/>
  <c r="U4" i="4"/>
  <c r="Y3" i="4"/>
  <c r="X3" i="4"/>
  <c r="W3" i="4"/>
  <c r="V3" i="4"/>
  <c r="U3" i="4"/>
  <c r="T20" i="4"/>
  <c r="T19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AA8" i="4" l="1"/>
  <c r="AA5" i="4"/>
  <c r="I19" i="1" l="1"/>
  <c r="E43" i="1" l="1"/>
  <c r="E38" i="1" l="1"/>
  <c r="J22" i="1" l="1"/>
  <c r="J21" i="1"/>
  <c r="J17" i="1"/>
  <c r="J16" i="1"/>
  <c r="J15" i="1"/>
  <c r="J14" i="1"/>
  <c r="J12" i="1"/>
  <c r="J11" i="1"/>
  <c r="J9" i="1"/>
  <c r="J8" i="1"/>
  <c r="J6" i="1"/>
  <c r="J5" i="1"/>
  <c r="R22" i="4"/>
  <c r="I3" i="4"/>
  <c r="G23" i="4"/>
  <c r="P23" i="4" l="1"/>
  <c r="Y22" i="4"/>
  <c r="Y23" i="4" s="1"/>
  <c r="J58" i="1"/>
  <c r="J59" i="1" s="1"/>
  <c r="J60" i="1" s="1"/>
  <c r="U6" i="5" l="1"/>
  <c r="T6" i="5"/>
  <c r="Z6" i="5"/>
  <c r="Y6" i="5"/>
  <c r="X6" i="5"/>
  <c r="W6" i="5"/>
  <c r="V6" i="5"/>
  <c r="AD27" i="7" l="1"/>
  <c r="AD26" i="7"/>
  <c r="H25" i="1" l="1"/>
  <c r="E26" i="1" l="1"/>
  <c r="D26" i="1"/>
  <c r="I26" i="1"/>
  <c r="H26" i="1"/>
  <c r="G26" i="1"/>
  <c r="F26" i="1"/>
  <c r="C26" i="1"/>
  <c r="L26" i="1" l="1"/>
  <c r="AG27" i="7"/>
  <c r="AG26" i="7"/>
  <c r="R6" i="5" l="1"/>
  <c r="AA6" i="5" s="1"/>
  <c r="I6" i="5"/>
  <c r="Q11" i="5" l="1"/>
  <c r="P11" i="5"/>
  <c r="O11" i="5"/>
  <c r="O12" i="5" s="1"/>
  <c r="N11" i="5"/>
  <c r="N12" i="5" s="1"/>
  <c r="M11" i="5"/>
  <c r="M12" i="5" s="1"/>
  <c r="L11" i="5"/>
  <c r="K11" i="5"/>
  <c r="K12" i="5" s="1"/>
  <c r="Q12" i="5"/>
  <c r="P12" i="5"/>
  <c r="L12" i="5"/>
  <c r="I18" i="1" l="1"/>
  <c r="F23" i="4" l="1"/>
  <c r="H41" i="7"/>
  <c r="H42" i="7" s="1"/>
  <c r="U7" i="6" l="1"/>
  <c r="R7" i="6"/>
  <c r="Q7" i="6"/>
  <c r="P7" i="6"/>
  <c r="F25" i="1" s="1"/>
  <c r="O7" i="6"/>
  <c r="N7" i="6"/>
  <c r="M7" i="6"/>
  <c r="U8" i="6"/>
  <c r="M8" i="6"/>
  <c r="P8" i="6" l="1"/>
  <c r="N8" i="6"/>
  <c r="D25" i="1"/>
  <c r="O8" i="6"/>
  <c r="E25" i="1"/>
  <c r="Q8" i="6"/>
  <c r="R8" i="6"/>
  <c r="G9" i="1"/>
  <c r="H18" i="1" l="1"/>
  <c r="S41" i="7" l="1"/>
  <c r="S42" i="7" s="1"/>
  <c r="R41" i="7"/>
  <c r="R42" i="7" s="1"/>
  <c r="Q41" i="7"/>
  <c r="Q42" i="7" s="1"/>
  <c r="P41" i="7"/>
  <c r="P42" i="7" s="1"/>
  <c r="O41" i="7"/>
  <c r="O42" i="7" s="1"/>
  <c r="N41" i="7"/>
  <c r="N42" i="7" s="1"/>
  <c r="M41" i="7"/>
  <c r="M42" i="7" s="1"/>
  <c r="O23" i="4"/>
  <c r="N23" i="4"/>
  <c r="L23" i="4"/>
  <c r="R23" i="4" l="1"/>
  <c r="M23" i="4"/>
  <c r="K23" i="4"/>
  <c r="G18" i="1" l="1"/>
  <c r="F18" i="1"/>
  <c r="E18" i="1"/>
  <c r="L18" i="1" l="1"/>
  <c r="G15" i="1"/>
  <c r="AB19" i="6" l="1"/>
  <c r="AA19" i="6"/>
  <c r="Z19" i="6"/>
  <c r="Y19" i="6"/>
  <c r="I57" i="1"/>
  <c r="H57" i="1"/>
  <c r="G57" i="1"/>
  <c r="F57" i="1"/>
  <c r="E57" i="1"/>
  <c r="D57" i="1"/>
  <c r="C57" i="1"/>
  <c r="I44" i="1"/>
  <c r="H44" i="1"/>
  <c r="G44" i="1"/>
  <c r="F44" i="1"/>
  <c r="E44" i="1"/>
  <c r="D44" i="1"/>
  <c r="C44" i="1"/>
  <c r="H43" i="1"/>
  <c r="G43" i="1"/>
  <c r="F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5" i="1"/>
  <c r="C25" i="1"/>
  <c r="I24" i="1"/>
  <c r="H24" i="1"/>
  <c r="G24" i="1"/>
  <c r="F24" i="1"/>
  <c r="E24" i="1"/>
  <c r="D24" i="1"/>
  <c r="C24" i="1"/>
  <c r="R10" i="5"/>
  <c r="R9" i="5"/>
  <c r="R8" i="5"/>
  <c r="R7" i="5"/>
  <c r="R5" i="5"/>
  <c r="R4" i="5"/>
  <c r="R3" i="5"/>
  <c r="V6" i="6"/>
  <c r="V5" i="6"/>
  <c r="V4" i="6"/>
  <c r="V3" i="6"/>
  <c r="AD25" i="7"/>
  <c r="AD24" i="7"/>
  <c r="AD23" i="7"/>
  <c r="AD22" i="7"/>
  <c r="AD21" i="7"/>
  <c r="AD20" i="7"/>
  <c r="AD19" i="7"/>
  <c r="AD18" i="7"/>
  <c r="AD17" i="7"/>
  <c r="AD16" i="7"/>
  <c r="AC25" i="7"/>
  <c r="AC24" i="7"/>
  <c r="AC23" i="7"/>
  <c r="AC22" i="7"/>
  <c r="AC21" i="7"/>
  <c r="AC20" i="7"/>
  <c r="AC19" i="7"/>
  <c r="AC18" i="7"/>
  <c r="AC17" i="7"/>
  <c r="AC16" i="7"/>
  <c r="AB25" i="7"/>
  <c r="AB24" i="7"/>
  <c r="AB23" i="7"/>
  <c r="AB22" i="7"/>
  <c r="AB21" i="7"/>
  <c r="AB20" i="7"/>
  <c r="AB19" i="7"/>
  <c r="AB18" i="7"/>
  <c r="AB17" i="7"/>
  <c r="AB16" i="7"/>
  <c r="AA25" i="7"/>
  <c r="AA24" i="7"/>
  <c r="AA23" i="7"/>
  <c r="AA22" i="7"/>
  <c r="AA21" i="7"/>
  <c r="AA20" i="7"/>
  <c r="AA19" i="7"/>
  <c r="AA18" i="7"/>
  <c r="AA17" i="7"/>
  <c r="AA16" i="7"/>
  <c r="Z25" i="7"/>
  <c r="Z24" i="7"/>
  <c r="Z23" i="7"/>
  <c r="Z22" i="7"/>
  <c r="Z21" i="7"/>
  <c r="Z20" i="7"/>
  <c r="Z19" i="7"/>
  <c r="Z18" i="7"/>
  <c r="Z17" i="7"/>
  <c r="Z16" i="7"/>
  <c r="Y25" i="7"/>
  <c r="Y24" i="7"/>
  <c r="Y23" i="7"/>
  <c r="Y22" i="7"/>
  <c r="Y21" i="7"/>
  <c r="Y20" i="7"/>
  <c r="Y19" i="7"/>
  <c r="Y18" i="7"/>
  <c r="Y17" i="7"/>
  <c r="Y16" i="7"/>
  <c r="X25" i="7"/>
  <c r="X24" i="7"/>
  <c r="X23" i="7"/>
  <c r="X22" i="7"/>
  <c r="X21" i="7"/>
  <c r="X20" i="7"/>
  <c r="X19" i="7"/>
  <c r="X18" i="7"/>
  <c r="X17" i="7"/>
  <c r="X16" i="7"/>
  <c r="L25" i="1" l="1"/>
  <c r="L29" i="1"/>
  <c r="L31" i="1"/>
  <c r="L33" i="1"/>
  <c r="L35" i="1"/>
  <c r="L37" i="1"/>
  <c r="L40" i="1"/>
  <c r="L42" i="1"/>
  <c r="L44" i="1"/>
  <c r="L24" i="1"/>
  <c r="L28" i="1"/>
  <c r="L30" i="1"/>
  <c r="L32" i="1"/>
  <c r="L34" i="1"/>
  <c r="L36" i="1"/>
  <c r="L38" i="1"/>
  <c r="L39" i="1"/>
  <c r="L41" i="1"/>
  <c r="L43" i="1"/>
  <c r="L57" i="1"/>
  <c r="R11" i="5"/>
  <c r="R12" i="5" s="1"/>
  <c r="V41" i="7"/>
  <c r="V42" i="7" s="1"/>
  <c r="V7" i="6"/>
  <c r="V8" i="6" s="1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K6" i="6"/>
  <c r="K5" i="6"/>
  <c r="K4" i="6"/>
  <c r="K3" i="6"/>
  <c r="I10" i="5"/>
  <c r="I9" i="5"/>
  <c r="I8" i="5"/>
  <c r="I7" i="5"/>
  <c r="I5" i="5"/>
  <c r="I4" i="5"/>
  <c r="I3" i="5"/>
  <c r="AA20" i="4"/>
  <c r="AA19" i="4"/>
  <c r="AA17" i="4"/>
  <c r="AA16" i="4"/>
  <c r="AA15" i="4"/>
  <c r="AA14" i="4"/>
  <c r="AA13" i="4"/>
  <c r="AA11" i="4"/>
  <c r="AA10" i="4"/>
  <c r="AA9" i="4"/>
  <c r="AA7" i="4"/>
  <c r="AA6" i="4"/>
  <c r="AA4" i="4"/>
  <c r="K7" i="6" l="1"/>
  <c r="K8" i="6" s="1"/>
  <c r="I11" i="5"/>
  <c r="I12" i="5" s="1"/>
  <c r="AD41" i="7"/>
  <c r="AD42" i="7" s="1"/>
  <c r="G41" i="7"/>
  <c r="AC41" i="7" s="1"/>
  <c r="AC42" i="7" s="1"/>
  <c r="F41" i="7"/>
  <c r="F42" i="7" s="1"/>
  <c r="E41" i="7"/>
  <c r="AA41" i="7" s="1"/>
  <c r="AA42" i="7" s="1"/>
  <c r="D41" i="7"/>
  <c r="D42" i="7" s="1"/>
  <c r="C41" i="7"/>
  <c r="Y41" i="7" s="1"/>
  <c r="Y42" i="7" s="1"/>
  <c r="B41" i="7"/>
  <c r="B42" i="7" s="1"/>
  <c r="AD15" i="7"/>
  <c r="AC15" i="7"/>
  <c r="AB15" i="7"/>
  <c r="AA15" i="7"/>
  <c r="Z15" i="7"/>
  <c r="Y15" i="7"/>
  <c r="X15" i="7"/>
  <c r="AD14" i="7"/>
  <c r="AC14" i="7"/>
  <c r="AB14" i="7"/>
  <c r="AA14" i="7"/>
  <c r="Z14" i="7"/>
  <c r="Y14" i="7"/>
  <c r="X14" i="7"/>
  <c r="AD13" i="7"/>
  <c r="AC13" i="7"/>
  <c r="AB13" i="7"/>
  <c r="AA13" i="7"/>
  <c r="Z13" i="7"/>
  <c r="Y13" i="7"/>
  <c r="X13" i="7"/>
  <c r="AD12" i="7"/>
  <c r="AC12" i="7"/>
  <c r="AB12" i="7"/>
  <c r="AA12" i="7"/>
  <c r="Z12" i="7"/>
  <c r="Y12" i="7"/>
  <c r="X12" i="7"/>
  <c r="AD11" i="7"/>
  <c r="AC11" i="7"/>
  <c r="AB11" i="7"/>
  <c r="AA11" i="7"/>
  <c r="Z11" i="7"/>
  <c r="Y11" i="7"/>
  <c r="X11" i="7"/>
  <c r="AD10" i="7"/>
  <c r="AC10" i="7"/>
  <c r="AB10" i="7"/>
  <c r="AA10" i="7"/>
  <c r="Z10" i="7"/>
  <c r="Y10" i="7"/>
  <c r="X10" i="7"/>
  <c r="AD9" i="7"/>
  <c r="AC9" i="7"/>
  <c r="AB9" i="7"/>
  <c r="AA9" i="7"/>
  <c r="Z9" i="7"/>
  <c r="Y9" i="7"/>
  <c r="X9" i="7"/>
  <c r="AD8" i="7"/>
  <c r="AC8" i="7"/>
  <c r="AB8" i="7"/>
  <c r="AA8" i="7"/>
  <c r="Z8" i="7"/>
  <c r="Y8" i="7"/>
  <c r="X8" i="7"/>
  <c r="AD7" i="7"/>
  <c r="AC7" i="7"/>
  <c r="AB7" i="7"/>
  <c r="AA7" i="7"/>
  <c r="Z7" i="7"/>
  <c r="Y7" i="7"/>
  <c r="X7" i="7"/>
  <c r="AD6" i="7"/>
  <c r="AC6" i="7"/>
  <c r="AB6" i="7"/>
  <c r="AA6" i="7"/>
  <c r="Z6" i="7"/>
  <c r="Y6" i="7"/>
  <c r="X6" i="7"/>
  <c r="AD5" i="7"/>
  <c r="AC5" i="7"/>
  <c r="AB5" i="7"/>
  <c r="AA5" i="7"/>
  <c r="Z5" i="7"/>
  <c r="Y5" i="7"/>
  <c r="X5" i="7"/>
  <c r="AD4" i="7"/>
  <c r="AC4" i="7"/>
  <c r="AB4" i="7"/>
  <c r="AA4" i="7"/>
  <c r="Z4" i="7"/>
  <c r="Y4" i="7"/>
  <c r="X4" i="7"/>
  <c r="AD3" i="7"/>
  <c r="AC3" i="7"/>
  <c r="AB3" i="7"/>
  <c r="AA3" i="7"/>
  <c r="Z3" i="7"/>
  <c r="Y3" i="7"/>
  <c r="X3" i="7"/>
  <c r="AG41" i="7" l="1"/>
  <c r="AG42" i="7" s="1"/>
  <c r="X41" i="7"/>
  <c r="X42" i="7" s="1"/>
  <c r="Z41" i="7"/>
  <c r="Z42" i="7" s="1"/>
  <c r="AB41" i="7"/>
  <c r="AB42" i="7" s="1"/>
  <c r="C42" i="7"/>
  <c r="E42" i="7"/>
  <c r="G42" i="7"/>
  <c r="AG8" i="6" l="1"/>
  <c r="AG7" i="6"/>
  <c r="AF7" i="6"/>
  <c r="AG6" i="6"/>
  <c r="AF6" i="6"/>
  <c r="AC6" i="6"/>
  <c r="AB6" i="6"/>
  <c r="AA6" i="6"/>
  <c r="Z6" i="6"/>
  <c r="Y6" i="6"/>
  <c r="AG5" i="6"/>
  <c r="AF5" i="6"/>
  <c r="AC5" i="6"/>
  <c r="AB5" i="6"/>
  <c r="AA5" i="6"/>
  <c r="Z5" i="6"/>
  <c r="Y5" i="6"/>
  <c r="AG4" i="6"/>
  <c r="AF4" i="6"/>
  <c r="AC4" i="6"/>
  <c r="AB4" i="6"/>
  <c r="AA4" i="6"/>
  <c r="Z4" i="6"/>
  <c r="Y4" i="6"/>
  <c r="AG3" i="6"/>
  <c r="AF3" i="6"/>
  <c r="AC3" i="6"/>
  <c r="AB3" i="6"/>
  <c r="AA3" i="6"/>
  <c r="Z3" i="6"/>
  <c r="Y3" i="6"/>
  <c r="X6" i="6"/>
  <c r="X5" i="6"/>
  <c r="X4" i="6"/>
  <c r="X3" i="6"/>
  <c r="AA11" i="5"/>
  <c r="AA12" i="5" s="1"/>
  <c r="Z11" i="5"/>
  <c r="Z12" i="5" s="1"/>
  <c r="AA10" i="5"/>
  <c r="Z10" i="5"/>
  <c r="Y10" i="5"/>
  <c r="X10" i="5"/>
  <c r="W10" i="5"/>
  <c r="V10" i="5"/>
  <c r="U10" i="5"/>
  <c r="AA9" i="5"/>
  <c r="Z9" i="5"/>
  <c r="Y9" i="5"/>
  <c r="X9" i="5"/>
  <c r="W9" i="5"/>
  <c r="V9" i="5"/>
  <c r="U9" i="5"/>
  <c r="AA8" i="5"/>
  <c r="Z8" i="5"/>
  <c r="Y8" i="5"/>
  <c r="X8" i="5"/>
  <c r="W8" i="5"/>
  <c r="V8" i="5"/>
  <c r="U8" i="5"/>
  <c r="AA7" i="5"/>
  <c r="Z7" i="5"/>
  <c r="Y7" i="5"/>
  <c r="X7" i="5"/>
  <c r="W7" i="5"/>
  <c r="V7" i="5"/>
  <c r="U7" i="5"/>
  <c r="AA5" i="5"/>
  <c r="Z5" i="5"/>
  <c r="Y5" i="5"/>
  <c r="X5" i="5"/>
  <c r="W5" i="5"/>
  <c r="V5" i="5"/>
  <c r="U5" i="5"/>
  <c r="AA4" i="5"/>
  <c r="Z4" i="5"/>
  <c r="Y4" i="5"/>
  <c r="X4" i="5"/>
  <c r="W4" i="5"/>
  <c r="V4" i="5"/>
  <c r="U4" i="5"/>
  <c r="AA3" i="5"/>
  <c r="Z3" i="5"/>
  <c r="Y3" i="5"/>
  <c r="X3" i="5"/>
  <c r="W3" i="5"/>
  <c r="V3" i="5"/>
  <c r="U3" i="5"/>
  <c r="T10" i="5"/>
  <c r="T9" i="5"/>
  <c r="T8" i="5"/>
  <c r="T7" i="5"/>
  <c r="T5" i="5"/>
  <c r="T4" i="5"/>
  <c r="T3" i="5"/>
  <c r="X22" i="4"/>
  <c r="X23" i="4" s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H19" i="1"/>
  <c r="G19" i="1"/>
  <c r="F19" i="1"/>
  <c r="E19" i="1"/>
  <c r="I17" i="1"/>
  <c r="H17" i="1"/>
  <c r="G17" i="1"/>
  <c r="F17" i="1"/>
  <c r="E17" i="1"/>
  <c r="I16" i="1"/>
  <c r="H16" i="1"/>
  <c r="G16" i="1"/>
  <c r="F16" i="1"/>
  <c r="E16" i="1"/>
  <c r="I15" i="1"/>
  <c r="H15" i="1"/>
  <c r="F15" i="1"/>
  <c r="E15" i="1"/>
  <c r="I14" i="1"/>
  <c r="H14" i="1"/>
  <c r="G14" i="1"/>
  <c r="F14" i="1"/>
  <c r="E14" i="1"/>
  <c r="I12" i="1"/>
  <c r="H12" i="1"/>
  <c r="G12" i="1"/>
  <c r="F12" i="1"/>
  <c r="E12" i="1"/>
  <c r="I11" i="1"/>
  <c r="H11" i="1"/>
  <c r="G11" i="1"/>
  <c r="F11" i="1"/>
  <c r="E11" i="1"/>
  <c r="I9" i="1"/>
  <c r="H9" i="1"/>
  <c r="F9" i="1"/>
  <c r="E9" i="1"/>
  <c r="I8" i="1"/>
  <c r="H8" i="1"/>
  <c r="G8" i="1"/>
  <c r="F8" i="1"/>
  <c r="E8" i="1"/>
  <c r="I6" i="1"/>
  <c r="H6" i="1"/>
  <c r="G6" i="1"/>
  <c r="F6" i="1"/>
  <c r="E6" i="1"/>
  <c r="I5" i="1"/>
  <c r="H5" i="1"/>
  <c r="G5" i="1"/>
  <c r="F5" i="1"/>
  <c r="E5" i="1"/>
  <c r="L6" i="1" l="1"/>
  <c r="L11" i="1"/>
  <c r="L17" i="1"/>
  <c r="L21" i="1"/>
  <c r="L23" i="1"/>
  <c r="L9" i="1"/>
  <c r="L5" i="1"/>
  <c r="L8" i="1"/>
  <c r="L15" i="1"/>
  <c r="L16" i="1"/>
  <c r="L22" i="1"/>
  <c r="L14" i="1"/>
  <c r="L12" i="1"/>
  <c r="L19" i="1"/>
  <c r="T11" i="5"/>
  <c r="T12" i="5" s="1"/>
  <c r="G7" i="6" l="1"/>
  <c r="F7" i="6"/>
  <c r="E7" i="6"/>
  <c r="D7" i="6"/>
  <c r="C7" i="6"/>
  <c r="B7" i="6"/>
  <c r="G11" i="5"/>
  <c r="Y11" i="5" s="1"/>
  <c r="Y12" i="5" s="1"/>
  <c r="F11" i="5"/>
  <c r="E11" i="5"/>
  <c r="D11" i="5"/>
  <c r="C11" i="5"/>
  <c r="B11" i="5"/>
  <c r="U22" i="4"/>
  <c r="U23" i="4" s="1"/>
  <c r="W22" i="4" l="1"/>
  <c r="W23" i="4" s="1"/>
  <c r="AA22" i="4"/>
  <c r="AA23" i="4" s="1"/>
  <c r="AC7" i="6"/>
  <c r="AC8" i="6" s="1"/>
  <c r="G8" i="6"/>
  <c r="T23" i="4"/>
  <c r="E23" i="4"/>
  <c r="D23" i="4"/>
  <c r="V22" i="4"/>
  <c r="V23" i="4" s="1"/>
  <c r="B12" i="5"/>
  <c r="V11" i="5"/>
  <c r="V12" i="5" s="1"/>
  <c r="D12" i="5"/>
  <c r="X11" i="5"/>
  <c r="X12" i="5" s="1"/>
  <c r="F12" i="5"/>
  <c r="B8" i="6"/>
  <c r="X8" i="6" s="1"/>
  <c r="X7" i="6"/>
  <c r="Z7" i="6"/>
  <c r="Z8" i="6" s="1"/>
  <c r="D8" i="6"/>
  <c r="AB7" i="6"/>
  <c r="AB8" i="6" s="1"/>
  <c r="F8" i="6"/>
  <c r="B23" i="4"/>
  <c r="I23" i="4" s="1"/>
  <c r="U11" i="5"/>
  <c r="U12" i="5" s="1"/>
  <c r="C12" i="5"/>
  <c r="W11" i="5"/>
  <c r="W12" i="5" s="1"/>
  <c r="E12" i="5"/>
  <c r="Y7" i="6"/>
  <c r="Y8" i="6" s="1"/>
  <c r="C8" i="6"/>
  <c r="AA7" i="6"/>
  <c r="AA8" i="6" s="1"/>
  <c r="E8" i="6"/>
  <c r="C23" i="4"/>
  <c r="I27" i="1" l="1"/>
  <c r="I58" i="1" s="1"/>
  <c r="I59" i="1" s="1"/>
  <c r="I60" i="1" s="1"/>
  <c r="E27" i="1"/>
  <c r="E58" i="1" s="1"/>
  <c r="E59" i="1" s="1"/>
  <c r="E60" i="1" s="1"/>
  <c r="F27" i="1"/>
  <c r="F58" i="1" s="1"/>
  <c r="F59" i="1" s="1"/>
  <c r="F60" i="1" s="1"/>
  <c r="H27" i="1"/>
  <c r="H58" i="1" s="1"/>
  <c r="H59" i="1" s="1"/>
  <c r="H60" i="1" s="1"/>
  <c r="G27" i="1"/>
  <c r="D27" i="1"/>
  <c r="D58" i="1" s="1"/>
  <c r="D59" i="1" s="1"/>
  <c r="D60" i="1" s="1"/>
  <c r="C27" i="1"/>
  <c r="L27" i="1" l="1"/>
  <c r="L58" i="1" s="1"/>
  <c r="L59" i="1" s="1"/>
  <c r="L60" i="1" s="1"/>
  <c r="C58" i="1"/>
  <c r="C59" i="1" s="1"/>
  <c r="C60" i="1" s="1"/>
  <c r="G58" i="1"/>
  <c r="G59" i="1" s="1"/>
  <c r="G60" i="1" s="1"/>
</calcChain>
</file>

<file path=xl/comments1.xml><?xml version="1.0" encoding="utf-8"?>
<comments xmlns="http://schemas.openxmlformats.org/spreadsheetml/2006/main">
  <authors>
    <author>Author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Debit note Amt Recd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C-form is with Mr.Anil
confirmed on 05/02/15</t>
        </r>
      </text>
    </comment>
  </commentList>
</comments>
</file>

<file path=xl/sharedStrings.xml><?xml version="1.0" encoding="utf-8"?>
<sst xmlns="http://schemas.openxmlformats.org/spreadsheetml/2006/main" count="281" uniqueCount="94">
  <si>
    <t>Customer</t>
  </si>
  <si>
    <t>TOTAL</t>
  </si>
  <si>
    <t xml:space="preserve">Amway </t>
  </si>
  <si>
    <t>Canteen Stores Department</t>
  </si>
  <si>
    <t>Heghde &amp; Heghde</t>
  </si>
  <si>
    <t>Johnson &amp; Johnson</t>
  </si>
  <si>
    <t>Jyothy Consumer</t>
  </si>
  <si>
    <t>Nivea India</t>
  </si>
  <si>
    <t>Oriflame</t>
  </si>
  <si>
    <t>Pfizer</t>
  </si>
  <si>
    <t>Piramal</t>
  </si>
  <si>
    <t>Reckitt</t>
  </si>
  <si>
    <t>Synergy</t>
  </si>
  <si>
    <t xml:space="preserve">P Z Cussons </t>
  </si>
  <si>
    <t>Wipro</t>
  </si>
  <si>
    <t>TTL</t>
  </si>
  <si>
    <t>2008-09</t>
  </si>
  <si>
    <t>2009-10</t>
  </si>
  <si>
    <t>2010-11</t>
  </si>
  <si>
    <t>2011-12</t>
  </si>
  <si>
    <t>2012-13</t>
  </si>
  <si>
    <t>2013-14</t>
  </si>
  <si>
    <t xml:space="preserve">Total </t>
  </si>
  <si>
    <t>2014-15</t>
  </si>
  <si>
    <t>Received</t>
  </si>
  <si>
    <t>Balance</t>
  </si>
  <si>
    <t>Total</t>
  </si>
  <si>
    <t>Cadila Pharmaceuticals Ltd</t>
  </si>
  <si>
    <t>Viechow health care pvt Ltd</t>
  </si>
  <si>
    <t>Pudumjee Hygiene Products Ltd.</t>
  </si>
  <si>
    <t>Minikem</t>
  </si>
  <si>
    <t>Apollo Hospitalas Ent Ltd</t>
  </si>
  <si>
    <t>Recitt Benckiser ( india ) Ltd</t>
  </si>
  <si>
    <t>Fideliity</t>
  </si>
  <si>
    <t>Jagsonpal</t>
  </si>
  <si>
    <t>Sippy</t>
  </si>
  <si>
    <t>Hicks</t>
  </si>
  <si>
    <t>Global</t>
  </si>
  <si>
    <t>Nebulla</t>
  </si>
  <si>
    <t>Cosmo</t>
  </si>
  <si>
    <t>Colgate-Palmolive (India ) Ltd</t>
  </si>
  <si>
    <t>Kanti Engineering Works</t>
  </si>
  <si>
    <t>Piramal Health care Ltd</t>
  </si>
  <si>
    <t>Belim health Care</t>
  </si>
  <si>
    <t>Dr. Morepen</t>
  </si>
  <si>
    <t>G.M Indusreis</t>
  </si>
  <si>
    <t>Safetec Healthcare &amp; Hygiene pvt Ltd</t>
  </si>
  <si>
    <t>MHS Pharmaceuticals Pvt Ltd</t>
  </si>
  <si>
    <t>Nutramedica INC</t>
  </si>
  <si>
    <t>Triwon Marketing Pvt Ltd.</t>
  </si>
  <si>
    <t>CSD</t>
  </si>
  <si>
    <t>Safetech healthcare &amp; hygiene pvt ltd .</t>
  </si>
  <si>
    <t>MHS Pharmaceuticals pvt ltd.</t>
  </si>
  <si>
    <t>Triwon marketing pvt ltd.</t>
  </si>
  <si>
    <t>Synergy India Marketing Pvt Ltd</t>
  </si>
  <si>
    <r>
      <rPr>
        <b/>
        <sz val="14"/>
        <color rgb="FFFF0000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  <scheme val="minor"/>
      </rPr>
      <t>Below mentioned C-forms are with us for correction</t>
    </r>
  </si>
  <si>
    <t>BHANDORA ORGANIC PRODUCTS</t>
  </si>
  <si>
    <t>Kepler Healthcare Pvt Ltd</t>
  </si>
  <si>
    <t>Updated on 22/07/2015</t>
  </si>
  <si>
    <t>Debit Note to be send - this week end</t>
  </si>
  <si>
    <t>form will not come</t>
  </si>
  <si>
    <t>Application will be done next week.</t>
  </si>
  <si>
    <t>Debit Note to be send - week end upto 13-14</t>
  </si>
  <si>
    <t>Received &amp; Closed</t>
  </si>
  <si>
    <t xml:space="preserve">bangalore client will </t>
  </si>
  <si>
    <t>Xavier/Utsav will  talk to client</t>
  </si>
  <si>
    <t xml:space="preserve">will followup </t>
  </si>
  <si>
    <t>2015-16</t>
  </si>
  <si>
    <t>ITC</t>
  </si>
  <si>
    <t>Henkel</t>
  </si>
  <si>
    <t>Piramal-H-Form</t>
  </si>
  <si>
    <t>Johnson &amp; Johnson-H-Form</t>
  </si>
  <si>
    <t>Oriflame-H-Form</t>
  </si>
  <si>
    <t>Pending C-Form Status as on 01.04.2016</t>
  </si>
  <si>
    <t>Kepler Healthcare pvt ld</t>
  </si>
  <si>
    <t>Bhandora Organics products</t>
  </si>
  <si>
    <t>Oriflame-H-Forms</t>
  </si>
  <si>
    <t>Avenue Supermarts Ltd</t>
  </si>
  <si>
    <t>2016-17</t>
  </si>
  <si>
    <t>Sun Pharma</t>
  </si>
  <si>
    <t>2016-17upto 3rd qtr</t>
  </si>
  <si>
    <t>MHS Pharmaceuticals</t>
  </si>
  <si>
    <t>Atul medicals</t>
  </si>
  <si>
    <t>Mahavir Medical and Surgical</t>
  </si>
  <si>
    <t>Shubhan Surgimed Pvt Ltd</t>
  </si>
  <si>
    <t>CHETNA ENTERPRISES</t>
  </si>
  <si>
    <t>SLK Technosystems</t>
  </si>
  <si>
    <t>SOFTSENS CONSUMER PRODUCTS PRI</t>
  </si>
  <si>
    <t>RONAK PHARMA</t>
  </si>
  <si>
    <t>IMPACT BIOMEDICAL</t>
  </si>
  <si>
    <t>Indian Chemicals Agency</t>
  </si>
  <si>
    <t>ISHAN LIFESCIENCES</t>
  </si>
  <si>
    <t>PAWANHANS MEDICARE</t>
  </si>
  <si>
    <t>Pending C-Form Status from  01.04.2017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</si>
</sst>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rgb="FF1F497D"/>
      <name val="Calibri"/>
      <family val="2"/>
      <scheme val="minor"/>
    </font>
    <font>
      <sz val="11"/>
      <color rgb="FF1F497D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0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6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1" fillId="4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1" fillId="47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1" fillId="4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1" fillId="49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1" fillId="5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1" fillId="5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1" fillId="5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1" fillId="4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1" fillId="48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1" fillId="53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2" fillId="37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3" fillId="54" borderId="16" applyNumberFormat="0" applyAlignment="0" applyProtection="0"/>
    <xf numFmtId="0" fontId="14" fillId="6" borderId="10" applyNumberFormat="0" applyAlignment="0" applyProtection="0"/>
    <xf numFmtId="0" fontId="14" fillId="6" borderId="10" applyNumberFormat="0" applyAlignment="0" applyProtection="0"/>
    <xf numFmtId="0" fontId="24" fillId="55" borderId="17" applyNumberFormat="0" applyAlignment="0" applyProtection="0"/>
    <xf numFmtId="0" fontId="16" fillId="7" borderId="13" applyNumberFormat="0" applyAlignment="0" applyProtection="0"/>
    <xf numFmtId="0" fontId="16" fillId="7" borderId="13" applyNumberFormat="0" applyAlignment="0" applyProtection="0"/>
    <xf numFmtId="164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38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8" fillId="0" borderId="18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29" fillId="0" borderId="19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30" fillId="0" borderId="20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41" borderId="16" applyNumberFormat="0" applyAlignment="0" applyProtection="0"/>
    <xf numFmtId="0" fontId="12" fillId="5" borderId="10" applyNumberFormat="0" applyAlignment="0" applyProtection="0"/>
    <xf numFmtId="0" fontId="12" fillId="5" borderId="10" applyNumberFormat="0" applyAlignment="0" applyProtection="0"/>
    <xf numFmtId="0" fontId="32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33" fillId="5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/>
    <xf numFmtId="0" fontId="20" fillId="57" borderId="22" applyNumberFormat="0" applyFont="0" applyAlignment="0" applyProtection="0"/>
    <xf numFmtId="0" fontId="1" fillId="8" borderId="14" applyNumberFormat="0" applyFont="0" applyAlignment="0" applyProtection="0"/>
    <xf numFmtId="0" fontId="1" fillId="8" borderId="14" applyNumberFormat="0" applyFont="0" applyAlignment="0" applyProtection="0"/>
    <xf numFmtId="0" fontId="34" fillId="54" borderId="23" applyNumberFormat="0" applyAlignment="0" applyProtection="0"/>
    <xf numFmtId="0" fontId="13" fillId="6" borderId="11" applyNumberFormat="0" applyAlignment="0" applyProtection="0"/>
    <xf numFmtId="0" fontId="13" fillId="6" borderId="11" applyNumberFormat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5" xfId="2" applyFont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165" fontId="4" fillId="0" borderId="5" xfId="1" applyNumberFormat="1" applyFont="1" applyBorder="1" applyAlignment="1">
      <alignment horizontal="center"/>
    </xf>
    <xf numFmtId="0" fontId="0" fillId="0" borderId="25" xfId="0" applyBorder="1"/>
    <xf numFmtId="165" fontId="0" fillId="0" borderId="25" xfId="0" applyNumberFormat="1" applyBorder="1"/>
    <xf numFmtId="0" fontId="3" fillId="0" borderId="0" xfId="2" applyFont="1"/>
    <xf numFmtId="0" fontId="39" fillId="33" borderId="0" xfId="0" applyFont="1" applyFill="1"/>
    <xf numFmtId="0" fontId="39" fillId="0" borderId="0" xfId="0" applyFont="1"/>
    <xf numFmtId="0" fontId="3" fillId="34" borderId="0" xfId="2" applyFont="1" applyFill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165" fontId="39" fillId="0" borderId="0" xfId="1" applyNumberFormat="1" applyFont="1"/>
    <xf numFmtId="165" fontId="39" fillId="0" borderId="0" xfId="0" applyNumberFormat="1" applyFont="1"/>
    <xf numFmtId="165" fontId="3" fillId="0" borderId="0" xfId="1" applyNumberFormat="1" applyFont="1" applyAlignment="1">
      <alignment horizontal="right"/>
    </xf>
    <xf numFmtId="165" fontId="38" fillId="35" borderId="0" xfId="1" applyNumberFormat="1" applyFont="1" applyFill="1"/>
    <xf numFmtId="43" fontId="39" fillId="0" borderId="0" xfId="1" applyFont="1"/>
    <xf numFmtId="0" fontId="39" fillId="0" borderId="25" xfId="0" applyFont="1" applyBorder="1"/>
    <xf numFmtId="165" fontId="39" fillId="0" borderId="25" xfId="0" applyNumberFormat="1" applyFont="1" applyBorder="1"/>
    <xf numFmtId="0" fontId="3" fillId="34" borderId="25" xfId="2" applyFont="1" applyFill="1" applyBorder="1"/>
    <xf numFmtId="1" fontId="3" fillId="0" borderId="0" xfId="2" applyNumberFormat="1" applyFont="1"/>
    <xf numFmtId="1" fontId="38" fillId="35" borderId="0" xfId="2" applyNumberFormat="1" applyFont="1" applyFill="1"/>
    <xf numFmtId="1" fontId="39" fillId="0" borderId="0" xfId="0" applyNumberFormat="1" applyFont="1"/>
    <xf numFmtId="0" fontId="40" fillId="0" borderId="0" xfId="0" applyFont="1"/>
    <xf numFmtId="0" fontId="40" fillId="0" borderId="0" xfId="0" applyFont="1" applyAlignment="1">
      <alignment horizontal="center"/>
    </xf>
    <xf numFmtId="43" fontId="40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/>
    <xf numFmtId="0" fontId="41" fillId="0" borderId="4" xfId="0" applyFont="1" applyBorder="1"/>
    <xf numFmtId="0" fontId="41" fillId="0" borderId="1" xfId="0" applyFont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5" xfId="0" applyFont="1" applyBorder="1"/>
    <xf numFmtId="0" fontId="41" fillId="0" borderId="5" xfId="0" applyFont="1" applyBorder="1" applyAlignment="1">
      <alignment horizontal="center"/>
    </xf>
    <xf numFmtId="165" fontId="41" fillId="0" borderId="4" xfId="1" applyNumberFormat="1" applyFont="1" applyBorder="1" applyAlignment="1">
      <alignment horizontal="center"/>
    </xf>
    <xf numFmtId="165" fontId="41" fillId="0" borderId="2" xfId="1" applyNumberFormat="1" applyFont="1" applyBorder="1" applyAlignment="1">
      <alignment horizontal="center"/>
    </xf>
    <xf numFmtId="165" fontId="41" fillId="0" borderId="3" xfId="1" applyNumberFormat="1" applyFont="1" applyBorder="1" applyAlignment="1">
      <alignment horizontal="center"/>
    </xf>
    <xf numFmtId="165" fontId="41" fillId="0" borderId="0" xfId="0" applyNumberFormat="1" applyFont="1" applyAlignment="1">
      <alignment horizontal="center"/>
    </xf>
    <xf numFmtId="0" fontId="4" fillId="0" borderId="0" xfId="2" applyFont="1"/>
    <xf numFmtId="0" fontId="39" fillId="0" borderId="0" xfId="0" applyFont="1" applyBorder="1"/>
    <xf numFmtId="0" fontId="0" fillId="0" borderId="0" xfId="0" applyBorder="1"/>
    <xf numFmtId="165" fontId="39" fillId="0" borderId="0" xfId="0" applyNumberFormat="1" applyFont="1" applyBorder="1"/>
    <xf numFmtId="43" fontId="39" fillId="0" borderId="25" xfId="1" applyFont="1" applyBorder="1"/>
    <xf numFmtId="0" fontId="17" fillId="0" borderId="0" xfId="0" applyFont="1"/>
    <xf numFmtId="165" fontId="42" fillId="0" borderId="0" xfId="1" applyNumberFormat="1" applyFont="1"/>
    <xf numFmtId="165" fontId="39" fillId="33" borderId="26" xfId="0" applyNumberFormat="1" applyFont="1" applyFill="1" applyBorder="1"/>
    <xf numFmtId="165" fontId="0" fillId="33" borderId="25" xfId="0" applyNumberFormat="1" applyFill="1" applyBorder="1"/>
    <xf numFmtId="1" fontId="38" fillId="0" borderId="0" xfId="2" applyNumberFormat="1" applyFont="1" applyFill="1"/>
    <xf numFmtId="43" fontId="39" fillId="0" borderId="0" xfId="1" applyFont="1" applyFill="1"/>
    <xf numFmtId="1" fontId="39" fillId="0" borderId="0" xfId="0" applyNumberFormat="1" applyFont="1" applyBorder="1"/>
    <xf numFmtId="165" fontId="48" fillId="0" borderId="0" xfId="1" applyNumberFormat="1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0" fillId="0" borderId="0" xfId="0" applyBorder="1" applyAlignment="1">
      <alignment vertical="center" wrapText="1"/>
    </xf>
    <xf numFmtId="4" fontId="44" fillId="0" borderId="0" xfId="0" applyNumberFormat="1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43" fillId="0" borderId="0" xfId="0" applyFont="1" applyBorder="1" applyAlignment="1">
      <alignment vertical="center"/>
    </xf>
    <xf numFmtId="43" fontId="0" fillId="0" borderId="25" xfId="1" applyFont="1" applyBorder="1"/>
    <xf numFmtId="43" fontId="38" fillId="35" borderId="0" xfId="1" applyFont="1" applyFill="1"/>
    <xf numFmtId="165" fontId="39" fillId="0" borderId="25" xfId="1" applyNumberFormat="1" applyFont="1" applyBorder="1"/>
    <xf numFmtId="165" fontId="39" fillId="33" borderId="25" xfId="1" applyNumberFormat="1" applyFont="1" applyFill="1" applyBorder="1"/>
    <xf numFmtId="165" fontId="47" fillId="35" borderId="25" xfId="1" applyNumberFormat="1" applyFont="1" applyFill="1" applyBorder="1"/>
    <xf numFmtId="165" fontId="4" fillId="0" borderId="5" xfId="1" applyNumberFormat="1" applyFont="1" applyBorder="1" applyAlignment="1">
      <alignment horizontal="right"/>
    </xf>
    <xf numFmtId="165" fontId="4" fillId="0" borderId="3" xfId="1" applyNumberFormat="1" applyFont="1" applyBorder="1" applyAlignment="1">
      <alignment horizontal="center"/>
    </xf>
    <xf numFmtId="165" fontId="40" fillId="58" borderId="0" xfId="0" applyNumberFormat="1" applyFont="1" applyFill="1"/>
    <xf numFmtId="165" fontId="0" fillId="0" borderId="25" xfId="1" applyNumberFormat="1" applyFont="1" applyBorder="1"/>
    <xf numFmtId="0" fontId="0" fillId="0" borderId="0" xfId="0"/>
    <xf numFmtId="0" fontId="49" fillId="0" borderId="0" xfId="0" applyFont="1"/>
    <xf numFmtId="0" fontId="40" fillId="59" borderId="1" xfId="0" applyFont="1" applyFill="1" applyBorder="1"/>
    <xf numFmtId="165" fontId="40" fillId="59" borderId="1" xfId="1" applyNumberFormat="1" applyFont="1" applyFill="1" applyBorder="1" applyAlignment="1">
      <alignment horizontal="center"/>
    </xf>
    <xf numFmtId="165" fontId="40" fillId="59" borderId="6" xfId="1" applyNumberFormat="1" applyFont="1" applyFill="1" applyBorder="1" applyAlignment="1">
      <alignment horizontal="center"/>
    </xf>
    <xf numFmtId="0" fontId="40" fillId="59" borderId="0" xfId="0" applyFont="1" applyFill="1"/>
    <xf numFmtId="0" fontId="2" fillId="59" borderId="0" xfId="0" applyFont="1" applyFill="1"/>
    <xf numFmtId="165" fontId="42" fillId="0" borderId="0" xfId="1" applyNumberFormat="1" applyFont="1" applyAlignment="1">
      <alignment horizontal="center"/>
    </xf>
    <xf numFmtId="165" fontId="42" fillId="0" borderId="0" xfId="1" applyNumberFormat="1" applyFont="1" applyAlignment="1">
      <alignment horizontal="right"/>
    </xf>
    <xf numFmtId="43" fontId="39" fillId="0" borderId="25" xfId="0" applyNumberFormat="1" applyFont="1" applyBorder="1"/>
    <xf numFmtId="0" fontId="42" fillId="34" borderId="0" xfId="2" applyFont="1" applyFill="1"/>
    <xf numFmtId="165" fontId="39" fillId="0" borderId="0" xfId="1" applyNumberFormat="1" applyFont="1" applyBorder="1"/>
    <xf numFmtId="0" fontId="0" fillId="0" borderId="0" xfId="0" applyAlignment="1">
      <alignment vertical="top"/>
    </xf>
    <xf numFmtId="4" fontId="0" fillId="0" borderId="0" xfId="0" applyNumberFormat="1" applyBorder="1"/>
    <xf numFmtId="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41" fillId="0" borderId="0" xfId="0" applyFont="1" applyBorder="1"/>
    <xf numFmtId="0" fontId="41" fillId="0" borderId="0" xfId="0" applyFont="1" applyBorder="1" applyAlignment="1">
      <alignment vertical="top"/>
    </xf>
    <xf numFmtId="10" fontId="52" fillId="33" borderId="0" xfId="135" applyNumberFormat="1" applyFont="1" applyFill="1" applyAlignment="1">
      <alignment horizontal="center"/>
    </xf>
    <xf numFmtId="9" fontId="53" fillId="33" borderId="0" xfId="135" applyFont="1" applyFill="1"/>
    <xf numFmtId="9" fontId="54" fillId="33" borderId="0" xfId="135" applyFont="1" applyFill="1"/>
    <xf numFmtId="165" fontId="39" fillId="58" borderId="25" xfId="0" applyNumberFormat="1" applyFont="1" applyFill="1" applyBorder="1"/>
    <xf numFmtId="165" fontId="47" fillId="58" borderId="25" xfId="1" applyNumberFormat="1" applyFont="1" applyFill="1" applyBorder="1"/>
    <xf numFmtId="9" fontId="52" fillId="33" borderId="0" xfId="135" applyFont="1" applyFill="1" applyAlignment="1">
      <alignment horizontal="center"/>
    </xf>
    <xf numFmtId="9" fontId="54" fillId="33" borderId="0" xfId="0" applyNumberFormat="1" applyFont="1" applyFill="1"/>
    <xf numFmtId="0" fontId="53" fillId="33" borderId="0" xfId="0" applyFont="1" applyFill="1" applyBorder="1"/>
    <xf numFmtId="9" fontId="53" fillId="33" borderId="0" xfId="135" applyFont="1" applyFill="1" applyBorder="1"/>
    <xf numFmtId="43" fontId="40" fillId="0" borderId="0" xfId="1" applyFont="1"/>
    <xf numFmtId="43" fontId="47" fillId="0" borderId="0" xfId="1" applyFont="1"/>
    <xf numFmtId="165" fontId="47" fillId="0" borderId="0" xfId="0" applyNumberFormat="1" applyFont="1"/>
    <xf numFmtId="1" fontId="47" fillId="0" borderId="0" xfId="0" applyNumberFormat="1" applyFont="1"/>
    <xf numFmtId="0" fontId="47" fillId="0" borderId="0" xfId="0" applyFont="1"/>
    <xf numFmtId="0" fontId="2" fillId="0" borderId="0" xfId="0" applyFont="1"/>
  </cellXfs>
  <cellStyles count="136">
    <cellStyle name="20% - Accent1 2" xfId="3"/>
    <cellStyle name="20% - Accent1 2 2" xfId="4"/>
    <cellStyle name="20% - Accent1 3" xfId="5"/>
    <cellStyle name="20% - Accent2 2" xfId="6"/>
    <cellStyle name="20% - Accent2 2 2" xfId="7"/>
    <cellStyle name="20% - Accent2 3" xfId="8"/>
    <cellStyle name="20% - Accent3 2" xfId="9"/>
    <cellStyle name="20% - Accent3 2 2" xfId="10"/>
    <cellStyle name="20% - Accent3 3" xfId="11"/>
    <cellStyle name="20% - Accent4 2" xfId="12"/>
    <cellStyle name="20% - Accent4 2 2" xfId="13"/>
    <cellStyle name="20% - Accent4 3" xfId="14"/>
    <cellStyle name="20% - Accent5 2" xfId="15"/>
    <cellStyle name="20% - Accent5 2 2" xfId="16"/>
    <cellStyle name="20% - Accent5 3" xfId="17"/>
    <cellStyle name="20% - Accent6 2" xfId="18"/>
    <cellStyle name="20% - Accent6 2 2" xfId="19"/>
    <cellStyle name="20% - Accent6 3" xfId="20"/>
    <cellStyle name="40% - Accent1 2" xfId="21"/>
    <cellStyle name="40% - Accent1 2 2" xfId="22"/>
    <cellStyle name="40% - Accent1 3" xfId="23"/>
    <cellStyle name="40% - Accent2 2" xfId="24"/>
    <cellStyle name="40% - Accent2 2 2" xfId="25"/>
    <cellStyle name="40% - Accent2 3" xfId="26"/>
    <cellStyle name="40% - Accent3 2" xfId="27"/>
    <cellStyle name="40% - Accent3 2 2" xfId="28"/>
    <cellStyle name="40% - Accent3 3" xfId="29"/>
    <cellStyle name="40% - Accent4 2" xfId="30"/>
    <cellStyle name="40% - Accent4 2 2" xfId="31"/>
    <cellStyle name="40% - Accent4 3" xfId="32"/>
    <cellStyle name="40% - Accent5 2" xfId="33"/>
    <cellStyle name="40% - Accent5 2 2" xfId="34"/>
    <cellStyle name="40% - Accent5 3" xfId="35"/>
    <cellStyle name="40% - Accent6 2" xfId="36"/>
    <cellStyle name="40% - Accent6 2 2" xfId="37"/>
    <cellStyle name="40% - Accent6 3" xfId="38"/>
    <cellStyle name="60% - Accent1 2" xfId="39"/>
    <cellStyle name="60% - Accent1 2 2" xfId="40"/>
    <cellStyle name="60% - Accent1 3" xfId="41"/>
    <cellStyle name="60% - Accent2 2" xfId="42"/>
    <cellStyle name="60% - Accent2 2 2" xfId="43"/>
    <cellStyle name="60% - Accent2 3" xfId="44"/>
    <cellStyle name="60% - Accent3 2" xfId="45"/>
    <cellStyle name="60% - Accent3 2 2" xfId="46"/>
    <cellStyle name="60% - Accent3 3" xfId="47"/>
    <cellStyle name="60% - Accent4 2" xfId="48"/>
    <cellStyle name="60% - Accent4 2 2" xfId="49"/>
    <cellStyle name="60% - Accent4 3" xfId="50"/>
    <cellStyle name="60% - Accent5 2" xfId="51"/>
    <cellStyle name="60% - Accent5 2 2" xfId="52"/>
    <cellStyle name="60% - Accent5 3" xfId="53"/>
    <cellStyle name="60% - Accent6 2" xfId="54"/>
    <cellStyle name="60% - Accent6 2 2" xfId="55"/>
    <cellStyle name="60% - Accent6 3" xfId="56"/>
    <cellStyle name="Accent1 2" xfId="57"/>
    <cellStyle name="Accent1 2 2" xfId="58"/>
    <cellStyle name="Accent1 3" xfId="59"/>
    <cellStyle name="Accent2 2" xfId="60"/>
    <cellStyle name="Accent2 2 2" xfId="61"/>
    <cellStyle name="Accent2 3" xfId="62"/>
    <cellStyle name="Accent3 2" xfId="63"/>
    <cellStyle name="Accent3 2 2" xfId="64"/>
    <cellStyle name="Accent3 3" xfId="65"/>
    <cellStyle name="Accent4 2" xfId="66"/>
    <cellStyle name="Accent4 2 2" xfId="67"/>
    <cellStyle name="Accent4 3" xfId="68"/>
    <cellStyle name="Accent5 2" xfId="69"/>
    <cellStyle name="Accent5 2 2" xfId="70"/>
    <cellStyle name="Accent5 3" xfId="71"/>
    <cellStyle name="Accent6 2" xfId="72"/>
    <cellStyle name="Accent6 2 2" xfId="73"/>
    <cellStyle name="Accent6 3" xfId="74"/>
    <cellStyle name="Bad 2" xfId="75"/>
    <cellStyle name="Bad 2 2" xfId="76"/>
    <cellStyle name="Bad 3" xfId="77"/>
    <cellStyle name="Calculation 2" xfId="78"/>
    <cellStyle name="Calculation 2 2" xfId="79"/>
    <cellStyle name="Calculation 3" xfId="80"/>
    <cellStyle name="Check Cell 2" xfId="81"/>
    <cellStyle name="Check Cell 2 2" xfId="82"/>
    <cellStyle name="Check Cell 3" xfId="83"/>
    <cellStyle name="Comma" xfId="1" builtinId="3"/>
    <cellStyle name="Comma 2 2" xfId="84"/>
    <cellStyle name="Comma 2 2 2" xfId="131"/>
    <cellStyle name="Explanatory Text 2" xfId="85"/>
    <cellStyle name="Explanatory Text 2 2" xfId="86"/>
    <cellStyle name="Explanatory Text 3" xfId="87"/>
    <cellStyle name="Good 2" xfId="88"/>
    <cellStyle name="Good 2 2" xfId="89"/>
    <cellStyle name="Good 3" xfId="90"/>
    <cellStyle name="Heading 1 2" xfId="91"/>
    <cellStyle name="Heading 1 2 2" xfId="92"/>
    <cellStyle name="Heading 1 3" xfId="93"/>
    <cellStyle name="Heading 2 2" xfId="94"/>
    <cellStyle name="Heading 2 2 2" xfId="95"/>
    <cellStyle name="Heading 2 3" xfId="96"/>
    <cellStyle name="Heading 3 2" xfId="97"/>
    <cellStyle name="Heading 3 2 2" xfId="98"/>
    <cellStyle name="Heading 3 3" xfId="99"/>
    <cellStyle name="Heading 4 2" xfId="100"/>
    <cellStyle name="Heading 4 2 2" xfId="101"/>
    <cellStyle name="Heading 4 3" xfId="102"/>
    <cellStyle name="Input 2" xfId="103"/>
    <cellStyle name="Input 2 2" xfId="104"/>
    <cellStyle name="Input 3" xfId="105"/>
    <cellStyle name="Linked Cell 2" xfId="106"/>
    <cellStyle name="Linked Cell 2 2" xfId="107"/>
    <cellStyle name="Linked Cell 3" xfId="108"/>
    <cellStyle name="Neutral 2" xfId="109"/>
    <cellStyle name="Neutral 2 2" xfId="110"/>
    <cellStyle name="Neutral 3" xfId="111"/>
    <cellStyle name="Normal" xfId="0" builtinId="0"/>
    <cellStyle name="Normal 2" xfId="2"/>
    <cellStyle name="Normal 2 2" xfId="112"/>
    <cellStyle name="Normal 2 2 2" xfId="132"/>
    <cellStyle name="Normal 3" xfId="113"/>
    <cellStyle name="Normal 3 2" xfId="114"/>
    <cellStyle name="Normal 3 3" xfId="133"/>
    <cellStyle name="Normal 5" xfId="115"/>
    <cellStyle name="Normal 5 2" xfId="134"/>
    <cellStyle name="Note 2" xfId="116"/>
    <cellStyle name="Note 2 2" xfId="117"/>
    <cellStyle name="Note 3" xfId="118"/>
    <cellStyle name="Output 2" xfId="119"/>
    <cellStyle name="Output 2 2" xfId="120"/>
    <cellStyle name="Output 3" xfId="121"/>
    <cellStyle name="Percent" xfId="135" builtinId="5"/>
    <cellStyle name="Title 2" xfId="122"/>
    <cellStyle name="Title 2 2" xfId="123"/>
    <cellStyle name="Title 3" xfId="124"/>
    <cellStyle name="Total 2" xfId="125"/>
    <cellStyle name="Total 2 2" xfId="126"/>
    <cellStyle name="Total 3" xfId="127"/>
    <cellStyle name="Warning Text 2" xfId="128"/>
    <cellStyle name="Warning Text 2 2" xfId="129"/>
    <cellStyle name="Warning Text 3" xfId="1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4"/>
  <sheetViews>
    <sheetView tabSelected="1" zoomScale="78" zoomScaleNormal="78" workbookViewId="0">
      <selection activeCell="K40" sqref="K40"/>
    </sheetView>
  </sheetViews>
  <sheetFormatPr defaultRowHeight="15" x14ac:dyDescent="0.25"/>
  <cols>
    <col min="1" max="1" width="69.140625" bestFit="1" customWidth="1"/>
    <col min="3" max="4" width="14" bestFit="1" customWidth="1"/>
    <col min="5" max="7" width="15.28515625" bestFit="1" customWidth="1"/>
    <col min="8" max="10" width="17.140625" bestFit="1" customWidth="1"/>
    <col min="11" max="11" width="15.28515625" style="68" customWidth="1"/>
    <col min="12" max="12" width="16.140625" bestFit="1" customWidth="1"/>
  </cols>
  <sheetData>
    <row r="1" spans="1:19" ht="16.5" thickBot="1" x14ac:dyDescent="0.3">
      <c r="A1" s="24"/>
      <c r="B1" s="28"/>
      <c r="C1" s="25" t="s">
        <v>24</v>
      </c>
      <c r="D1" s="26"/>
      <c r="E1" s="26"/>
      <c r="F1" s="26"/>
      <c r="G1" s="26"/>
      <c r="H1" s="26"/>
      <c r="I1" s="27"/>
      <c r="J1" s="27"/>
      <c r="K1" s="27"/>
      <c r="L1" s="25"/>
      <c r="M1" s="28"/>
      <c r="N1" s="28"/>
      <c r="O1" s="28"/>
      <c r="P1" s="28"/>
      <c r="Q1" s="28"/>
      <c r="R1" s="28"/>
      <c r="S1" s="28"/>
    </row>
    <row r="2" spans="1:19" ht="16.5" thickBot="1" x14ac:dyDescent="0.3">
      <c r="A2" s="29"/>
      <c r="B2" s="28"/>
      <c r="C2" s="30" t="s">
        <v>16</v>
      </c>
      <c r="D2" s="30" t="s">
        <v>17</v>
      </c>
      <c r="E2" s="31" t="s">
        <v>18</v>
      </c>
      <c r="F2" s="31" t="s">
        <v>19</v>
      </c>
      <c r="G2" s="31" t="s">
        <v>20</v>
      </c>
      <c r="H2" s="31" t="s">
        <v>21</v>
      </c>
      <c r="I2" s="31" t="s">
        <v>23</v>
      </c>
      <c r="J2" s="32" t="s">
        <v>67</v>
      </c>
      <c r="K2" s="32" t="s">
        <v>78</v>
      </c>
      <c r="L2" s="32" t="s">
        <v>15</v>
      </c>
      <c r="M2" s="28"/>
      <c r="N2" s="28"/>
      <c r="O2" s="28"/>
      <c r="P2" s="28"/>
      <c r="Q2" s="28"/>
      <c r="R2" s="28"/>
      <c r="S2" s="28"/>
    </row>
    <row r="3" spans="1:19" ht="15.75" x14ac:dyDescent="0.25">
      <c r="A3" s="33" t="s">
        <v>0</v>
      </c>
      <c r="B3" s="28"/>
      <c r="C3" s="34"/>
      <c r="D3" s="34"/>
      <c r="E3" s="35"/>
      <c r="F3" s="36"/>
      <c r="G3" s="36"/>
      <c r="H3" s="36"/>
      <c r="I3" s="36"/>
      <c r="J3" s="36"/>
      <c r="K3" s="36"/>
      <c r="L3" s="36"/>
      <c r="M3" s="28"/>
      <c r="N3" s="28"/>
      <c r="O3" s="28"/>
      <c r="P3" s="28"/>
      <c r="Q3" s="28"/>
      <c r="R3" s="28"/>
      <c r="S3" s="28"/>
    </row>
    <row r="4" spans="1:19" ht="15.75" hidden="1" x14ac:dyDescent="0.25">
      <c r="A4" s="33" t="s">
        <v>77</v>
      </c>
      <c r="B4" s="28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37">
        <f t="shared" ref="L4" si="0">SUM(C4:K4)</f>
        <v>0</v>
      </c>
      <c r="M4" s="28"/>
      <c r="N4" s="28"/>
      <c r="O4" s="28"/>
      <c r="P4" s="28"/>
      <c r="Q4" s="28"/>
      <c r="R4" s="28"/>
      <c r="S4" s="28"/>
    </row>
    <row r="5" spans="1:19" ht="15.75" x14ac:dyDescent="0.25">
      <c r="A5" s="1" t="s">
        <v>2</v>
      </c>
      <c r="B5" s="28"/>
      <c r="C5" s="4">
        <v>0</v>
      </c>
      <c r="D5" s="4">
        <v>0</v>
      </c>
      <c r="E5" s="4">
        <f>Baddi!K3</f>
        <v>0</v>
      </c>
      <c r="F5" s="4">
        <f>Baddi!L3</f>
        <v>0</v>
      </c>
      <c r="G5" s="4">
        <f>Baddi!M3</f>
        <v>0</v>
      </c>
      <c r="H5" s="4">
        <f>Baddi!N3</f>
        <v>0</v>
      </c>
      <c r="I5" s="4">
        <f>Baddi!O3</f>
        <v>35704037</v>
      </c>
      <c r="J5" s="65">
        <f>Baddi!P3</f>
        <v>52330262</v>
      </c>
      <c r="K5" s="4">
        <v>0</v>
      </c>
      <c r="L5" s="37">
        <f>SUM(C5:K5)</f>
        <v>88034299</v>
      </c>
      <c r="M5" s="28"/>
      <c r="N5" s="28"/>
      <c r="O5" s="28"/>
      <c r="P5" s="28"/>
      <c r="Q5" s="28"/>
      <c r="R5" s="28"/>
      <c r="S5" s="28"/>
    </row>
    <row r="6" spans="1:19" ht="15.75" hidden="1" x14ac:dyDescent="0.25">
      <c r="A6" s="1" t="s">
        <v>3</v>
      </c>
      <c r="B6" s="28"/>
      <c r="C6" s="4">
        <v>0</v>
      </c>
      <c r="D6" s="4">
        <v>0</v>
      </c>
      <c r="E6" s="4">
        <f>Baddi!K4</f>
        <v>0</v>
      </c>
      <c r="F6" s="4">
        <f>Baddi!L4</f>
        <v>0</v>
      </c>
      <c r="G6" s="4">
        <f>Baddi!M4</f>
        <v>0</v>
      </c>
      <c r="H6" s="4">
        <f>Baddi!N4</f>
        <v>0</v>
      </c>
      <c r="I6" s="4">
        <f>Baddi!O4</f>
        <v>0</v>
      </c>
      <c r="J6" s="65">
        <f>Baddi!P4</f>
        <v>719911</v>
      </c>
      <c r="K6" s="4">
        <v>0</v>
      </c>
      <c r="L6" s="37">
        <f t="shared" ref="L6:L57" si="1">SUM(C6:K6)</f>
        <v>719911</v>
      </c>
      <c r="M6" s="28"/>
      <c r="N6" s="28"/>
      <c r="O6" s="28"/>
      <c r="P6" s="28"/>
      <c r="Q6" s="28"/>
      <c r="R6" s="28"/>
      <c r="S6" s="28"/>
    </row>
    <row r="7" spans="1:19" s="68" customFormat="1" ht="15.75" hidden="1" x14ac:dyDescent="0.25">
      <c r="A7" s="1" t="s">
        <v>69</v>
      </c>
      <c r="B7" s="28"/>
      <c r="C7" s="4"/>
      <c r="D7" s="4"/>
      <c r="E7" s="4"/>
      <c r="F7" s="4"/>
      <c r="G7" s="4"/>
      <c r="H7" s="4"/>
      <c r="I7" s="4"/>
      <c r="J7" s="65"/>
      <c r="K7" s="4">
        <v>0</v>
      </c>
      <c r="L7" s="37">
        <f t="shared" si="1"/>
        <v>0</v>
      </c>
      <c r="M7" s="28"/>
      <c r="N7" s="28"/>
      <c r="O7" s="28"/>
      <c r="P7" s="28"/>
      <c r="Q7" s="28"/>
      <c r="R7" s="28"/>
      <c r="S7" s="28"/>
    </row>
    <row r="8" spans="1:19" ht="15.75" hidden="1" x14ac:dyDescent="0.25">
      <c r="A8" s="1" t="s">
        <v>4</v>
      </c>
      <c r="B8" s="28"/>
      <c r="C8" s="4">
        <v>0</v>
      </c>
      <c r="D8" s="4">
        <v>0</v>
      </c>
      <c r="E8" s="4">
        <f>Baddi!K6</f>
        <v>0</v>
      </c>
      <c r="F8" s="4">
        <f>Baddi!L6</f>
        <v>0</v>
      </c>
      <c r="G8" s="4">
        <f>Baddi!M6</f>
        <v>0</v>
      </c>
      <c r="H8" s="4">
        <f>Baddi!N6</f>
        <v>0</v>
      </c>
      <c r="I8" s="4">
        <f>Baddi!O6</f>
        <v>0</v>
      </c>
      <c r="J8" s="65">
        <f>Baddi!P6</f>
        <v>137575643</v>
      </c>
      <c r="K8" s="4">
        <v>0</v>
      </c>
      <c r="L8" s="37">
        <f t="shared" si="1"/>
        <v>137575643</v>
      </c>
      <c r="M8" s="28"/>
      <c r="N8" s="28"/>
      <c r="O8" s="28"/>
      <c r="P8" s="28"/>
      <c r="Q8" s="28"/>
      <c r="R8" s="28"/>
      <c r="S8" s="28"/>
    </row>
    <row r="9" spans="1:19" ht="15.75" hidden="1" x14ac:dyDescent="0.25">
      <c r="A9" s="1" t="s">
        <v>5</v>
      </c>
      <c r="B9" s="28"/>
      <c r="C9" s="4">
        <v>0</v>
      </c>
      <c r="D9" s="4">
        <v>0</v>
      </c>
      <c r="E9" s="4">
        <f>Baddi!K7+Kutch!M3</f>
        <v>61290</v>
      </c>
      <c r="F9" s="4">
        <f>Baddi!L7+Kutch!N3</f>
        <v>6550279</v>
      </c>
      <c r="G9" s="4">
        <f>Baddi!M7+Kutch!O3</f>
        <v>2756582</v>
      </c>
      <c r="H9" s="4">
        <f>Baddi!N7+Kutch!P3</f>
        <v>6135225</v>
      </c>
      <c r="I9" s="4">
        <f>Baddi!O7+Kutch!Q3</f>
        <v>5785982</v>
      </c>
      <c r="J9" s="65">
        <f>Baddi!P7</f>
        <v>977190305</v>
      </c>
      <c r="K9" s="4">
        <f>Baddi!Q7</f>
        <v>836426027</v>
      </c>
      <c r="L9" s="37">
        <f t="shared" si="1"/>
        <v>1834905690</v>
      </c>
      <c r="M9" s="28"/>
      <c r="N9" s="28"/>
      <c r="O9" s="28"/>
      <c r="P9" s="28"/>
      <c r="Q9" s="28"/>
      <c r="R9" s="28"/>
      <c r="S9" s="28"/>
    </row>
    <row r="10" spans="1:19" s="68" customFormat="1" ht="15.75" hidden="1" x14ac:dyDescent="0.25">
      <c r="A10" s="1" t="s">
        <v>71</v>
      </c>
      <c r="B10" s="28"/>
      <c r="C10" s="4"/>
      <c r="D10" s="4"/>
      <c r="E10" s="4"/>
      <c r="F10" s="4"/>
      <c r="G10" s="4"/>
      <c r="H10" s="4"/>
      <c r="I10" s="4"/>
      <c r="J10" s="65"/>
      <c r="K10" s="4">
        <v>0</v>
      </c>
      <c r="L10" s="37">
        <f t="shared" si="1"/>
        <v>0</v>
      </c>
      <c r="M10" s="28"/>
      <c r="N10" s="28"/>
      <c r="O10" s="28"/>
      <c r="P10" s="28"/>
      <c r="Q10" s="28"/>
      <c r="R10" s="28"/>
      <c r="S10" s="28"/>
    </row>
    <row r="11" spans="1:19" ht="15.75" hidden="1" x14ac:dyDescent="0.25">
      <c r="A11" s="1" t="s">
        <v>6</v>
      </c>
      <c r="B11" s="28"/>
      <c r="C11" s="4">
        <v>0</v>
      </c>
      <c r="D11" s="4">
        <v>0</v>
      </c>
      <c r="E11" s="4">
        <f>Baddi!K9+Kutch!M4+Tiljala!O3</f>
        <v>0</v>
      </c>
      <c r="F11" s="4">
        <f>Baddi!L9+Kutch!N4+Tiljala!P3</f>
        <v>0</v>
      </c>
      <c r="G11" s="4">
        <f>Baddi!M9+Kutch!O4+Tiljala!Q3</f>
        <v>0</v>
      </c>
      <c r="H11" s="4">
        <f>Baddi!N9+Kutch!P4+Tiljala!R3</f>
        <v>0</v>
      </c>
      <c r="I11" s="4">
        <f>Baddi!O9+Kutch!Q4+Tiljala!U3</f>
        <v>0</v>
      </c>
      <c r="J11" s="65">
        <f>Baddi!P9</f>
        <v>0</v>
      </c>
      <c r="K11" s="4">
        <v>0</v>
      </c>
      <c r="L11" s="37">
        <f t="shared" si="1"/>
        <v>0</v>
      </c>
      <c r="M11" s="28"/>
      <c r="N11" s="28"/>
      <c r="O11" s="28"/>
      <c r="P11" s="28"/>
      <c r="Q11" s="28"/>
      <c r="R11" s="28"/>
      <c r="S11" s="28"/>
    </row>
    <row r="12" spans="1:19" ht="15.75" hidden="1" x14ac:dyDescent="0.25">
      <c r="A12" s="1" t="s">
        <v>7</v>
      </c>
      <c r="B12" s="28"/>
      <c r="C12" s="4">
        <v>0</v>
      </c>
      <c r="D12" s="4">
        <v>0</v>
      </c>
      <c r="E12" s="4">
        <f>Baddi!K10+Kutch!M5</f>
        <v>1283302</v>
      </c>
      <c r="F12" s="4">
        <f>Baddi!L10+Kutch!N5</f>
        <v>1357943</v>
      </c>
      <c r="G12" s="4">
        <f>Baddi!M10+Kutch!O5</f>
        <v>2064090</v>
      </c>
      <c r="H12" s="4">
        <f>Baddi!N10+Kutch!P5</f>
        <v>5086292</v>
      </c>
      <c r="I12" s="4">
        <f>Baddi!O10+Kutch!Q5</f>
        <v>25582445</v>
      </c>
      <c r="J12" s="65">
        <f>Baddi!P10</f>
        <v>0</v>
      </c>
      <c r="K12" s="4">
        <v>0</v>
      </c>
      <c r="L12" s="37">
        <f t="shared" si="1"/>
        <v>35374072</v>
      </c>
      <c r="M12" s="28"/>
      <c r="N12" s="28"/>
      <c r="O12" s="28"/>
      <c r="P12" s="28"/>
      <c r="Q12" s="28"/>
      <c r="R12" s="28"/>
      <c r="S12" s="28"/>
    </row>
    <row r="13" spans="1:19" s="68" customFormat="1" ht="15.75" x14ac:dyDescent="0.25">
      <c r="A13" s="1" t="s">
        <v>76</v>
      </c>
      <c r="B13" s="28"/>
      <c r="C13" s="4"/>
      <c r="D13" s="4"/>
      <c r="E13" s="4"/>
      <c r="F13" s="4"/>
      <c r="G13" s="4"/>
      <c r="H13" s="4"/>
      <c r="I13" s="4"/>
      <c r="J13" s="65"/>
      <c r="K13" s="4">
        <v>0</v>
      </c>
      <c r="L13" s="37">
        <f t="shared" si="1"/>
        <v>0</v>
      </c>
      <c r="M13" s="28"/>
      <c r="N13" s="28"/>
      <c r="O13" s="28"/>
      <c r="P13" s="28"/>
      <c r="Q13" s="28"/>
      <c r="R13" s="28"/>
      <c r="S13" s="28"/>
    </row>
    <row r="14" spans="1:19" ht="15.75" x14ac:dyDescent="0.25">
      <c r="A14" s="1" t="s">
        <v>8</v>
      </c>
      <c r="B14" s="28"/>
      <c r="C14" s="4">
        <v>0</v>
      </c>
      <c r="D14" s="4">
        <v>0</v>
      </c>
      <c r="E14" s="4">
        <f>Baddi!K11</f>
        <v>2122144</v>
      </c>
      <c r="F14" s="4">
        <f>Baddi!L11</f>
        <v>8937492</v>
      </c>
      <c r="G14" s="4">
        <f>Baddi!M11</f>
        <v>10578234</v>
      </c>
      <c r="H14" s="4">
        <f>Baddi!N11</f>
        <v>26859819</v>
      </c>
      <c r="I14" s="4">
        <f>Baddi!O11</f>
        <v>32555781</v>
      </c>
      <c r="J14" s="65">
        <f>Baddi!P11</f>
        <v>0</v>
      </c>
      <c r="K14" s="4">
        <v>0</v>
      </c>
      <c r="L14" s="37">
        <f t="shared" si="1"/>
        <v>81053470</v>
      </c>
      <c r="M14" s="28"/>
      <c r="N14" s="28"/>
      <c r="O14" s="28"/>
      <c r="P14" s="28"/>
      <c r="Q14" s="28"/>
      <c r="R14" s="28"/>
      <c r="S14" s="28"/>
    </row>
    <row r="15" spans="1:19" ht="15.75" hidden="1" x14ac:dyDescent="0.25">
      <c r="A15" s="1" t="s">
        <v>9</v>
      </c>
      <c r="B15" s="28"/>
      <c r="C15" s="4">
        <v>0</v>
      </c>
      <c r="D15" s="4">
        <v>0</v>
      </c>
      <c r="E15" s="4">
        <f>Baddi!K13+Kutch!M7</f>
        <v>0</v>
      </c>
      <c r="F15" s="4">
        <f>Baddi!L13+Kutch!N7</f>
        <v>0</v>
      </c>
      <c r="G15" s="4">
        <f>Baddi!M13+Kutch!O7</f>
        <v>0</v>
      </c>
      <c r="H15" s="4">
        <f>Baddi!N13+Kutch!P7</f>
        <v>0</v>
      </c>
      <c r="I15" s="4">
        <f>Baddi!O13+Kutch!Q7</f>
        <v>41868197</v>
      </c>
      <c r="J15" s="65">
        <f>Baddi!P13</f>
        <v>0</v>
      </c>
      <c r="K15" s="4">
        <v>0</v>
      </c>
      <c r="L15" s="37">
        <f t="shared" si="1"/>
        <v>41868197</v>
      </c>
      <c r="M15" s="28"/>
      <c r="N15" s="28"/>
      <c r="O15" s="28"/>
      <c r="P15" s="28"/>
      <c r="Q15" s="28"/>
      <c r="R15" s="28"/>
      <c r="S15" s="28"/>
    </row>
    <row r="16" spans="1:19" ht="15.75" hidden="1" x14ac:dyDescent="0.25">
      <c r="A16" s="1" t="s">
        <v>10</v>
      </c>
      <c r="B16" s="28"/>
      <c r="C16" s="4">
        <v>0</v>
      </c>
      <c r="D16" s="4">
        <v>0</v>
      </c>
      <c r="E16" s="4">
        <f>Baddi!K14</f>
        <v>0</v>
      </c>
      <c r="F16" s="4">
        <f>Baddi!L14</f>
        <v>0</v>
      </c>
      <c r="G16" s="4">
        <f>Baddi!M14</f>
        <v>0</v>
      </c>
      <c r="H16" s="4">
        <f>Baddi!N14</f>
        <v>0</v>
      </c>
      <c r="I16" s="4">
        <f>Baddi!O14</f>
        <v>0</v>
      </c>
      <c r="J16" s="65">
        <f>Baddi!P14</f>
        <v>170663268</v>
      </c>
      <c r="K16" s="4">
        <v>0</v>
      </c>
      <c r="L16" s="37">
        <f t="shared" si="1"/>
        <v>170663268</v>
      </c>
      <c r="M16" s="28"/>
      <c r="N16" s="28"/>
      <c r="O16" s="28"/>
      <c r="P16" s="28"/>
      <c r="Q16" s="28"/>
      <c r="R16" s="28"/>
      <c r="S16" s="28"/>
    </row>
    <row r="17" spans="1:19" ht="15.75" hidden="1" x14ac:dyDescent="0.25">
      <c r="A17" s="1" t="s">
        <v>70</v>
      </c>
      <c r="B17" s="28"/>
      <c r="C17" s="4">
        <v>0</v>
      </c>
      <c r="D17" s="4">
        <v>0</v>
      </c>
      <c r="E17" s="4">
        <f>+Baddi!K15</f>
        <v>0</v>
      </c>
      <c r="F17" s="4">
        <f>+Baddi!L15</f>
        <v>0</v>
      </c>
      <c r="G17" s="4">
        <f>+Baddi!M15</f>
        <v>0</v>
      </c>
      <c r="H17" s="4">
        <f>+Baddi!N15</f>
        <v>0</v>
      </c>
      <c r="I17" s="4">
        <f>+Baddi!O15</f>
        <v>0</v>
      </c>
      <c r="J17" s="65">
        <f>Baddi!P15</f>
        <v>0</v>
      </c>
      <c r="K17" s="4">
        <v>0</v>
      </c>
      <c r="L17" s="37">
        <f t="shared" si="1"/>
        <v>0</v>
      </c>
      <c r="M17" s="28"/>
      <c r="N17" s="28"/>
      <c r="O17" s="28"/>
      <c r="P17" s="28"/>
      <c r="Q17" s="28"/>
      <c r="R17" s="28"/>
      <c r="S17" s="28"/>
    </row>
    <row r="18" spans="1:19" ht="15.75" hidden="1" x14ac:dyDescent="0.25">
      <c r="A18" s="39" t="s">
        <v>32</v>
      </c>
      <c r="B18" s="28"/>
      <c r="C18" s="4">
        <v>0</v>
      </c>
      <c r="D18" s="4">
        <v>0</v>
      </c>
      <c r="E18" s="4">
        <f>+Baddi!K16+Daman!O8</f>
        <v>0</v>
      </c>
      <c r="F18" s="4">
        <f>+Baddi!L16+Daman!P8</f>
        <v>0</v>
      </c>
      <c r="G18" s="4">
        <f>+Baddi!M16+Daman!Q8</f>
        <v>144655137</v>
      </c>
      <c r="H18" s="4">
        <f>+Baddi!N16+Daman!R8</f>
        <v>465097436</v>
      </c>
      <c r="I18" s="4">
        <f>+Baddi!O16+Daman!S8</f>
        <v>944802263</v>
      </c>
      <c r="J18" s="65">
        <f>Baddi!P16+Daman!T8</f>
        <v>882125850</v>
      </c>
      <c r="K18" s="65">
        <f>Baddi!Q16+Daman!U8</f>
        <v>63829208</v>
      </c>
      <c r="L18" s="37">
        <f t="shared" si="1"/>
        <v>2500509894</v>
      </c>
      <c r="M18" s="28"/>
      <c r="N18" s="28"/>
      <c r="O18" s="28"/>
      <c r="P18" s="28"/>
      <c r="Q18" s="28"/>
      <c r="R18" s="28"/>
      <c r="S18" s="28"/>
    </row>
    <row r="19" spans="1:19" ht="15.75" hidden="1" x14ac:dyDescent="0.25">
      <c r="A19" s="1" t="s">
        <v>12</v>
      </c>
      <c r="B19" s="28"/>
      <c r="C19" s="4">
        <v>0</v>
      </c>
      <c r="D19" s="4">
        <v>0</v>
      </c>
      <c r="E19" s="4">
        <f>+Baddi!K17+Kutch!M8+Tiljala!O4</f>
        <v>0</v>
      </c>
      <c r="F19" s="4">
        <f>+Baddi!L17+Kutch!N8+Tiljala!P4</f>
        <v>986303</v>
      </c>
      <c r="G19" s="4">
        <f>+Baddi!M17+Kutch!O8+Tiljala!Q4</f>
        <v>0</v>
      </c>
      <c r="H19" s="4">
        <f>+Baddi!N17+Kutch!P8+Tiljala!R4</f>
        <v>0</v>
      </c>
      <c r="I19" s="4">
        <f>+Baddi!O17+Kutch!Q8+Tiljala!U4+Daman!S25</f>
        <v>884490</v>
      </c>
      <c r="J19" s="65">
        <f>Baddi!P17+Daman!T25</f>
        <v>1671247496</v>
      </c>
      <c r="K19" s="4">
        <f>Baddi!Q17+Daman!U25</f>
        <v>938149119</v>
      </c>
      <c r="L19" s="37">
        <f t="shared" si="1"/>
        <v>2611267408</v>
      </c>
      <c r="M19" s="28"/>
      <c r="N19" s="28"/>
      <c r="O19" s="28"/>
      <c r="P19" s="28"/>
      <c r="Q19" s="28"/>
      <c r="R19" s="28"/>
      <c r="S19" s="28"/>
    </row>
    <row r="20" spans="1:19" s="68" customFormat="1" ht="15.75" hidden="1" x14ac:dyDescent="0.25">
      <c r="A20" s="1" t="s">
        <v>79</v>
      </c>
      <c r="B20" s="28"/>
      <c r="C20" s="4"/>
      <c r="D20" s="4"/>
      <c r="E20" s="4"/>
      <c r="F20" s="4"/>
      <c r="G20" s="4"/>
      <c r="H20" s="4"/>
      <c r="I20" s="4"/>
      <c r="J20" s="65">
        <f>Baddi!P18</f>
        <v>0</v>
      </c>
      <c r="K20" s="4">
        <v>0</v>
      </c>
      <c r="L20" s="37">
        <f t="shared" si="1"/>
        <v>0</v>
      </c>
      <c r="M20" s="28"/>
      <c r="N20" s="28"/>
      <c r="O20" s="28"/>
      <c r="P20" s="28"/>
      <c r="Q20" s="28"/>
      <c r="R20" s="28"/>
      <c r="S20" s="28"/>
    </row>
    <row r="21" spans="1:19" ht="15.75" hidden="1" x14ac:dyDescent="0.25">
      <c r="A21" s="1" t="s">
        <v>68</v>
      </c>
      <c r="B21" s="28"/>
      <c r="C21" s="4">
        <v>0</v>
      </c>
      <c r="D21" s="4">
        <v>0</v>
      </c>
      <c r="E21" s="4">
        <f>+Baddi!K19</f>
        <v>0</v>
      </c>
      <c r="F21" s="4">
        <f>+Baddi!L19</f>
        <v>0</v>
      </c>
      <c r="G21" s="4">
        <f>+Baddi!M19</f>
        <v>0</v>
      </c>
      <c r="H21" s="4">
        <f>+Baddi!N19</f>
        <v>0</v>
      </c>
      <c r="I21" s="4">
        <f>+Baddi!O19</f>
        <v>0</v>
      </c>
      <c r="J21" s="65">
        <f>Baddi!P19</f>
        <v>17091388</v>
      </c>
      <c r="K21" s="4">
        <v>0</v>
      </c>
      <c r="L21" s="37">
        <f t="shared" si="1"/>
        <v>17091388</v>
      </c>
      <c r="M21" s="28"/>
      <c r="N21" s="28"/>
      <c r="O21" s="28"/>
      <c r="P21" s="28"/>
      <c r="Q21" s="28"/>
      <c r="R21" s="28"/>
      <c r="S21" s="28"/>
    </row>
    <row r="22" spans="1:19" ht="15.75" hidden="1" x14ac:dyDescent="0.25">
      <c r="A22" s="1" t="s">
        <v>13</v>
      </c>
      <c r="B22" s="28"/>
      <c r="C22" s="4">
        <f>+Kutch!K9</f>
        <v>0</v>
      </c>
      <c r="D22" s="4">
        <f>+Kutch!L9</f>
        <v>0</v>
      </c>
      <c r="E22" s="4">
        <f>+Kutch!M9</f>
        <v>0</v>
      </c>
      <c r="F22" s="4">
        <f>+Kutch!N9</f>
        <v>0</v>
      </c>
      <c r="G22" s="4">
        <f>+Kutch!O9</f>
        <v>0</v>
      </c>
      <c r="H22" s="4">
        <f>+Kutch!P9</f>
        <v>0</v>
      </c>
      <c r="I22" s="4">
        <f>+Kutch!Q9</f>
        <v>0</v>
      </c>
      <c r="J22" s="65">
        <f>Baddi!P20</f>
        <v>20811668</v>
      </c>
      <c r="K22" s="4">
        <v>0</v>
      </c>
      <c r="L22" s="37">
        <f t="shared" si="1"/>
        <v>20811668</v>
      </c>
      <c r="M22" s="28"/>
      <c r="N22" s="28"/>
      <c r="O22" s="28"/>
      <c r="P22" s="28"/>
      <c r="Q22" s="28"/>
      <c r="R22" s="28"/>
      <c r="S22" s="28"/>
    </row>
    <row r="23" spans="1:19" ht="15.75" hidden="1" x14ac:dyDescent="0.25">
      <c r="A23" s="1" t="s">
        <v>14</v>
      </c>
      <c r="B23" s="28"/>
      <c r="C23" s="4">
        <f>+Tiljala!M5</f>
        <v>0</v>
      </c>
      <c r="D23" s="4">
        <f>+Tiljala!N5</f>
        <v>0</v>
      </c>
      <c r="E23" s="4">
        <f>+Tiljala!O5</f>
        <v>0</v>
      </c>
      <c r="F23" s="4">
        <f>+Tiljala!P5</f>
        <v>0</v>
      </c>
      <c r="G23" s="4">
        <f>+Tiljala!Q5</f>
        <v>0</v>
      </c>
      <c r="H23" s="4">
        <f>+Tiljala!R5</f>
        <v>0</v>
      </c>
      <c r="I23" s="4">
        <f>+Tiljala!U5</f>
        <v>0</v>
      </c>
      <c r="J23" s="65"/>
      <c r="K23" s="4">
        <v>0</v>
      </c>
      <c r="L23" s="37">
        <f t="shared" si="1"/>
        <v>0</v>
      </c>
      <c r="M23" s="28"/>
      <c r="N23" s="28"/>
      <c r="O23" s="28"/>
      <c r="P23" s="28"/>
      <c r="Q23" s="28"/>
      <c r="R23" s="28"/>
      <c r="S23" s="28"/>
    </row>
    <row r="24" spans="1:19" ht="15.75" hidden="1" x14ac:dyDescent="0.25">
      <c r="A24" s="1" t="s">
        <v>45</v>
      </c>
      <c r="B24" s="28"/>
      <c r="C24" s="4">
        <f>+Tiljala!M6</f>
        <v>0</v>
      </c>
      <c r="D24" s="4">
        <f>+Tiljala!N6</f>
        <v>0</v>
      </c>
      <c r="E24" s="4">
        <f>+Tiljala!O6</f>
        <v>0</v>
      </c>
      <c r="F24" s="4">
        <f>+Tiljala!P6</f>
        <v>0</v>
      </c>
      <c r="G24" s="4">
        <f>+Tiljala!Q6</f>
        <v>0</v>
      </c>
      <c r="H24" s="4">
        <f>+Tiljala!R6</f>
        <v>0</v>
      </c>
      <c r="I24" s="4">
        <f>+Tiljala!U6</f>
        <v>0</v>
      </c>
      <c r="J24" s="65"/>
      <c r="K24" s="4">
        <v>0</v>
      </c>
      <c r="L24" s="37">
        <f t="shared" si="1"/>
        <v>0</v>
      </c>
      <c r="M24" s="28"/>
      <c r="N24" s="28"/>
      <c r="O24" s="28"/>
      <c r="P24" s="28"/>
      <c r="Q24" s="28"/>
      <c r="R24" s="28"/>
      <c r="S24" s="28"/>
    </row>
    <row r="25" spans="1:19" ht="15.75" hidden="1" x14ac:dyDescent="0.25">
      <c r="A25" s="39" t="s">
        <v>27</v>
      </c>
      <c r="B25" s="28"/>
      <c r="C25" s="4">
        <f>+Tiljala!M7</f>
        <v>0</v>
      </c>
      <c r="D25" s="4">
        <f>+Tiljala!N7</f>
        <v>0</v>
      </c>
      <c r="E25" s="4">
        <f>+Tiljala!O7</f>
        <v>0</v>
      </c>
      <c r="F25" s="4">
        <f>+Tiljala!P7</f>
        <v>0</v>
      </c>
      <c r="G25" s="64"/>
      <c r="H25" s="4">
        <f>Baddi!N24+Kutch!P17</f>
        <v>0.58653618429919607</v>
      </c>
      <c r="I25" s="4">
        <f>+Tiljala!U7</f>
        <v>0</v>
      </c>
      <c r="J25" s="65"/>
      <c r="K25" s="4">
        <v>0</v>
      </c>
      <c r="L25" s="37">
        <f t="shared" si="1"/>
        <v>0.58653618429919607</v>
      </c>
      <c r="M25" s="28"/>
      <c r="N25" s="28"/>
      <c r="O25" s="28"/>
      <c r="P25" s="28"/>
      <c r="Q25" s="28"/>
      <c r="R25" s="28"/>
      <c r="S25" s="28"/>
    </row>
    <row r="26" spans="1:19" ht="15.75" hidden="1" x14ac:dyDescent="0.25">
      <c r="A26" s="39" t="s">
        <v>28</v>
      </c>
      <c r="B26" s="28"/>
      <c r="C26" s="4">
        <f>Baddi!I25+Kutch!K18</f>
        <v>0</v>
      </c>
      <c r="D26" s="4">
        <f>Baddi!J25+Kutch!L18+Daman!N4</f>
        <v>0</v>
      </c>
      <c r="E26" s="4">
        <f>Baddi!K25+Kutch!M18+Daman!O4</f>
        <v>0</v>
      </c>
      <c r="F26" s="4">
        <f>Baddi!L25+Kutch!N18</f>
        <v>0</v>
      </c>
      <c r="G26" s="4">
        <f>Baddi!M25+Kutch!O18</f>
        <v>0</v>
      </c>
      <c r="H26" s="4">
        <f>Baddi!N25+Kutch!P18</f>
        <v>0</v>
      </c>
      <c r="I26" s="4">
        <f>Baddi!O25+Kutch!Q18</f>
        <v>0</v>
      </c>
      <c r="J26" s="65"/>
      <c r="K26" s="4">
        <v>0</v>
      </c>
      <c r="L26" s="37">
        <f t="shared" si="1"/>
        <v>0</v>
      </c>
      <c r="M26" s="28"/>
      <c r="N26" s="28"/>
      <c r="O26" s="28"/>
      <c r="P26" s="28"/>
      <c r="Q26" s="28"/>
      <c r="R26" s="28"/>
      <c r="S26" s="28"/>
    </row>
    <row r="27" spans="1:19" ht="15.75" hidden="1" x14ac:dyDescent="0.25">
      <c r="A27" s="39" t="s">
        <v>29</v>
      </c>
      <c r="B27" s="28"/>
      <c r="C27" s="4">
        <f>+Tiljala!M9</f>
        <v>0</v>
      </c>
      <c r="D27" s="4">
        <f>+Tiljala!N9</f>
        <v>0</v>
      </c>
      <c r="E27" s="4">
        <f>+Tiljala!O9</f>
        <v>0</v>
      </c>
      <c r="F27" s="4">
        <f>+Tiljala!P9</f>
        <v>0</v>
      </c>
      <c r="G27" s="4">
        <f>+Tiljala!Q9</f>
        <v>0</v>
      </c>
      <c r="H27" s="4">
        <f>+Tiljala!R9</f>
        <v>0</v>
      </c>
      <c r="I27" s="4">
        <f>+Tiljala!U9</f>
        <v>0</v>
      </c>
      <c r="J27" s="65"/>
      <c r="K27" s="4">
        <v>0</v>
      </c>
      <c r="L27" s="37">
        <f t="shared" si="1"/>
        <v>0</v>
      </c>
      <c r="M27" s="28"/>
      <c r="N27" s="28"/>
      <c r="O27" s="28"/>
      <c r="P27" s="28"/>
      <c r="Q27" s="28"/>
      <c r="R27" s="28"/>
      <c r="S27" s="28"/>
    </row>
    <row r="28" spans="1:19" ht="15.75" hidden="1" x14ac:dyDescent="0.25">
      <c r="A28" s="39" t="s">
        <v>30</v>
      </c>
      <c r="B28" s="28"/>
      <c r="C28" s="4">
        <f>+Tiljala!M10</f>
        <v>0</v>
      </c>
      <c r="D28" s="4">
        <f>+Tiljala!N10</f>
        <v>0</v>
      </c>
      <c r="E28" s="4">
        <f>+Tiljala!O10</f>
        <v>0</v>
      </c>
      <c r="F28" s="4">
        <f>+Tiljala!P10</f>
        <v>0</v>
      </c>
      <c r="G28" s="4">
        <f>+Tiljala!Q10</f>
        <v>0</v>
      </c>
      <c r="H28" s="4">
        <f>+Tiljala!R10</f>
        <v>0</v>
      </c>
      <c r="I28" s="4">
        <f>+Tiljala!U10</f>
        <v>0</v>
      </c>
      <c r="J28" s="65"/>
      <c r="K28" s="4">
        <v>0</v>
      </c>
      <c r="L28" s="37">
        <f t="shared" si="1"/>
        <v>0</v>
      </c>
      <c r="M28" s="28"/>
      <c r="N28" s="28"/>
      <c r="O28" s="28"/>
      <c r="P28" s="28"/>
      <c r="Q28" s="28"/>
      <c r="R28" s="28"/>
      <c r="S28" s="28"/>
    </row>
    <row r="29" spans="1:19" ht="15.75" hidden="1" x14ac:dyDescent="0.25">
      <c r="A29" s="39" t="s">
        <v>31</v>
      </c>
      <c r="B29" s="28"/>
      <c r="C29" s="4">
        <f>+Tiljala!M11</f>
        <v>0</v>
      </c>
      <c r="D29" s="4">
        <f>+Tiljala!N11</f>
        <v>0</v>
      </c>
      <c r="E29" s="4">
        <f>+Tiljala!O11</f>
        <v>0</v>
      </c>
      <c r="F29" s="4">
        <f>+Tiljala!P11</f>
        <v>0</v>
      </c>
      <c r="G29" s="4">
        <f>+Tiljala!Q11</f>
        <v>0</v>
      </c>
      <c r="H29" s="4">
        <f>+Tiljala!R11</f>
        <v>0</v>
      </c>
      <c r="I29" s="4">
        <f>+Tiljala!U11</f>
        <v>0</v>
      </c>
      <c r="J29" s="65"/>
      <c r="K29" s="4">
        <v>0</v>
      </c>
      <c r="L29" s="37">
        <f t="shared" si="1"/>
        <v>0</v>
      </c>
      <c r="M29" s="28"/>
      <c r="N29" s="28"/>
      <c r="O29" s="28"/>
      <c r="P29" s="28"/>
      <c r="Q29" s="28"/>
      <c r="R29" s="28"/>
      <c r="S29" s="28"/>
    </row>
    <row r="30" spans="1:19" ht="15.75" hidden="1" x14ac:dyDescent="0.25">
      <c r="A30" s="39" t="s">
        <v>33</v>
      </c>
      <c r="B30" s="28"/>
      <c r="C30" s="4">
        <f>+Tiljala!M12</f>
        <v>0</v>
      </c>
      <c r="D30" s="4">
        <f>+Tiljala!N12</f>
        <v>0</v>
      </c>
      <c r="E30" s="4">
        <f>+Tiljala!O12</f>
        <v>0</v>
      </c>
      <c r="F30" s="4">
        <f>+Tiljala!P12</f>
        <v>0</v>
      </c>
      <c r="G30" s="4">
        <f>+Tiljala!Q12</f>
        <v>0</v>
      </c>
      <c r="H30" s="4">
        <f>+Tiljala!R12</f>
        <v>0</v>
      </c>
      <c r="I30" s="4">
        <f>+Tiljala!U12</f>
        <v>0</v>
      </c>
      <c r="J30" s="65"/>
      <c r="K30" s="4">
        <v>0</v>
      </c>
      <c r="L30" s="37">
        <f t="shared" si="1"/>
        <v>0</v>
      </c>
      <c r="M30" s="28"/>
      <c r="N30" s="28"/>
      <c r="O30" s="28"/>
      <c r="P30" s="28"/>
      <c r="Q30" s="28"/>
      <c r="R30" s="28"/>
      <c r="S30" s="28"/>
    </row>
    <row r="31" spans="1:19" ht="15.75" hidden="1" x14ac:dyDescent="0.25">
      <c r="A31" s="39" t="s">
        <v>34</v>
      </c>
      <c r="B31" s="28"/>
      <c r="C31" s="4">
        <f>+Tiljala!M13</f>
        <v>0</v>
      </c>
      <c r="D31" s="4">
        <f>+Tiljala!N13</f>
        <v>0</v>
      </c>
      <c r="E31" s="4">
        <f>+Tiljala!O13</f>
        <v>0</v>
      </c>
      <c r="F31" s="4">
        <f>+Tiljala!P13</f>
        <v>0</v>
      </c>
      <c r="G31" s="4">
        <f>+Tiljala!Q13</f>
        <v>0</v>
      </c>
      <c r="H31" s="4">
        <f>+Tiljala!R13</f>
        <v>0</v>
      </c>
      <c r="I31" s="4">
        <f>+Tiljala!U13</f>
        <v>0</v>
      </c>
      <c r="J31" s="65"/>
      <c r="K31" s="4">
        <v>0</v>
      </c>
      <c r="L31" s="37">
        <f t="shared" si="1"/>
        <v>0</v>
      </c>
      <c r="M31" s="28"/>
      <c r="N31" s="28"/>
      <c r="O31" s="28"/>
      <c r="P31" s="28"/>
      <c r="Q31" s="28"/>
      <c r="R31" s="28"/>
      <c r="S31" s="28"/>
    </row>
    <row r="32" spans="1:19" ht="15.75" hidden="1" x14ac:dyDescent="0.25">
      <c r="A32" s="39" t="s">
        <v>35</v>
      </c>
      <c r="B32" s="28"/>
      <c r="C32" s="4">
        <f>+Tiljala!M14</f>
        <v>0</v>
      </c>
      <c r="D32" s="4">
        <f>+Tiljala!N14</f>
        <v>0</v>
      </c>
      <c r="E32" s="4">
        <f>+Tiljala!O14</f>
        <v>0</v>
      </c>
      <c r="F32" s="4">
        <f>+Tiljala!P14</f>
        <v>0</v>
      </c>
      <c r="G32" s="4">
        <f>+Tiljala!Q14</f>
        <v>0</v>
      </c>
      <c r="H32" s="4">
        <f>+Tiljala!R14</f>
        <v>0</v>
      </c>
      <c r="I32" s="4">
        <f>+Tiljala!U14</f>
        <v>0</v>
      </c>
      <c r="J32" s="65"/>
      <c r="K32" s="4">
        <v>0</v>
      </c>
      <c r="L32" s="37">
        <f t="shared" si="1"/>
        <v>0</v>
      </c>
      <c r="M32" s="28"/>
      <c r="N32" s="28"/>
      <c r="O32" s="28"/>
      <c r="P32" s="28"/>
      <c r="Q32" s="28"/>
      <c r="R32" s="28"/>
      <c r="S32" s="28"/>
    </row>
    <row r="33" spans="1:19" ht="15.75" hidden="1" x14ac:dyDescent="0.25">
      <c r="A33" s="39" t="s">
        <v>75</v>
      </c>
      <c r="B33" s="28"/>
      <c r="C33" s="4">
        <f>+Tiljala!M15</f>
        <v>0</v>
      </c>
      <c r="D33" s="4">
        <f>+Tiljala!N15</f>
        <v>0</v>
      </c>
      <c r="E33" s="4">
        <f>+Tiljala!O15</f>
        <v>0</v>
      </c>
      <c r="F33" s="4">
        <f>+Tiljala!P15</f>
        <v>0</v>
      </c>
      <c r="G33" s="4">
        <f>+Tiljala!Q15</f>
        <v>0</v>
      </c>
      <c r="H33" s="4">
        <f>+Tiljala!R15</f>
        <v>0</v>
      </c>
      <c r="I33" s="4">
        <f>+Tiljala!U15</f>
        <v>0</v>
      </c>
      <c r="J33" s="65"/>
      <c r="K33" s="4">
        <v>0</v>
      </c>
      <c r="L33" s="37">
        <f t="shared" si="1"/>
        <v>0</v>
      </c>
      <c r="M33" s="28"/>
      <c r="N33" s="28"/>
      <c r="O33" s="28"/>
      <c r="P33" s="28"/>
      <c r="Q33" s="28"/>
      <c r="R33" s="28"/>
      <c r="S33" s="28"/>
    </row>
    <row r="34" spans="1:19" ht="15.75" hidden="1" x14ac:dyDescent="0.25">
      <c r="A34" s="39" t="s">
        <v>37</v>
      </c>
      <c r="B34" s="28"/>
      <c r="C34" s="4">
        <f>+Tiljala!M16</f>
        <v>0</v>
      </c>
      <c r="D34" s="4">
        <f>+Tiljala!N16</f>
        <v>0</v>
      </c>
      <c r="E34" s="4">
        <f>+Tiljala!O16</f>
        <v>0</v>
      </c>
      <c r="F34" s="4">
        <f>+Tiljala!P16</f>
        <v>0</v>
      </c>
      <c r="G34" s="4">
        <f>+Tiljala!Q16</f>
        <v>0</v>
      </c>
      <c r="H34" s="4">
        <f>+Tiljala!R16</f>
        <v>0</v>
      </c>
      <c r="I34" s="4">
        <f>+Tiljala!U16</f>
        <v>0</v>
      </c>
      <c r="J34" s="65"/>
      <c r="K34" s="4">
        <v>0</v>
      </c>
      <c r="L34" s="37">
        <f t="shared" si="1"/>
        <v>0</v>
      </c>
      <c r="M34" s="28"/>
      <c r="N34" s="28"/>
      <c r="O34" s="28"/>
      <c r="P34" s="28"/>
      <c r="Q34" s="28"/>
      <c r="R34" s="28"/>
      <c r="S34" s="28"/>
    </row>
    <row r="35" spans="1:19" ht="15.75" hidden="1" x14ac:dyDescent="0.25">
      <c r="A35" s="39" t="s">
        <v>38</v>
      </c>
      <c r="B35" s="28"/>
      <c r="C35" s="4">
        <f>+Tiljala!M17</f>
        <v>0</v>
      </c>
      <c r="D35" s="4">
        <f>+Tiljala!N17</f>
        <v>0</v>
      </c>
      <c r="E35" s="4">
        <f>+Tiljala!O17</f>
        <v>0</v>
      </c>
      <c r="F35" s="4">
        <f>+Tiljala!P17</f>
        <v>0</v>
      </c>
      <c r="G35" s="4">
        <f>+Tiljala!Q17</f>
        <v>0</v>
      </c>
      <c r="H35" s="4">
        <f>+Tiljala!R17</f>
        <v>0</v>
      </c>
      <c r="I35" s="4">
        <f>+Tiljala!U17</f>
        <v>0</v>
      </c>
      <c r="J35" s="65"/>
      <c r="K35" s="4">
        <v>0</v>
      </c>
      <c r="L35" s="37">
        <f t="shared" si="1"/>
        <v>0</v>
      </c>
      <c r="M35" s="28"/>
      <c r="N35" s="28"/>
      <c r="O35" s="28"/>
      <c r="P35" s="28"/>
      <c r="Q35" s="28"/>
      <c r="R35" s="28"/>
      <c r="S35" s="28"/>
    </row>
    <row r="36" spans="1:19" ht="15.75" hidden="1" x14ac:dyDescent="0.25">
      <c r="A36" s="39" t="s">
        <v>39</v>
      </c>
      <c r="B36" s="28"/>
      <c r="C36" s="4">
        <f>+Tiljala!M18</f>
        <v>0</v>
      </c>
      <c r="D36" s="4">
        <f>+Tiljala!N18</f>
        <v>0</v>
      </c>
      <c r="E36" s="4">
        <f>+Tiljala!O18</f>
        <v>0</v>
      </c>
      <c r="F36" s="4">
        <f>+Tiljala!P18</f>
        <v>0</v>
      </c>
      <c r="G36" s="4">
        <f>+Tiljala!Q18</f>
        <v>0</v>
      </c>
      <c r="H36" s="4">
        <f>+Tiljala!R18</f>
        <v>0</v>
      </c>
      <c r="I36" s="4">
        <f>+Tiljala!U18</f>
        <v>0</v>
      </c>
      <c r="J36" s="65"/>
      <c r="K36" s="4">
        <v>0</v>
      </c>
      <c r="L36" s="37">
        <f t="shared" si="1"/>
        <v>0</v>
      </c>
      <c r="M36" s="28"/>
      <c r="N36" s="28"/>
      <c r="O36" s="28"/>
      <c r="P36" s="28"/>
      <c r="Q36" s="28"/>
      <c r="R36" s="28"/>
      <c r="S36" s="28"/>
    </row>
    <row r="37" spans="1:19" ht="15.75" hidden="1" x14ac:dyDescent="0.25">
      <c r="A37" s="39" t="s">
        <v>40</v>
      </c>
      <c r="B37" s="28"/>
      <c r="C37" s="4">
        <f>+Tiljala!M19</f>
        <v>0</v>
      </c>
      <c r="D37" s="4">
        <f>+Tiljala!N19</f>
        <v>0</v>
      </c>
      <c r="E37" s="4">
        <f>+Tiljala!O19</f>
        <v>0</v>
      </c>
      <c r="F37" s="4">
        <f>+Tiljala!P19</f>
        <v>0</v>
      </c>
      <c r="G37" s="4">
        <f>+Tiljala!Q19</f>
        <v>0</v>
      </c>
      <c r="H37" s="4">
        <f>+Tiljala!R19</f>
        <v>0</v>
      </c>
      <c r="I37" s="4">
        <f>+Tiljala!U19</f>
        <v>0</v>
      </c>
      <c r="J37" s="65"/>
      <c r="K37" s="4">
        <v>0</v>
      </c>
      <c r="L37" s="37">
        <f t="shared" si="1"/>
        <v>0</v>
      </c>
      <c r="M37" s="28"/>
      <c r="N37" s="28"/>
      <c r="O37" s="28"/>
      <c r="P37" s="28"/>
      <c r="Q37" s="28"/>
      <c r="R37" s="28"/>
      <c r="S37" s="28"/>
    </row>
    <row r="38" spans="1:19" ht="15.75" hidden="1" x14ac:dyDescent="0.25">
      <c r="A38" s="39" t="s">
        <v>41</v>
      </c>
      <c r="B38" s="28"/>
      <c r="C38" s="4">
        <f>+Tiljala!M20</f>
        <v>0</v>
      </c>
      <c r="D38" s="4">
        <f>+Tiljala!N20</f>
        <v>0</v>
      </c>
      <c r="E38" s="4">
        <f>+Tiljala!O20+Daman!O17</f>
        <v>0</v>
      </c>
      <c r="F38" s="4">
        <f>+Tiljala!P20</f>
        <v>0</v>
      </c>
      <c r="G38" s="4">
        <f>+Tiljala!Q20</f>
        <v>0</v>
      </c>
      <c r="H38" s="4">
        <f>+Tiljala!R20</f>
        <v>0</v>
      </c>
      <c r="I38" s="4">
        <f>+Tiljala!U20</f>
        <v>0</v>
      </c>
      <c r="J38" s="65"/>
      <c r="K38" s="4">
        <v>0</v>
      </c>
      <c r="L38" s="37">
        <f t="shared" si="1"/>
        <v>0</v>
      </c>
      <c r="M38" s="28"/>
      <c r="N38" s="28"/>
      <c r="O38" s="28"/>
      <c r="P38" s="28"/>
      <c r="Q38" s="28"/>
      <c r="R38" s="28"/>
      <c r="S38" s="28"/>
    </row>
    <row r="39" spans="1:19" ht="15.75" hidden="1" x14ac:dyDescent="0.25">
      <c r="A39" s="39" t="s">
        <v>46</v>
      </c>
      <c r="B39" s="28"/>
      <c r="C39" s="4">
        <f>+Tiljala!M21</f>
        <v>0</v>
      </c>
      <c r="D39" s="4">
        <f>+Tiljala!N21</f>
        <v>0</v>
      </c>
      <c r="E39" s="4">
        <f>+Tiljala!O21</f>
        <v>0</v>
      </c>
      <c r="F39" s="4">
        <f>+Tiljala!P21</f>
        <v>0</v>
      </c>
      <c r="G39" s="4">
        <f>+Tiljala!Q21</f>
        <v>0</v>
      </c>
      <c r="H39" s="4">
        <f>+Tiljala!R21</f>
        <v>0</v>
      </c>
      <c r="I39" s="4">
        <f>+Tiljala!U21</f>
        <v>0</v>
      </c>
      <c r="J39" s="65"/>
      <c r="K39" s="4">
        <v>0</v>
      </c>
      <c r="L39" s="37">
        <f t="shared" si="1"/>
        <v>0</v>
      </c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9" t="s">
        <v>47</v>
      </c>
      <c r="B40" s="28"/>
      <c r="C40" s="4">
        <f>+Tiljala!M22</f>
        <v>0</v>
      </c>
      <c r="D40" s="4">
        <f>+Tiljala!N22</f>
        <v>0</v>
      </c>
      <c r="E40" s="4">
        <f>+Tiljala!O22</f>
        <v>0</v>
      </c>
      <c r="F40" s="4">
        <f>+Tiljala!P22</f>
        <v>0</v>
      </c>
      <c r="G40" s="4">
        <f>+Tiljala!Q22</f>
        <v>0</v>
      </c>
      <c r="H40" s="4">
        <f>+Tiljala!R22</f>
        <v>0</v>
      </c>
      <c r="I40" s="4">
        <f>+Tiljala!U22</f>
        <v>0</v>
      </c>
      <c r="J40" s="65"/>
      <c r="K40" s="4">
        <f>Baddi!Q21</f>
        <v>8263803</v>
      </c>
      <c r="L40" s="37">
        <f t="shared" si="1"/>
        <v>8263803</v>
      </c>
      <c r="M40" s="28"/>
      <c r="N40" s="28"/>
      <c r="O40" s="28"/>
      <c r="P40" s="28"/>
      <c r="Q40" s="28"/>
      <c r="R40" s="28"/>
      <c r="S40" s="28"/>
    </row>
    <row r="41" spans="1:19" ht="15.75" hidden="1" x14ac:dyDescent="0.25">
      <c r="A41" s="39" t="s">
        <v>48</v>
      </c>
      <c r="B41" s="28"/>
      <c r="C41" s="4">
        <f>+Tiljala!M23</f>
        <v>0</v>
      </c>
      <c r="D41" s="4">
        <f>+Tiljala!N23</f>
        <v>0</v>
      </c>
      <c r="E41" s="4">
        <f>+Tiljala!O23</f>
        <v>0</v>
      </c>
      <c r="F41" s="4">
        <f>+Tiljala!P23</f>
        <v>0</v>
      </c>
      <c r="G41" s="4">
        <f>+Tiljala!Q23</f>
        <v>0</v>
      </c>
      <c r="H41" s="4">
        <f>+Tiljala!R23</f>
        <v>0</v>
      </c>
      <c r="I41" s="4">
        <f>+Tiljala!U23</f>
        <v>0</v>
      </c>
      <c r="J41" s="65"/>
      <c r="K41" s="4">
        <v>0</v>
      </c>
      <c r="L41" s="37">
        <f t="shared" si="1"/>
        <v>0</v>
      </c>
      <c r="M41" s="28"/>
      <c r="N41" s="28"/>
      <c r="O41" s="28"/>
      <c r="P41" s="28"/>
      <c r="Q41" s="28"/>
      <c r="R41" s="28"/>
      <c r="S41" s="28"/>
    </row>
    <row r="42" spans="1:19" ht="15.75" hidden="1" x14ac:dyDescent="0.25">
      <c r="A42" s="39" t="s">
        <v>49</v>
      </c>
      <c r="B42" s="28"/>
      <c r="C42" s="4">
        <f>+Tiljala!M24</f>
        <v>0</v>
      </c>
      <c r="D42" s="4">
        <f>+Tiljala!N24</f>
        <v>0</v>
      </c>
      <c r="E42" s="4">
        <f>+Tiljala!O24</f>
        <v>0</v>
      </c>
      <c r="F42" s="4">
        <f>+Tiljala!P24</f>
        <v>0</v>
      </c>
      <c r="G42" s="4">
        <f>+Tiljala!Q24</f>
        <v>0</v>
      </c>
      <c r="H42" s="4">
        <f>+Tiljala!R24</f>
        <v>0</v>
      </c>
      <c r="I42" s="4">
        <f>+Tiljala!U24</f>
        <v>0</v>
      </c>
      <c r="J42" s="65"/>
      <c r="K42" s="4">
        <v>0</v>
      </c>
      <c r="L42" s="37">
        <f t="shared" si="1"/>
        <v>0</v>
      </c>
      <c r="M42" s="28"/>
      <c r="N42" s="28"/>
      <c r="O42" s="28"/>
      <c r="P42" s="28"/>
      <c r="Q42" s="28"/>
      <c r="R42" s="28"/>
      <c r="S42" s="28"/>
    </row>
    <row r="43" spans="1:19" ht="15.75" hidden="1" x14ac:dyDescent="0.25">
      <c r="A43" s="39" t="s">
        <v>74</v>
      </c>
      <c r="B43" s="28"/>
      <c r="C43" s="4">
        <f>+Tiljala!M25</f>
        <v>0</v>
      </c>
      <c r="D43" s="4">
        <f>+Tiljala!N25</f>
        <v>0</v>
      </c>
      <c r="E43" s="4">
        <f>+Tiljala!O25+Daman!O23</f>
        <v>0</v>
      </c>
      <c r="F43" s="4">
        <f>+Tiljala!P25</f>
        <v>0</v>
      </c>
      <c r="G43" s="4">
        <f>+Tiljala!Q25</f>
        <v>0</v>
      </c>
      <c r="H43" s="4">
        <f>+Tiljala!R25</f>
        <v>0</v>
      </c>
      <c r="I43" s="4">
        <f>+Tiljala!U25+Daman!S27</f>
        <v>1382625</v>
      </c>
      <c r="J43" s="4">
        <f>+Tiljala!V25+Daman!T27</f>
        <v>2219582</v>
      </c>
      <c r="K43" s="4">
        <v>0</v>
      </c>
      <c r="L43" s="37">
        <f t="shared" si="1"/>
        <v>3602207</v>
      </c>
      <c r="M43" s="28"/>
      <c r="N43" s="28"/>
      <c r="O43" s="28"/>
      <c r="P43" s="28"/>
      <c r="Q43" s="28"/>
      <c r="R43" s="28"/>
      <c r="S43" s="28"/>
    </row>
    <row r="44" spans="1:19" ht="15.75" hidden="1" x14ac:dyDescent="0.25">
      <c r="A44" s="39" t="s">
        <v>44</v>
      </c>
      <c r="B44" s="28"/>
      <c r="C44" s="4">
        <f>+Tiljala!M26</f>
        <v>0</v>
      </c>
      <c r="D44" s="4">
        <f>+Tiljala!N26</f>
        <v>0</v>
      </c>
      <c r="E44" s="4">
        <f>+Tiljala!O26</f>
        <v>0</v>
      </c>
      <c r="F44" s="4">
        <f>+Tiljala!P26</f>
        <v>0</v>
      </c>
      <c r="G44" s="4">
        <f>+Tiljala!Q26</f>
        <v>0</v>
      </c>
      <c r="H44" s="4">
        <f>+Tiljala!R26</f>
        <v>0</v>
      </c>
      <c r="I44" s="4">
        <f>+Tiljala!U26</f>
        <v>0</v>
      </c>
      <c r="J44" s="65"/>
      <c r="K44" s="4">
        <v>0</v>
      </c>
      <c r="L44" s="37">
        <f t="shared" si="1"/>
        <v>0</v>
      </c>
      <c r="M44" s="28"/>
      <c r="N44" s="28"/>
      <c r="O44" s="28"/>
      <c r="P44" s="28"/>
      <c r="Q44" s="28"/>
      <c r="R44" s="28"/>
      <c r="S44" s="28"/>
    </row>
    <row r="45" spans="1:19" s="68" customFormat="1" ht="15.75" hidden="1" x14ac:dyDescent="0.25">
      <c r="A45" s="84" t="s">
        <v>82</v>
      </c>
      <c r="B45" s="28"/>
      <c r="C45" s="4"/>
      <c r="D45" s="4"/>
      <c r="E45" s="4"/>
      <c r="F45" s="4"/>
      <c r="G45" s="4"/>
      <c r="H45" s="4"/>
      <c r="I45" s="4"/>
      <c r="J45" s="65"/>
      <c r="K45" s="4"/>
      <c r="L45" s="37"/>
      <c r="M45" s="28"/>
      <c r="N45" s="28"/>
      <c r="O45" s="28"/>
      <c r="P45" s="28"/>
      <c r="Q45" s="28"/>
      <c r="R45" s="28"/>
      <c r="S45" s="28"/>
    </row>
    <row r="46" spans="1:19" s="68" customFormat="1" ht="15.75" hidden="1" x14ac:dyDescent="0.25">
      <c r="A46" s="84" t="s">
        <v>83</v>
      </c>
      <c r="B46" s="28"/>
      <c r="C46" s="4"/>
      <c r="D46" s="4"/>
      <c r="E46" s="4"/>
      <c r="F46" s="4"/>
      <c r="G46" s="4"/>
      <c r="H46" s="4"/>
      <c r="I46" s="4"/>
      <c r="J46" s="65"/>
      <c r="K46" s="4"/>
      <c r="L46" s="37"/>
      <c r="M46" s="28"/>
      <c r="N46" s="28"/>
      <c r="O46" s="28"/>
      <c r="P46" s="28"/>
      <c r="Q46" s="28"/>
      <c r="R46" s="28"/>
      <c r="S46" s="28"/>
    </row>
    <row r="47" spans="1:19" s="68" customFormat="1" ht="15.75" hidden="1" x14ac:dyDescent="0.25">
      <c r="A47" s="84" t="s">
        <v>84</v>
      </c>
      <c r="B47" s="28"/>
      <c r="C47" s="4"/>
      <c r="D47" s="4"/>
      <c r="E47" s="4"/>
      <c r="F47" s="4"/>
      <c r="G47" s="4"/>
      <c r="H47" s="4"/>
      <c r="I47" s="4"/>
      <c r="J47" s="65"/>
      <c r="K47" s="4"/>
      <c r="L47" s="37"/>
      <c r="M47" s="28"/>
      <c r="N47" s="28"/>
      <c r="O47" s="28"/>
      <c r="P47" s="28"/>
      <c r="Q47" s="28"/>
      <c r="R47" s="28"/>
      <c r="S47" s="28"/>
    </row>
    <row r="48" spans="1:19" s="68" customFormat="1" ht="15.75" hidden="1" x14ac:dyDescent="0.25">
      <c r="A48" s="84" t="s">
        <v>85</v>
      </c>
      <c r="B48" s="28"/>
      <c r="C48" s="4"/>
      <c r="D48" s="4"/>
      <c r="E48" s="4"/>
      <c r="F48" s="4"/>
      <c r="G48" s="4"/>
      <c r="H48" s="4"/>
      <c r="I48" s="4"/>
      <c r="J48" s="65"/>
      <c r="K48" s="4"/>
      <c r="L48" s="37"/>
      <c r="M48" s="28"/>
      <c r="N48" s="28"/>
      <c r="O48" s="28"/>
      <c r="P48" s="28"/>
      <c r="Q48" s="28"/>
      <c r="R48" s="28"/>
      <c r="S48" s="28"/>
    </row>
    <row r="49" spans="1:19" s="68" customFormat="1" ht="15.75" hidden="1" x14ac:dyDescent="0.25">
      <c r="A49" s="84" t="s">
        <v>86</v>
      </c>
      <c r="B49" s="28"/>
      <c r="C49" s="4"/>
      <c r="D49" s="4"/>
      <c r="E49" s="4"/>
      <c r="F49" s="4"/>
      <c r="G49" s="4"/>
      <c r="H49" s="4"/>
      <c r="I49" s="4"/>
      <c r="J49" s="65"/>
      <c r="K49" s="4"/>
      <c r="L49" s="37"/>
      <c r="M49" s="28"/>
      <c r="N49" s="28"/>
      <c r="O49" s="28"/>
      <c r="P49" s="28"/>
      <c r="Q49" s="28"/>
      <c r="R49" s="28"/>
      <c r="S49" s="28"/>
    </row>
    <row r="50" spans="1:19" s="68" customFormat="1" ht="15.75" hidden="1" x14ac:dyDescent="0.25">
      <c r="A50" s="84" t="s">
        <v>87</v>
      </c>
      <c r="B50" s="28"/>
      <c r="C50" s="4"/>
      <c r="D50" s="4"/>
      <c r="E50" s="4"/>
      <c r="F50" s="4"/>
      <c r="G50" s="4"/>
      <c r="H50" s="4"/>
      <c r="I50" s="4"/>
      <c r="J50" s="65"/>
      <c r="K50" s="4"/>
      <c r="L50" s="37"/>
      <c r="M50" s="28"/>
      <c r="N50" s="28"/>
      <c r="O50" s="28"/>
      <c r="P50" s="28"/>
      <c r="Q50" s="28"/>
      <c r="R50" s="28"/>
      <c r="S50" s="28"/>
    </row>
    <row r="51" spans="1:19" s="68" customFormat="1" ht="15.75" hidden="1" x14ac:dyDescent="0.25">
      <c r="A51" s="85" t="s">
        <v>88</v>
      </c>
      <c r="B51" s="28"/>
      <c r="C51" s="4"/>
      <c r="D51" s="4"/>
      <c r="E51" s="4"/>
      <c r="F51" s="4"/>
      <c r="G51" s="4"/>
      <c r="H51" s="4"/>
      <c r="I51" s="4"/>
      <c r="J51" s="65"/>
      <c r="K51" s="4"/>
      <c r="L51" s="37"/>
      <c r="M51" s="28"/>
      <c r="N51" s="28"/>
      <c r="O51" s="28"/>
      <c r="P51" s="28"/>
      <c r="Q51" s="28"/>
      <c r="R51" s="28"/>
      <c r="S51" s="28"/>
    </row>
    <row r="52" spans="1:19" s="68" customFormat="1" ht="15.75" hidden="1" x14ac:dyDescent="0.25">
      <c r="A52" s="85" t="s">
        <v>77</v>
      </c>
      <c r="B52" s="28"/>
      <c r="C52" s="4"/>
      <c r="D52" s="4"/>
      <c r="E52" s="4"/>
      <c r="F52" s="4"/>
      <c r="G52" s="4"/>
      <c r="H52" s="4"/>
      <c r="I52" s="4"/>
      <c r="J52" s="65"/>
      <c r="K52" s="4"/>
      <c r="L52" s="37"/>
      <c r="M52" s="28"/>
      <c r="N52" s="28"/>
      <c r="O52" s="28"/>
      <c r="P52" s="28"/>
      <c r="Q52" s="28"/>
      <c r="R52" s="28"/>
      <c r="S52" s="28"/>
    </row>
    <row r="53" spans="1:19" s="68" customFormat="1" ht="15.75" hidden="1" x14ac:dyDescent="0.25">
      <c r="A53" s="85" t="s">
        <v>89</v>
      </c>
      <c r="B53" s="28"/>
      <c r="C53" s="4"/>
      <c r="D53" s="4"/>
      <c r="E53" s="4"/>
      <c r="F53" s="4"/>
      <c r="G53" s="4"/>
      <c r="H53" s="4"/>
      <c r="I53" s="4"/>
      <c r="J53" s="65"/>
      <c r="K53" s="4"/>
      <c r="L53" s="37"/>
      <c r="M53" s="28"/>
      <c r="N53" s="28"/>
      <c r="O53" s="28"/>
      <c r="P53" s="28"/>
      <c r="Q53" s="28"/>
      <c r="R53" s="28"/>
      <c r="S53" s="28"/>
    </row>
    <row r="54" spans="1:19" s="68" customFormat="1" ht="15.75" hidden="1" x14ac:dyDescent="0.25">
      <c r="A54" s="85" t="s">
        <v>90</v>
      </c>
      <c r="B54" s="28"/>
      <c r="C54" s="4"/>
      <c r="D54" s="4"/>
      <c r="E54" s="4"/>
      <c r="F54" s="4"/>
      <c r="G54" s="4"/>
      <c r="H54" s="4"/>
      <c r="I54" s="4"/>
      <c r="J54" s="65"/>
      <c r="K54" s="4"/>
      <c r="L54" s="37"/>
      <c r="M54" s="28"/>
      <c r="N54" s="28"/>
      <c r="O54" s="28"/>
      <c r="P54" s="28"/>
      <c r="Q54" s="28"/>
      <c r="R54" s="28"/>
      <c r="S54" s="28"/>
    </row>
    <row r="55" spans="1:19" s="68" customFormat="1" ht="15.75" hidden="1" x14ac:dyDescent="0.25">
      <c r="A55" s="85" t="s">
        <v>91</v>
      </c>
      <c r="B55" s="28"/>
      <c r="C55" s="4"/>
      <c r="D55" s="4"/>
      <c r="E55" s="4"/>
      <c r="F55" s="4"/>
      <c r="G55" s="4"/>
      <c r="H55" s="4"/>
      <c r="I55" s="4"/>
      <c r="J55" s="65"/>
      <c r="K55" s="4"/>
      <c r="L55" s="37"/>
      <c r="M55" s="28"/>
      <c r="N55" s="28"/>
      <c r="O55" s="28"/>
      <c r="P55" s="28"/>
      <c r="Q55" s="28"/>
      <c r="R55" s="28"/>
      <c r="S55" s="28"/>
    </row>
    <row r="56" spans="1:19" s="68" customFormat="1" ht="15.75" hidden="1" x14ac:dyDescent="0.25">
      <c r="A56" s="85" t="s">
        <v>92</v>
      </c>
      <c r="B56" s="28"/>
      <c r="C56" s="4"/>
      <c r="D56" s="4"/>
      <c r="E56" s="4"/>
      <c r="F56" s="4"/>
      <c r="G56" s="4"/>
      <c r="H56" s="4"/>
      <c r="I56" s="4"/>
      <c r="J56" s="65"/>
      <c r="K56" s="4"/>
      <c r="L56" s="37"/>
      <c r="M56" s="28"/>
      <c r="N56" s="28"/>
      <c r="O56" s="28"/>
      <c r="P56" s="28"/>
      <c r="Q56" s="28"/>
      <c r="R56" s="28"/>
      <c r="S56" s="28"/>
    </row>
    <row r="57" spans="1:19" ht="16.5" thickBot="1" x14ac:dyDescent="0.3">
      <c r="A57" s="33"/>
      <c r="B57" s="28"/>
      <c r="C57" s="4">
        <f>+Tiljala!M27</f>
        <v>0</v>
      </c>
      <c r="D57" s="4">
        <f>+Tiljala!N27</f>
        <v>0</v>
      </c>
      <c r="E57" s="4">
        <f>+Tiljala!O27</f>
        <v>0</v>
      </c>
      <c r="F57" s="4">
        <f>+Tiljala!P27</f>
        <v>0</v>
      </c>
      <c r="G57" s="4">
        <f>+Tiljala!Q27</f>
        <v>0</v>
      </c>
      <c r="H57" s="4">
        <f>+Tiljala!R27</f>
        <v>0</v>
      </c>
      <c r="I57" s="4">
        <f>+Tiljala!U27</f>
        <v>0</v>
      </c>
      <c r="J57" s="65"/>
      <c r="K57" s="4">
        <v>0</v>
      </c>
      <c r="L57" s="37">
        <f t="shared" si="1"/>
        <v>0</v>
      </c>
      <c r="M57" s="28"/>
      <c r="N57" s="28"/>
      <c r="O57" s="28"/>
      <c r="P57" s="28"/>
      <c r="Q57" s="28"/>
      <c r="R57" s="28"/>
      <c r="S57" s="28"/>
    </row>
    <row r="58" spans="1:19" s="74" customFormat="1" ht="16.5" thickBot="1" x14ac:dyDescent="0.3">
      <c r="A58" s="70" t="s">
        <v>1</v>
      </c>
      <c r="B58" s="73"/>
      <c r="C58" s="71">
        <f t="shared" ref="C58:L58" si="2">SUM(C3:C57)</f>
        <v>0</v>
      </c>
      <c r="D58" s="71">
        <f t="shared" si="2"/>
        <v>0</v>
      </c>
      <c r="E58" s="71">
        <f t="shared" si="2"/>
        <v>3466736</v>
      </c>
      <c r="F58" s="72">
        <f t="shared" si="2"/>
        <v>17832017</v>
      </c>
      <c r="G58" s="72">
        <f t="shared" si="2"/>
        <v>160054043</v>
      </c>
      <c r="H58" s="72">
        <f t="shared" si="2"/>
        <v>503178772.58653617</v>
      </c>
      <c r="I58" s="72">
        <f t="shared" si="2"/>
        <v>1088565820</v>
      </c>
      <c r="J58" s="72">
        <f t="shared" si="2"/>
        <v>3931975373</v>
      </c>
      <c r="K58" s="72">
        <f t="shared" si="2"/>
        <v>1846668157</v>
      </c>
      <c r="L58" s="72">
        <f t="shared" si="2"/>
        <v>7551740918.5865364</v>
      </c>
      <c r="M58" s="73"/>
      <c r="N58" s="73"/>
      <c r="O58" s="73"/>
      <c r="P58" s="73"/>
      <c r="Q58" s="73"/>
      <c r="R58" s="73"/>
      <c r="S58" s="73"/>
    </row>
    <row r="59" spans="1:19" ht="15.75" x14ac:dyDescent="0.25">
      <c r="A59" s="28"/>
      <c r="B59" s="28"/>
      <c r="C59" s="95">
        <f t="shared" ref="C59:L59" si="3">C58/10^7</f>
        <v>0</v>
      </c>
      <c r="D59" s="95">
        <f t="shared" si="3"/>
        <v>0</v>
      </c>
      <c r="E59" s="95">
        <f t="shared" si="3"/>
        <v>0.34667360000000003</v>
      </c>
      <c r="F59" s="95">
        <f t="shared" si="3"/>
        <v>1.7832017</v>
      </c>
      <c r="G59" s="95">
        <f t="shared" si="3"/>
        <v>16.005404299999999</v>
      </c>
      <c r="H59" s="95">
        <f t="shared" si="3"/>
        <v>50.317877258653617</v>
      </c>
      <c r="I59" s="95">
        <f t="shared" si="3"/>
        <v>108.856582</v>
      </c>
      <c r="J59" s="95">
        <f t="shared" si="3"/>
        <v>393.19753730000002</v>
      </c>
      <c r="K59" s="95">
        <f t="shared" si="3"/>
        <v>184.6668157</v>
      </c>
      <c r="L59" s="95">
        <f t="shared" si="3"/>
        <v>755.1740918586537</v>
      </c>
      <c r="M59" s="28"/>
      <c r="N59" s="28"/>
      <c r="O59" s="28"/>
      <c r="P59" s="28"/>
      <c r="Q59" s="28"/>
      <c r="R59" s="28"/>
      <c r="S59" s="28"/>
    </row>
    <row r="60" spans="1:19" ht="15.75" x14ac:dyDescent="0.25">
      <c r="A60" s="28"/>
      <c r="B60" s="28"/>
      <c r="C60" s="86" t="e">
        <f>C59/#REF!</f>
        <v>#REF!</v>
      </c>
      <c r="D60" s="86" t="e">
        <f>D59/#REF!</f>
        <v>#REF!</v>
      </c>
      <c r="E60" s="86" t="e">
        <f>E59/#REF!</f>
        <v>#REF!</v>
      </c>
      <c r="F60" s="86" t="e">
        <f>F59/#REF!</f>
        <v>#REF!</v>
      </c>
      <c r="G60" s="86" t="e">
        <f>G59/#REF!</f>
        <v>#REF!</v>
      </c>
      <c r="H60" s="86" t="e">
        <f>H59/#REF!</f>
        <v>#REF!</v>
      </c>
      <c r="I60" s="86" t="e">
        <f>I59/#REF!</f>
        <v>#REF!</v>
      </c>
      <c r="J60" s="86" t="e">
        <f>J59/#REF!</f>
        <v>#REF!</v>
      </c>
      <c r="K60" s="86" t="e">
        <f>K59/#REF!</f>
        <v>#REF!</v>
      </c>
      <c r="L60" s="86" t="e">
        <f>L59/#REF!</f>
        <v>#REF!</v>
      </c>
      <c r="M60" s="28"/>
      <c r="N60" s="28"/>
      <c r="O60" s="28"/>
      <c r="P60" s="28"/>
      <c r="Q60" s="28"/>
      <c r="R60" s="28"/>
      <c r="S60" s="28"/>
    </row>
    <row r="61" spans="1:19" ht="15.75" x14ac:dyDescent="0.25">
      <c r="A61" s="28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38"/>
      <c r="M61" s="28"/>
      <c r="N61" s="28"/>
      <c r="O61" s="28"/>
      <c r="P61" s="28"/>
      <c r="Q61" s="28"/>
      <c r="R61" s="28"/>
      <c r="S61" s="28"/>
    </row>
    <row r="62" spans="1:1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8.75" x14ac:dyDescent="0.3">
      <c r="A66" s="53" t="s">
        <v>55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8.75" x14ac:dyDescent="0.3">
      <c r="A68" s="54" t="s"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8.75" x14ac:dyDescent="0.3">
      <c r="A69" s="53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8.75" x14ac:dyDescent="0.3">
      <c r="A70" s="53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8.75" x14ac:dyDescent="0.3">
      <c r="A71" s="53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8.75" x14ac:dyDescent="0.3">
      <c r="A72" s="53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8.75" x14ac:dyDescent="0.3">
      <c r="A73" s="53" t="s">
        <v>9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8.75" x14ac:dyDescent="0.3">
      <c r="A74" s="69"/>
      <c r="C74" s="2"/>
      <c r="D74" s="2"/>
      <c r="E74" s="2"/>
      <c r="F74" s="2"/>
      <c r="G74" s="2"/>
      <c r="H74" s="2"/>
      <c r="I74" s="2"/>
      <c r="J74" s="2"/>
      <c r="K74" s="2"/>
      <c r="L74" s="2"/>
    </row>
  </sheetData>
  <autoFilter ref="A3:AS56">
    <filterColumn colId="0">
      <filters>
        <filter val="Amway"/>
        <filter val="MHS Pharmaceuticals Pvt Ltd"/>
        <filter val="Oriflame"/>
        <filter val="Oriflame-H-Form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pane xSplit="1" topLeftCell="U1" activePane="topRight" state="frozen"/>
      <selection activeCell="P28" sqref="P28"/>
      <selection pane="topRight" activeCell="A16" sqref="A16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5" width="14" bestFit="1" customWidth="1"/>
    <col min="6" max="6" width="16.7109375" bestFit="1" customWidth="1"/>
    <col min="7" max="7" width="14" bestFit="1" customWidth="1"/>
    <col min="8" max="8" width="14" style="68" customWidth="1"/>
    <col min="9" max="9" width="15.42578125" bestFit="1" customWidth="1"/>
    <col min="11" max="11" width="10.28515625" bestFit="1" customWidth="1"/>
    <col min="12" max="12" width="13.28515625" bestFit="1" customWidth="1"/>
    <col min="13" max="13" width="14" bestFit="1" customWidth="1"/>
    <col min="14" max="14" width="14.140625" bestFit="1" customWidth="1"/>
    <col min="15" max="15" width="14" bestFit="1" customWidth="1"/>
    <col min="16" max="16" width="14" customWidth="1"/>
    <col min="17" max="17" width="14" style="68" customWidth="1"/>
    <col min="18" max="18" width="18.42578125" bestFit="1" customWidth="1"/>
    <col min="20" max="21" width="12" bestFit="1" customWidth="1"/>
    <col min="22" max="23" width="13.7109375" bestFit="1" customWidth="1"/>
    <col min="24" max="24" width="13.28515625" bestFit="1" customWidth="1"/>
    <col min="25" max="25" width="13.28515625" customWidth="1"/>
    <col min="26" max="26" width="13.28515625" style="68" customWidth="1"/>
    <col min="27" max="27" width="15.7109375" bestFit="1" customWidth="1"/>
    <col min="28" max="28" width="14.7109375" bestFit="1" customWidth="1"/>
  </cols>
  <sheetData>
    <row r="1" spans="1:28" x14ac:dyDescent="0.25">
      <c r="A1" s="8" t="s">
        <v>93</v>
      </c>
      <c r="B1" s="9"/>
      <c r="C1" s="9"/>
      <c r="D1" s="9"/>
      <c r="E1" s="9"/>
      <c r="F1" s="9"/>
      <c r="G1" s="9"/>
      <c r="H1" s="9"/>
      <c r="I1" s="9"/>
      <c r="J1" s="9"/>
      <c r="K1" s="9" t="s">
        <v>24</v>
      </c>
      <c r="L1" s="9"/>
      <c r="M1" s="9"/>
      <c r="N1" s="9"/>
      <c r="O1" s="9"/>
      <c r="P1" s="9"/>
      <c r="Q1" s="9"/>
      <c r="R1" s="9"/>
      <c r="S1" s="9"/>
      <c r="T1" s="9" t="s">
        <v>25</v>
      </c>
      <c r="U1" s="9"/>
      <c r="V1" s="9"/>
      <c r="W1" s="9"/>
      <c r="X1" s="9"/>
      <c r="Y1" s="9"/>
      <c r="Z1" s="9"/>
      <c r="AA1" s="9"/>
    </row>
    <row r="2" spans="1:28" x14ac:dyDescent="0.25">
      <c r="A2" s="10" t="s">
        <v>0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23</v>
      </c>
      <c r="G2" s="10" t="s">
        <v>67</v>
      </c>
      <c r="H2" s="10" t="s">
        <v>78</v>
      </c>
      <c r="I2" s="10" t="s">
        <v>26</v>
      </c>
      <c r="J2" s="9"/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23</v>
      </c>
      <c r="P2" s="10" t="s">
        <v>67</v>
      </c>
      <c r="Q2" s="10" t="s">
        <v>78</v>
      </c>
      <c r="R2" s="10" t="s">
        <v>26</v>
      </c>
      <c r="S2" s="9"/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23</v>
      </c>
      <c r="Y2" s="10" t="s">
        <v>67</v>
      </c>
      <c r="Z2" s="10" t="s">
        <v>78</v>
      </c>
      <c r="AA2" s="10" t="s">
        <v>26</v>
      </c>
    </row>
    <row r="3" spans="1:28" x14ac:dyDescent="0.25">
      <c r="A3" s="7" t="s">
        <v>2</v>
      </c>
      <c r="B3" s="11"/>
      <c r="C3" s="11"/>
      <c r="D3" s="11"/>
      <c r="E3" s="12"/>
      <c r="F3" s="13">
        <v>35704037</v>
      </c>
      <c r="G3" s="13">
        <v>124107897</v>
      </c>
      <c r="H3" s="13"/>
      <c r="I3" s="14">
        <f>SUM(B3+C3+D3+E3+F3+G3)</f>
        <v>159811934</v>
      </c>
      <c r="J3" s="9"/>
      <c r="K3" s="18"/>
      <c r="L3" s="18"/>
      <c r="M3" s="18"/>
      <c r="N3" s="18"/>
      <c r="O3" s="18">
        <v>35704037</v>
      </c>
      <c r="P3" s="18">
        <f>43965996+8364266</f>
        <v>52330262</v>
      </c>
      <c r="Q3" s="18"/>
      <c r="R3" s="67">
        <f>SUM(K3+L3+M3+N3+O3+P3+Q3)</f>
        <v>88034299</v>
      </c>
      <c r="S3" s="9"/>
      <c r="T3" s="19">
        <f t="shared" ref="T3:Z3" si="0">B3-K3</f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71777635</v>
      </c>
      <c r="Z3" s="19">
        <f t="shared" si="0"/>
        <v>0</v>
      </c>
      <c r="AA3" s="61">
        <f>SUM(I3-R3)</f>
        <v>71777635</v>
      </c>
    </row>
    <row r="4" spans="1:28" x14ac:dyDescent="0.25">
      <c r="A4" s="7" t="s">
        <v>3</v>
      </c>
      <c r="B4" s="11"/>
      <c r="C4" s="11"/>
      <c r="D4" s="11"/>
      <c r="E4" s="12"/>
      <c r="F4" s="13"/>
      <c r="G4" s="13">
        <v>804538</v>
      </c>
      <c r="H4" s="13">
        <f>713304+604337+515155+143493</f>
        <v>1976289</v>
      </c>
      <c r="I4" s="14">
        <f t="shared" ref="I4:I23" si="1">SUM(B4+C4+D4+E4+F4+G4+H4)</f>
        <v>2780827</v>
      </c>
      <c r="J4" s="9"/>
      <c r="K4" s="18"/>
      <c r="L4" s="18"/>
      <c r="M4" s="18"/>
      <c r="N4" s="18"/>
      <c r="O4" s="18"/>
      <c r="P4" s="18">
        <f>497960+221951</f>
        <v>719911</v>
      </c>
      <c r="Q4" s="18"/>
      <c r="R4" s="67">
        <f>SUM(K4+L4+M4+N4+O4+P4+Q4)</f>
        <v>719911</v>
      </c>
      <c r="S4" s="9"/>
      <c r="T4" s="19">
        <f t="shared" ref="T4:T21" si="2">B4-K4</f>
        <v>0</v>
      </c>
      <c r="U4" s="19">
        <f t="shared" ref="U4:U17" si="3">C4-L4</f>
        <v>0</v>
      </c>
      <c r="V4" s="19">
        <f t="shared" ref="V4:V17" si="4">D4-M4</f>
        <v>0</v>
      </c>
      <c r="W4" s="19">
        <f t="shared" ref="W4:W17" si="5">E4-N4</f>
        <v>0</v>
      </c>
      <c r="X4" s="19">
        <f t="shared" ref="X4:X17" si="6">F4-O4</f>
        <v>0</v>
      </c>
      <c r="Y4" s="19">
        <f t="shared" ref="Y4:Y17" si="7">G4-P4</f>
        <v>84627</v>
      </c>
      <c r="Z4" s="19">
        <f t="shared" ref="Z4:Z21" si="8">H4-Q4</f>
        <v>1976289</v>
      </c>
      <c r="AA4" s="61">
        <f t="shared" ref="AA4:AA22" si="9">SUM(I4-R4)</f>
        <v>2060916</v>
      </c>
    </row>
    <row r="5" spans="1:28" s="68" customFormat="1" x14ac:dyDescent="0.25">
      <c r="A5" s="7" t="s">
        <v>69</v>
      </c>
      <c r="B5" s="75"/>
      <c r="C5" s="75">
        <v>185599</v>
      </c>
      <c r="D5" s="75"/>
      <c r="E5" s="45"/>
      <c r="F5" s="13"/>
      <c r="G5" s="13"/>
      <c r="H5" s="13"/>
      <c r="I5" s="14">
        <f t="shared" si="1"/>
        <v>185599</v>
      </c>
      <c r="J5" s="9"/>
      <c r="K5" s="18"/>
      <c r="L5" s="18"/>
      <c r="M5" s="18"/>
      <c r="N5" s="18"/>
      <c r="O5" s="18"/>
      <c r="P5" s="18"/>
      <c r="Q5" s="18"/>
      <c r="R5" s="67">
        <f>SUM(K5+L5+M5+N5+O5+P5+Q5)</f>
        <v>0</v>
      </c>
      <c r="S5" s="9"/>
      <c r="T5" s="19">
        <f t="shared" si="2"/>
        <v>0</v>
      </c>
      <c r="U5" s="19">
        <f t="shared" si="3"/>
        <v>185599</v>
      </c>
      <c r="V5" s="19">
        <f t="shared" si="4"/>
        <v>0</v>
      </c>
      <c r="W5" s="19">
        <f t="shared" si="5"/>
        <v>0</v>
      </c>
      <c r="X5" s="19">
        <f t="shared" si="6"/>
        <v>0</v>
      </c>
      <c r="Y5" s="19">
        <f t="shared" si="7"/>
        <v>0</v>
      </c>
      <c r="Z5" s="19">
        <f t="shared" si="8"/>
        <v>0</v>
      </c>
      <c r="AA5" s="61">
        <f t="shared" si="9"/>
        <v>185599</v>
      </c>
    </row>
    <row r="6" spans="1:28" x14ac:dyDescent="0.25">
      <c r="A6" s="7" t="s">
        <v>4</v>
      </c>
      <c r="B6" s="75"/>
      <c r="C6" s="75"/>
      <c r="D6" s="75"/>
      <c r="E6" s="45"/>
      <c r="F6" s="13"/>
      <c r="G6" s="13">
        <v>137575643</v>
      </c>
      <c r="H6" s="13">
        <f>28059539+41032627+74441438+41853019</f>
        <v>185386623</v>
      </c>
      <c r="I6" s="14">
        <f t="shared" si="1"/>
        <v>322962266</v>
      </c>
      <c r="J6" s="9"/>
      <c r="K6" s="18"/>
      <c r="L6" s="18"/>
      <c r="M6" s="18"/>
      <c r="N6" s="61"/>
      <c r="O6" s="61"/>
      <c r="P6" s="61">
        <f>9958775+31267702+67166166+29183000</f>
        <v>137575643</v>
      </c>
      <c r="Q6" s="61"/>
      <c r="R6" s="67">
        <f>SUM(K6+L6+M6+N6+O6+P6+Q6)</f>
        <v>137575643</v>
      </c>
      <c r="S6" s="9"/>
      <c r="T6" s="19">
        <f t="shared" si="2"/>
        <v>0</v>
      </c>
      <c r="U6" s="19">
        <f t="shared" si="3"/>
        <v>0</v>
      </c>
      <c r="V6" s="19">
        <f t="shared" si="4"/>
        <v>0</v>
      </c>
      <c r="W6" s="19">
        <f t="shared" si="5"/>
        <v>0</v>
      </c>
      <c r="X6" s="19">
        <f t="shared" si="6"/>
        <v>0</v>
      </c>
      <c r="Y6" s="19">
        <f t="shared" si="7"/>
        <v>0</v>
      </c>
      <c r="Z6" s="19">
        <f t="shared" si="8"/>
        <v>185386623</v>
      </c>
      <c r="AA6" s="61">
        <f t="shared" si="9"/>
        <v>185386623</v>
      </c>
    </row>
    <row r="7" spans="1:28" x14ac:dyDescent="0.25">
      <c r="A7" s="7" t="s">
        <v>5</v>
      </c>
      <c r="B7" s="45">
        <v>760838</v>
      </c>
      <c r="C7" s="45">
        <v>12268888</v>
      </c>
      <c r="D7" s="45">
        <v>2756580</v>
      </c>
      <c r="E7" s="45">
        <v>23486444</v>
      </c>
      <c r="F7" s="13">
        <v>106308582</v>
      </c>
      <c r="G7" s="13">
        <v>989946701</v>
      </c>
      <c r="H7" s="13">
        <f>347700677+274369076+223595950+304296900</f>
        <v>1149962603</v>
      </c>
      <c r="I7" s="14">
        <f t="shared" si="1"/>
        <v>2285490636</v>
      </c>
      <c r="J7" s="9"/>
      <c r="K7" s="18"/>
      <c r="L7" s="61">
        <v>6550279</v>
      </c>
      <c r="M7" s="61">
        <v>2756582</v>
      </c>
      <c r="N7" s="61">
        <f>4761436+1373789</f>
        <v>6135225</v>
      </c>
      <c r="O7" s="61">
        <v>5785982</v>
      </c>
      <c r="P7" s="61">
        <f>91233950+15970651+127599068+259811439+276537229+201407488+2769070+1861410</f>
        <v>977190305</v>
      </c>
      <c r="Q7" s="61">
        <f>18166859+12177892+328296862+262535364+215249050</f>
        <v>836426027</v>
      </c>
      <c r="R7" s="67">
        <f>SUM(K7+L7+M7+N7+O7+P7+Q7)</f>
        <v>1834844400</v>
      </c>
      <c r="S7" s="9"/>
      <c r="T7" s="19">
        <f t="shared" si="2"/>
        <v>760838</v>
      </c>
      <c r="U7" s="19">
        <f t="shared" si="3"/>
        <v>5718609</v>
      </c>
      <c r="V7" s="19">
        <f t="shared" si="4"/>
        <v>-2</v>
      </c>
      <c r="W7" s="19">
        <f t="shared" si="5"/>
        <v>17351219</v>
      </c>
      <c r="X7" s="19">
        <f t="shared" si="6"/>
        <v>100522600</v>
      </c>
      <c r="Y7" s="19">
        <f t="shared" si="7"/>
        <v>12756396</v>
      </c>
      <c r="Z7" s="19">
        <f t="shared" si="8"/>
        <v>313536576</v>
      </c>
      <c r="AA7" s="61">
        <f t="shared" si="9"/>
        <v>450646236</v>
      </c>
    </row>
    <row r="8" spans="1:28" s="68" customFormat="1" x14ac:dyDescent="0.25">
      <c r="A8" s="7" t="s">
        <v>71</v>
      </c>
      <c r="B8" s="45"/>
      <c r="C8" s="45"/>
      <c r="D8" s="45"/>
      <c r="E8" s="45"/>
      <c r="F8" s="13">
        <v>3908476</v>
      </c>
      <c r="G8" s="13">
        <v>5402411</v>
      </c>
      <c r="H8" s="13"/>
      <c r="I8" s="14">
        <f t="shared" si="1"/>
        <v>9310887</v>
      </c>
      <c r="J8" s="9"/>
      <c r="K8" s="18"/>
      <c r="L8" s="61"/>
      <c r="M8" s="61"/>
      <c r="N8" s="61"/>
      <c r="O8" s="61"/>
      <c r="P8" s="61"/>
      <c r="Q8" s="61"/>
      <c r="R8" s="67">
        <f t="shared" ref="R8:R21" si="10">SUM(K8+L8+M8+N8+O8+P8+Q8)</f>
        <v>0</v>
      </c>
      <c r="S8" s="9"/>
      <c r="T8" s="19">
        <f t="shared" si="2"/>
        <v>0</v>
      </c>
      <c r="U8" s="19">
        <f t="shared" si="3"/>
        <v>0</v>
      </c>
      <c r="V8" s="19">
        <f t="shared" si="4"/>
        <v>0</v>
      </c>
      <c r="W8" s="19">
        <f t="shared" si="5"/>
        <v>0</v>
      </c>
      <c r="X8" s="19">
        <f t="shared" si="6"/>
        <v>3908476</v>
      </c>
      <c r="Y8" s="19">
        <f t="shared" si="7"/>
        <v>5402411</v>
      </c>
      <c r="Z8" s="19">
        <f t="shared" si="8"/>
        <v>0</v>
      </c>
      <c r="AA8" s="61">
        <f t="shared" si="9"/>
        <v>9310887</v>
      </c>
    </row>
    <row r="9" spans="1:28" x14ac:dyDescent="0.25">
      <c r="A9" s="7" t="s">
        <v>6</v>
      </c>
      <c r="B9" s="45"/>
      <c r="C9" s="45"/>
      <c r="D9" s="45"/>
      <c r="E9" s="45"/>
      <c r="F9" s="13">
        <v>2354034</v>
      </c>
      <c r="G9" s="13"/>
      <c r="H9" s="13"/>
      <c r="I9" s="14">
        <f t="shared" si="1"/>
        <v>2354034</v>
      </c>
      <c r="J9" s="9"/>
      <c r="K9" s="18"/>
      <c r="L9" s="18"/>
      <c r="M9" s="18"/>
      <c r="N9" s="61"/>
      <c r="O9" s="61"/>
      <c r="P9" s="61"/>
      <c r="Q9" s="61"/>
      <c r="R9" s="67">
        <f t="shared" si="10"/>
        <v>0</v>
      </c>
      <c r="S9" s="9"/>
      <c r="T9" s="19">
        <f t="shared" si="2"/>
        <v>0</v>
      </c>
      <c r="U9" s="19">
        <f t="shared" si="3"/>
        <v>0</v>
      </c>
      <c r="V9" s="19">
        <f t="shared" si="4"/>
        <v>0</v>
      </c>
      <c r="W9" s="19">
        <f t="shared" si="5"/>
        <v>0</v>
      </c>
      <c r="X9" s="19">
        <f t="shared" si="6"/>
        <v>2354034</v>
      </c>
      <c r="Y9" s="19">
        <f t="shared" si="7"/>
        <v>0</v>
      </c>
      <c r="Z9" s="19">
        <f t="shared" si="8"/>
        <v>0</v>
      </c>
      <c r="AA9" s="61">
        <f t="shared" si="9"/>
        <v>2354034</v>
      </c>
    </row>
    <row r="10" spans="1:28" x14ac:dyDescent="0.25">
      <c r="A10" s="7" t="s">
        <v>7</v>
      </c>
      <c r="B10" s="45">
        <v>1283302</v>
      </c>
      <c r="C10" s="45">
        <v>8086390</v>
      </c>
      <c r="D10" s="45">
        <v>78974373</v>
      </c>
      <c r="E10" s="45">
        <v>52117885</v>
      </c>
      <c r="F10" s="13">
        <v>146482730</v>
      </c>
      <c r="G10" s="13">
        <v>171650627</v>
      </c>
      <c r="H10" s="13">
        <f>53583701+41548106+38845884+79299916</f>
        <v>213277607</v>
      </c>
      <c r="I10" s="14">
        <f t="shared" si="1"/>
        <v>671872914</v>
      </c>
      <c r="J10" s="9"/>
      <c r="K10" s="18">
        <v>1283302</v>
      </c>
      <c r="L10" s="18">
        <f>360008+997935</f>
        <v>1357943</v>
      </c>
      <c r="M10" s="18">
        <f>265396+1798694</f>
        <v>2064090</v>
      </c>
      <c r="N10" s="61">
        <f>1015283+4071009</f>
        <v>5086292</v>
      </c>
      <c r="O10" s="61">
        <f>1516236+10192055+5568351+2085361+4341190+971624+907628</f>
        <v>25582445</v>
      </c>
      <c r="P10" s="61"/>
      <c r="Q10" s="61"/>
      <c r="R10" s="67">
        <f t="shared" si="10"/>
        <v>35374072</v>
      </c>
      <c r="S10" s="9"/>
      <c r="T10" s="19">
        <f t="shared" si="2"/>
        <v>0</v>
      </c>
      <c r="U10" s="19">
        <f t="shared" si="3"/>
        <v>6728447</v>
      </c>
      <c r="V10" s="19">
        <f t="shared" si="4"/>
        <v>76910283</v>
      </c>
      <c r="W10" s="19">
        <f t="shared" si="5"/>
        <v>47031593</v>
      </c>
      <c r="X10" s="19">
        <f t="shared" si="6"/>
        <v>120900285</v>
      </c>
      <c r="Y10" s="19">
        <f t="shared" si="7"/>
        <v>171650627</v>
      </c>
      <c r="Z10" s="19">
        <f t="shared" si="8"/>
        <v>213277607</v>
      </c>
      <c r="AA10" s="61">
        <f t="shared" si="9"/>
        <v>636498842</v>
      </c>
    </row>
    <row r="11" spans="1:28" x14ac:dyDescent="0.25">
      <c r="A11" s="7" t="s">
        <v>8</v>
      </c>
      <c r="B11" s="45">
        <v>2122144</v>
      </c>
      <c r="C11" s="45">
        <v>8937492</v>
      </c>
      <c r="D11" s="45">
        <v>10578234</v>
      </c>
      <c r="E11" s="45">
        <v>53573485</v>
      </c>
      <c r="F11" s="13">
        <v>52889770</v>
      </c>
      <c r="G11" s="13">
        <v>52521492</v>
      </c>
      <c r="H11" s="13">
        <f>34905764+4055289+29735984+33173571</f>
        <v>101870608</v>
      </c>
      <c r="I11" s="14">
        <f t="shared" si="1"/>
        <v>282493225</v>
      </c>
      <c r="J11" s="9"/>
      <c r="K11" s="18">
        <v>2122144</v>
      </c>
      <c r="L11" s="18">
        <v>8937492</v>
      </c>
      <c r="M11" s="18">
        <f>10578234</f>
        <v>10578234</v>
      </c>
      <c r="N11" s="61">
        <f>7367791+2940425+13461094+2198246+892263</f>
        <v>26859819</v>
      </c>
      <c r="O11" s="61">
        <f>2757023+2710366+17556749+9531643</f>
        <v>32555781</v>
      </c>
      <c r="P11" s="61"/>
      <c r="Q11" s="61"/>
      <c r="R11" s="67">
        <f t="shared" si="10"/>
        <v>81053470</v>
      </c>
      <c r="S11" s="9"/>
      <c r="T11" s="19">
        <f t="shared" si="2"/>
        <v>0</v>
      </c>
      <c r="U11" s="19">
        <f t="shared" si="3"/>
        <v>0</v>
      </c>
      <c r="V11" s="19">
        <f t="shared" si="4"/>
        <v>0</v>
      </c>
      <c r="W11" s="19">
        <f>E11-N11</f>
        <v>26713666</v>
      </c>
      <c r="X11" s="19">
        <f>F11-O11</f>
        <v>20333989</v>
      </c>
      <c r="Y11" s="19">
        <f t="shared" si="7"/>
        <v>52521492</v>
      </c>
      <c r="Z11" s="19">
        <f t="shared" si="8"/>
        <v>101870608</v>
      </c>
      <c r="AA11" s="61">
        <f t="shared" si="9"/>
        <v>201439755</v>
      </c>
    </row>
    <row r="12" spans="1:28" s="68" customFormat="1" x14ac:dyDescent="0.25">
      <c r="A12" s="7" t="s">
        <v>72</v>
      </c>
      <c r="B12" s="45"/>
      <c r="C12" s="45"/>
      <c r="D12" s="45"/>
      <c r="E12" s="45">
        <v>2207682</v>
      </c>
      <c r="F12" s="13">
        <v>2661401</v>
      </c>
      <c r="G12" s="13">
        <v>1472566</v>
      </c>
      <c r="H12" s="13">
        <f>728760+1546464+625404+1802545</f>
        <v>4703173</v>
      </c>
      <c r="I12" s="14">
        <f t="shared" si="1"/>
        <v>11044822</v>
      </c>
      <c r="J12" s="9"/>
      <c r="K12" s="18"/>
      <c r="L12" s="18"/>
      <c r="M12" s="18"/>
      <c r="N12" s="61">
        <f>500809+188374+591252+927247</f>
        <v>2207682</v>
      </c>
      <c r="O12" s="61">
        <f>943427+161741+1032707+523526</f>
        <v>2661401</v>
      </c>
      <c r="P12" s="61"/>
      <c r="Q12" s="61"/>
      <c r="R12" s="67">
        <f t="shared" si="10"/>
        <v>4869083</v>
      </c>
      <c r="S12" s="9"/>
      <c r="T12" s="19">
        <f t="shared" si="2"/>
        <v>0</v>
      </c>
      <c r="U12" s="19">
        <f t="shared" si="3"/>
        <v>0</v>
      </c>
      <c r="V12" s="19">
        <f t="shared" si="4"/>
        <v>0</v>
      </c>
      <c r="W12" s="19">
        <f t="shared" si="5"/>
        <v>0</v>
      </c>
      <c r="X12" s="19">
        <f t="shared" si="6"/>
        <v>0</v>
      </c>
      <c r="Y12" s="19">
        <f>G12-P12</f>
        <v>1472566</v>
      </c>
      <c r="Z12" s="19">
        <f t="shared" si="8"/>
        <v>4703173</v>
      </c>
      <c r="AA12" s="61">
        <f t="shared" si="9"/>
        <v>6175739</v>
      </c>
    </row>
    <row r="13" spans="1:28" x14ac:dyDescent="0.25">
      <c r="A13" s="7" t="s">
        <v>9</v>
      </c>
      <c r="B13" s="75"/>
      <c r="C13" s="75"/>
      <c r="D13" s="45"/>
      <c r="E13" s="45"/>
      <c r="F13" s="13">
        <v>41868197</v>
      </c>
      <c r="G13" s="13">
        <v>19954953</v>
      </c>
      <c r="H13" s="13">
        <v>16840896</v>
      </c>
      <c r="I13" s="14">
        <f t="shared" si="1"/>
        <v>78664046</v>
      </c>
      <c r="J13" s="9"/>
      <c r="K13" s="18"/>
      <c r="L13" s="18"/>
      <c r="M13" s="18"/>
      <c r="N13" s="61"/>
      <c r="O13" s="61">
        <f>11947356+8260628+15553552+6106661</f>
        <v>41868197</v>
      </c>
      <c r="P13" s="61"/>
      <c r="Q13" s="61"/>
      <c r="R13" s="67">
        <f t="shared" si="10"/>
        <v>41868197</v>
      </c>
      <c r="S13" s="9"/>
      <c r="T13" s="19">
        <f t="shared" si="2"/>
        <v>0</v>
      </c>
      <c r="U13" s="19">
        <f t="shared" si="3"/>
        <v>0</v>
      </c>
      <c r="V13" s="19">
        <f t="shared" si="4"/>
        <v>0</v>
      </c>
      <c r="W13" s="19">
        <f t="shared" si="5"/>
        <v>0</v>
      </c>
      <c r="X13" s="19">
        <f t="shared" si="6"/>
        <v>0</v>
      </c>
      <c r="Y13" s="19">
        <f t="shared" si="7"/>
        <v>19954953</v>
      </c>
      <c r="Z13" s="19">
        <f t="shared" si="8"/>
        <v>16840896</v>
      </c>
      <c r="AA13" s="61">
        <f t="shared" si="9"/>
        <v>36795849</v>
      </c>
    </row>
    <row r="14" spans="1:28" x14ac:dyDescent="0.25">
      <c r="A14" s="7" t="s">
        <v>10</v>
      </c>
      <c r="B14" s="76">
        <v>2472</v>
      </c>
      <c r="C14" s="75"/>
      <c r="D14" s="45"/>
      <c r="E14" s="45"/>
      <c r="F14" s="13">
        <v>893003</v>
      </c>
      <c r="G14" s="13">
        <v>170735616</v>
      </c>
      <c r="H14" s="13">
        <f>51364951+60763964+85676498+131939074</f>
        <v>329744487</v>
      </c>
      <c r="I14" s="14">
        <f t="shared" si="1"/>
        <v>501375578</v>
      </c>
      <c r="J14" s="9"/>
      <c r="K14" s="18"/>
      <c r="L14" s="18"/>
      <c r="M14" s="18"/>
      <c r="N14" s="61"/>
      <c r="O14" s="61"/>
      <c r="P14" s="61">
        <f>48163888+43619976+28242835+50636569</f>
        <v>170663268</v>
      </c>
      <c r="Q14" s="61"/>
      <c r="R14" s="67">
        <f t="shared" si="10"/>
        <v>170663268</v>
      </c>
      <c r="S14" s="9"/>
      <c r="T14" s="19">
        <f t="shared" si="2"/>
        <v>2472</v>
      </c>
      <c r="U14" s="19">
        <f t="shared" si="3"/>
        <v>0</v>
      </c>
      <c r="V14" s="19">
        <f t="shared" si="4"/>
        <v>0</v>
      </c>
      <c r="W14" s="19">
        <f t="shared" si="5"/>
        <v>0</v>
      </c>
      <c r="X14" s="19">
        <f t="shared" si="6"/>
        <v>893003</v>
      </c>
      <c r="Y14" s="19">
        <f t="shared" si="7"/>
        <v>72348</v>
      </c>
      <c r="Z14" s="19">
        <f t="shared" si="8"/>
        <v>329744487</v>
      </c>
      <c r="AA14" s="61">
        <f t="shared" si="9"/>
        <v>330712310</v>
      </c>
      <c r="AB14" s="44"/>
    </row>
    <row r="15" spans="1:28" x14ac:dyDescent="0.25">
      <c r="A15" s="7" t="s">
        <v>70</v>
      </c>
      <c r="B15" s="75"/>
      <c r="C15" s="75"/>
      <c r="D15" s="75"/>
      <c r="E15" s="45"/>
      <c r="F15" s="13">
        <v>1675521</v>
      </c>
      <c r="G15" s="13">
        <v>4217549</v>
      </c>
      <c r="H15" s="13">
        <f>2062944+1753488+2184480</f>
        <v>6000912</v>
      </c>
      <c r="I15" s="14">
        <f t="shared" si="1"/>
        <v>11893982</v>
      </c>
      <c r="J15" s="9"/>
      <c r="K15" s="18"/>
      <c r="L15" s="18"/>
      <c r="M15" s="18"/>
      <c r="N15" s="61"/>
      <c r="O15" s="61"/>
      <c r="P15" s="61"/>
      <c r="Q15" s="61"/>
      <c r="R15" s="67">
        <f t="shared" si="10"/>
        <v>0</v>
      </c>
      <c r="S15" s="9"/>
      <c r="T15" s="19">
        <f t="shared" si="2"/>
        <v>0</v>
      </c>
      <c r="U15" s="19">
        <f t="shared" si="3"/>
        <v>0</v>
      </c>
      <c r="V15" s="19">
        <f t="shared" si="4"/>
        <v>0</v>
      </c>
      <c r="W15" s="19">
        <f t="shared" si="5"/>
        <v>0</v>
      </c>
      <c r="X15" s="19">
        <f t="shared" si="6"/>
        <v>1675521</v>
      </c>
      <c r="Y15" s="19">
        <f t="shared" si="7"/>
        <v>4217549</v>
      </c>
      <c r="Z15" s="19">
        <f t="shared" si="8"/>
        <v>6000912</v>
      </c>
      <c r="AA15" s="61">
        <f t="shared" si="9"/>
        <v>11893982</v>
      </c>
    </row>
    <row r="16" spans="1:28" x14ac:dyDescent="0.25">
      <c r="A16" s="7" t="s">
        <v>11</v>
      </c>
      <c r="B16" s="45"/>
      <c r="C16" s="45"/>
      <c r="D16" s="45"/>
      <c r="E16" s="45">
        <v>91507275</v>
      </c>
      <c r="F16" s="13">
        <v>658665375</v>
      </c>
      <c r="G16" s="13">
        <v>733615636</v>
      </c>
      <c r="H16" s="13">
        <f>96817876+49544058+108289150</f>
        <v>254651084</v>
      </c>
      <c r="I16" s="14">
        <f t="shared" si="1"/>
        <v>1738439370</v>
      </c>
      <c r="J16" s="9"/>
      <c r="K16" s="18"/>
      <c r="L16" s="18"/>
      <c r="M16" s="18"/>
      <c r="N16" s="61">
        <v>91507275</v>
      </c>
      <c r="O16" s="61">
        <f>171205387+228611401+26632130+232216457</f>
        <v>658665375</v>
      </c>
      <c r="P16" s="61">
        <f>147703463+247230220+31883783+191984444+18567489+74703223</f>
        <v>712072622</v>
      </c>
      <c r="Q16" s="61"/>
      <c r="R16" s="67">
        <f t="shared" si="10"/>
        <v>1462245272</v>
      </c>
      <c r="S16" s="9"/>
      <c r="T16" s="19">
        <f t="shared" si="2"/>
        <v>0</v>
      </c>
      <c r="U16" s="19">
        <f t="shared" si="3"/>
        <v>0</v>
      </c>
      <c r="V16" s="19">
        <f t="shared" si="4"/>
        <v>0</v>
      </c>
      <c r="W16" s="19">
        <f t="shared" si="5"/>
        <v>0</v>
      </c>
      <c r="X16" s="19">
        <f t="shared" si="6"/>
        <v>0</v>
      </c>
      <c r="Y16" s="19">
        <f t="shared" si="7"/>
        <v>21543014</v>
      </c>
      <c r="Z16" s="19">
        <f t="shared" si="8"/>
        <v>254651084</v>
      </c>
      <c r="AA16" s="61">
        <f t="shared" si="9"/>
        <v>276194098</v>
      </c>
    </row>
    <row r="17" spans="1:28" x14ac:dyDescent="0.25">
      <c r="A17" s="7" t="s">
        <v>12</v>
      </c>
      <c r="B17" s="45"/>
      <c r="C17" s="45">
        <v>986303</v>
      </c>
      <c r="D17" s="45">
        <v>1624518</v>
      </c>
      <c r="E17" s="45">
        <v>1809978</v>
      </c>
      <c r="F17" s="13">
        <v>5209121</v>
      </c>
      <c r="G17" s="13">
        <v>1676258404</v>
      </c>
      <c r="H17" s="13">
        <f>507824474+485955081+351827382+475136816</f>
        <v>1820743753</v>
      </c>
      <c r="I17" s="14">
        <f t="shared" si="1"/>
        <v>3506632077</v>
      </c>
      <c r="J17" s="9"/>
      <c r="K17" s="18"/>
      <c r="L17" s="18">
        <v>986303</v>
      </c>
      <c r="M17" s="18"/>
      <c r="N17" s="61"/>
      <c r="O17" s="61"/>
      <c r="P17" s="61">
        <f>1318665+438235310+356414353+467695513+386130796</f>
        <v>1649794637</v>
      </c>
      <c r="Q17" s="61">
        <f>466730681+469754515</f>
        <v>936485196</v>
      </c>
      <c r="R17" s="67">
        <f t="shared" si="10"/>
        <v>2587266136</v>
      </c>
      <c r="S17" s="9"/>
      <c r="T17" s="19">
        <f t="shared" si="2"/>
        <v>0</v>
      </c>
      <c r="U17" s="19">
        <f t="shared" si="3"/>
        <v>0</v>
      </c>
      <c r="V17" s="19">
        <f t="shared" si="4"/>
        <v>1624518</v>
      </c>
      <c r="W17" s="19">
        <f t="shared" si="5"/>
        <v>1809978</v>
      </c>
      <c r="X17" s="19">
        <f t="shared" si="6"/>
        <v>5209121</v>
      </c>
      <c r="Y17" s="19">
        <f t="shared" si="7"/>
        <v>26463767</v>
      </c>
      <c r="Z17" s="19">
        <f t="shared" si="8"/>
        <v>884258557</v>
      </c>
      <c r="AA17" s="61">
        <f t="shared" si="9"/>
        <v>919365941</v>
      </c>
    </row>
    <row r="18" spans="1:28" s="68" customFormat="1" x14ac:dyDescent="0.25">
      <c r="A18" s="7" t="s">
        <v>79</v>
      </c>
      <c r="B18" s="45"/>
      <c r="C18" s="45"/>
      <c r="D18" s="45"/>
      <c r="E18" s="45"/>
      <c r="F18" s="13"/>
      <c r="G18" s="13"/>
      <c r="H18" s="13">
        <f>1360647+1385568</f>
        <v>2746215</v>
      </c>
      <c r="I18" s="14">
        <f t="shared" si="1"/>
        <v>2746215</v>
      </c>
      <c r="J18" s="9"/>
      <c r="K18" s="18"/>
      <c r="L18" s="18"/>
      <c r="M18" s="18"/>
      <c r="N18" s="61"/>
      <c r="O18" s="61"/>
      <c r="P18" s="61"/>
      <c r="Q18" s="61"/>
      <c r="R18" s="67">
        <f t="shared" si="10"/>
        <v>0</v>
      </c>
      <c r="S18" s="9"/>
      <c r="T18" s="19"/>
      <c r="U18" s="19"/>
      <c r="V18" s="19"/>
      <c r="W18" s="19"/>
      <c r="X18" s="19"/>
      <c r="Y18" s="19"/>
      <c r="Z18" s="19">
        <f t="shared" si="8"/>
        <v>2746215</v>
      </c>
      <c r="AA18" s="61">
        <f t="shared" si="9"/>
        <v>2746215</v>
      </c>
    </row>
    <row r="19" spans="1:28" x14ac:dyDescent="0.25">
      <c r="A19" s="7" t="s">
        <v>68</v>
      </c>
      <c r="B19" s="45"/>
      <c r="C19" s="45"/>
      <c r="D19" s="45"/>
      <c r="E19" s="45"/>
      <c r="F19" s="13"/>
      <c r="G19" s="13">
        <v>144585926</v>
      </c>
      <c r="H19" s="13">
        <f>205604+11711268+14560152</f>
        <v>26477024</v>
      </c>
      <c r="I19" s="14">
        <f t="shared" si="1"/>
        <v>171062950</v>
      </c>
      <c r="J19" s="9"/>
      <c r="K19" s="18"/>
      <c r="L19" s="18"/>
      <c r="M19" s="18"/>
      <c r="N19" s="61"/>
      <c r="O19" s="61"/>
      <c r="P19" s="61">
        <f>1711200+15380188</f>
        <v>17091388</v>
      </c>
      <c r="Q19" s="61"/>
      <c r="R19" s="67">
        <f t="shared" si="10"/>
        <v>17091388</v>
      </c>
      <c r="S19" s="9"/>
      <c r="T19" s="19">
        <f t="shared" si="2"/>
        <v>0</v>
      </c>
      <c r="U19" s="19">
        <f>C19-L19</f>
        <v>0</v>
      </c>
      <c r="V19" s="19">
        <f>D19-M19</f>
        <v>0</v>
      </c>
      <c r="W19" s="19">
        <f>E19-N19</f>
        <v>0</v>
      </c>
      <c r="X19" s="19">
        <f>F19-O19</f>
        <v>0</v>
      </c>
      <c r="Y19" s="19">
        <f>G19-P19</f>
        <v>127494538</v>
      </c>
      <c r="Z19" s="19">
        <f t="shared" si="8"/>
        <v>26477024</v>
      </c>
      <c r="AA19" s="61">
        <f t="shared" si="9"/>
        <v>153971562</v>
      </c>
    </row>
    <row r="20" spans="1:28" x14ac:dyDescent="0.25">
      <c r="A20" s="7" t="s">
        <v>77</v>
      </c>
      <c r="B20" s="12"/>
      <c r="C20" s="12"/>
      <c r="D20" s="12"/>
      <c r="E20" s="12"/>
      <c r="F20" s="13"/>
      <c r="G20" s="13">
        <v>27785714</v>
      </c>
      <c r="H20" s="13">
        <f>7199345+17349846+11765012</f>
        <v>36314203</v>
      </c>
      <c r="I20" s="14">
        <f t="shared" si="1"/>
        <v>64099917</v>
      </c>
      <c r="J20" s="9"/>
      <c r="K20" s="18"/>
      <c r="L20" s="18"/>
      <c r="M20" s="18"/>
      <c r="N20" s="61"/>
      <c r="O20" s="61"/>
      <c r="P20" s="61">
        <f>447390+3222846+2360483+6925704+4156042+3699203</f>
        <v>20811668</v>
      </c>
      <c r="Q20" s="61"/>
      <c r="R20" s="67">
        <f t="shared" si="10"/>
        <v>20811668</v>
      </c>
      <c r="S20" s="9"/>
      <c r="T20" s="19">
        <f t="shared" si="2"/>
        <v>0</v>
      </c>
      <c r="U20" s="19">
        <f t="shared" ref="U20:U21" si="11">C20-L20</f>
        <v>0</v>
      </c>
      <c r="V20" s="19">
        <f t="shared" ref="V20:V21" si="12">D20-M20</f>
        <v>0</v>
      </c>
      <c r="W20" s="19">
        <f t="shared" ref="W20:W21" si="13">E20-N20</f>
        <v>0</v>
      </c>
      <c r="X20" s="19">
        <f t="shared" ref="X20:X21" si="14">F20-O20</f>
        <v>0</v>
      </c>
      <c r="Y20" s="19">
        <f t="shared" ref="Y20:Y21" si="15">G20-P20</f>
        <v>6974046</v>
      </c>
      <c r="Z20" s="19">
        <f t="shared" si="8"/>
        <v>36314203</v>
      </c>
      <c r="AA20" s="61">
        <f t="shared" si="9"/>
        <v>43288249</v>
      </c>
    </row>
    <row r="21" spans="1:28" s="68" customFormat="1" x14ac:dyDescent="0.25">
      <c r="A21" s="7" t="s">
        <v>81</v>
      </c>
      <c r="B21" s="12"/>
      <c r="C21" s="12"/>
      <c r="D21" s="12"/>
      <c r="E21" s="12"/>
      <c r="F21" s="13"/>
      <c r="G21" s="13"/>
      <c r="H21" s="13">
        <f>8264381+3521381</f>
        <v>11785762</v>
      </c>
      <c r="I21" s="14">
        <f t="shared" si="1"/>
        <v>11785762</v>
      </c>
      <c r="J21" s="9"/>
      <c r="K21" s="40"/>
      <c r="L21" s="40"/>
      <c r="M21" s="40"/>
      <c r="N21" s="79"/>
      <c r="O21" s="79"/>
      <c r="P21" s="79"/>
      <c r="Q21" s="79">
        <f>2083333+3821660+2358810</f>
        <v>8263803</v>
      </c>
      <c r="R21" s="67">
        <f t="shared" si="10"/>
        <v>8263803</v>
      </c>
      <c r="S21" s="9"/>
      <c r="T21" s="19">
        <f t="shared" si="2"/>
        <v>0</v>
      </c>
      <c r="U21" s="19">
        <f t="shared" si="11"/>
        <v>0</v>
      </c>
      <c r="V21" s="19">
        <f t="shared" si="12"/>
        <v>0</v>
      </c>
      <c r="W21" s="19">
        <f t="shared" si="13"/>
        <v>0</v>
      </c>
      <c r="X21" s="19">
        <f t="shared" si="14"/>
        <v>0</v>
      </c>
      <c r="Y21" s="19">
        <f t="shared" si="15"/>
        <v>0</v>
      </c>
      <c r="Z21" s="19">
        <f t="shared" si="8"/>
        <v>3521959</v>
      </c>
      <c r="AA21" s="61">
        <f t="shared" si="9"/>
        <v>3521959</v>
      </c>
    </row>
    <row r="22" spans="1:28" ht="15.75" x14ac:dyDescent="0.25">
      <c r="A22" s="7" t="s">
        <v>22</v>
      </c>
      <c r="B22" s="16">
        <f>SUM(B3:B21)</f>
        <v>4168756</v>
      </c>
      <c r="C22" s="16">
        <f t="shared" ref="C22:H22" si="16">SUM(C3:C21)</f>
        <v>30464672</v>
      </c>
      <c r="D22" s="16">
        <f t="shared" si="16"/>
        <v>93933705</v>
      </c>
      <c r="E22" s="16">
        <f t="shared" si="16"/>
        <v>224702749</v>
      </c>
      <c r="F22" s="16">
        <f t="shared" si="16"/>
        <v>1058620247</v>
      </c>
      <c r="G22" s="16">
        <f t="shared" si="16"/>
        <v>4260635673</v>
      </c>
      <c r="H22" s="16">
        <f t="shared" si="16"/>
        <v>4162481239</v>
      </c>
      <c r="I22" s="66">
        <f t="shared" si="1"/>
        <v>9835007041</v>
      </c>
      <c r="J22" s="9"/>
      <c r="K22" s="16">
        <f>SUM(K3:K21)</f>
        <v>3405446</v>
      </c>
      <c r="L22" s="16">
        <f t="shared" ref="L22:R22" si="17">SUM(L3:L21)</f>
        <v>17832017</v>
      </c>
      <c r="M22" s="16">
        <f t="shared" si="17"/>
        <v>15398906</v>
      </c>
      <c r="N22" s="16">
        <f t="shared" si="17"/>
        <v>131796293</v>
      </c>
      <c r="O22" s="16">
        <f t="shared" si="17"/>
        <v>802823218</v>
      </c>
      <c r="P22" s="16">
        <f t="shared" si="17"/>
        <v>3738249704</v>
      </c>
      <c r="Q22" s="16">
        <f t="shared" si="17"/>
        <v>1781175026</v>
      </c>
      <c r="R22" s="16">
        <f t="shared" si="17"/>
        <v>6490680610</v>
      </c>
      <c r="S22" s="9"/>
      <c r="T22" s="89">
        <f>SUM(B22-K22)</f>
        <v>763310</v>
      </c>
      <c r="U22" s="89">
        <f t="shared" ref="U22" si="18">SUM(C22-L22)</f>
        <v>12632655</v>
      </c>
      <c r="V22" s="89">
        <f t="shared" ref="V22" si="19">SUM(D22-M22)</f>
        <v>78534799</v>
      </c>
      <c r="W22" s="89">
        <f t="shared" ref="W22" si="20">SUM(E22-N22)</f>
        <v>92906456</v>
      </c>
      <c r="X22" s="89">
        <f t="shared" ref="X22" si="21">SUM(F22-O22)</f>
        <v>255797029</v>
      </c>
      <c r="Y22" s="89">
        <f t="shared" ref="Y22:Z22" si="22">SUM(G22-P22)</f>
        <v>522385969</v>
      </c>
      <c r="Z22" s="89">
        <f t="shared" si="22"/>
        <v>2381306213</v>
      </c>
      <c r="AA22" s="90">
        <f t="shared" si="9"/>
        <v>3344326431</v>
      </c>
    </row>
    <row r="23" spans="1:28" ht="15.75" x14ac:dyDescent="0.25">
      <c r="A23" s="9"/>
      <c r="B23" s="96">
        <f t="shared" ref="B23:H23" si="23">B22/10^7</f>
        <v>0.41687560000000001</v>
      </c>
      <c r="C23" s="96">
        <f t="shared" si="23"/>
        <v>3.0464671999999999</v>
      </c>
      <c r="D23" s="96">
        <f t="shared" si="23"/>
        <v>9.3933704999999996</v>
      </c>
      <c r="E23" s="96">
        <f t="shared" si="23"/>
        <v>22.4702749</v>
      </c>
      <c r="F23" s="96">
        <f t="shared" si="23"/>
        <v>105.86202470000001</v>
      </c>
      <c r="G23" s="96">
        <f t="shared" si="23"/>
        <v>426.06356729999999</v>
      </c>
      <c r="H23" s="96">
        <f t="shared" si="23"/>
        <v>416.2481239</v>
      </c>
      <c r="I23" s="97">
        <f t="shared" si="1"/>
        <v>983.50070410000001</v>
      </c>
      <c r="J23" s="9"/>
      <c r="K23" s="95">
        <f t="shared" ref="K23:L23" si="24">K22/10^7</f>
        <v>0.34054459999999998</v>
      </c>
      <c r="L23" s="95">
        <f t="shared" si="24"/>
        <v>1.7832017</v>
      </c>
      <c r="M23" s="95">
        <f t="shared" ref="M23:AA23" si="25">M22/10^7</f>
        <v>1.5398906000000001</v>
      </c>
      <c r="N23" s="95">
        <f t="shared" si="25"/>
        <v>13.1796293</v>
      </c>
      <c r="O23" s="95">
        <f t="shared" si="25"/>
        <v>80.282321800000005</v>
      </c>
      <c r="P23" s="95">
        <f t="shared" si="25"/>
        <v>373.82497039999998</v>
      </c>
      <c r="Q23" s="95">
        <f t="shared" si="25"/>
        <v>178.11750259999999</v>
      </c>
      <c r="R23" s="95">
        <f t="shared" si="25"/>
        <v>649.06806099999994</v>
      </c>
      <c r="S23" s="9"/>
      <c r="T23" s="95">
        <f t="shared" si="25"/>
        <v>7.6330999999999996E-2</v>
      </c>
      <c r="U23" s="95">
        <f t="shared" si="25"/>
        <v>1.2632654999999999</v>
      </c>
      <c r="V23" s="95">
        <f t="shared" si="25"/>
        <v>7.8534799</v>
      </c>
      <c r="W23" s="95">
        <f t="shared" si="25"/>
        <v>9.2906455999999995</v>
      </c>
      <c r="X23" s="95">
        <f t="shared" si="25"/>
        <v>25.579702900000001</v>
      </c>
      <c r="Y23" s="95">
        <f t="shared" si="25"/>
        <v>52.238596899999997</v>
      </c>
      <c r="Z23" s="95">
        <f t="shared" si="25"/>
        <v>238.1306213</v>
      </c>
      <c r="AA23" s="95">
        <f t="shared" si="25"/>
        <v>334.43264310000001</v>
      </c>
    </row>
    <row r="24" spans="1:28" ht="15.75" x14ac:dyDescent="0.25">
      <c r="A24" s="9"/>
      <c r="B24" s="13"/>
      <c r="C24" s="13"/>
      <c r="D24" s="13"/>
      <c r="E24" s="13"/>
      <c r="F24" s="51"/>
      <c r="G24" s="51"/>
      <c r="H24" s="51"/>
      <c r="I24" s="52"/>
      <c r="J24" s="9"/>
      <c r="K24" s="91">
        <f>K23/B$23</f>
        <v>0.81689741496024226</v>
      </c>
      <c r="L24" s="91">
        <f t="shared" ref="L24:R24" si="26">L23/C$23</f>
        <v>0.58533428490548001</v>
      </c>
      <c r="M24" s="91">
        <f t="shared" si="26"/>
        <v>0.1639337658404936</v>
      </c>
      <c r="N24" s="91">
        <f t="shared" si="26"/>
        <v>0.58653618429919607</v>
      </c>
      <c r="O24" s="91">
        <f t="shared" si="26"/>
        <v>0.75836752629198489</v>
      </c>
      <c r="P24" s="91">
        <f t="shared" si="26"/>
        <v>0.87739248105384771</v>
      </c>
      <c r="Q24" s="91">
        <f t="shared" si="26"/>
        <v>0.42791184481780675</v>
      </c>
      <c r="R24" s="91">
        <f t="shared" si="26"/>
        <v>0.6599568849256302</v>
      </c>
      <c r="S24" s="9"/>
      <c r="T24" s="87">
        <f>T23/B23</f>
        <v>0.18310258503975765</v>
      </c>
      <c r="U24" s="87">
        <f t="shared" ref="U24:AA24" si="27">U23/C23</f>
        <v>0.41466571509451994</v>
      </c>
      <c r="V24" s="87">
        <f t="shared" si="27"/>
        <v>0.83606623415950643</v>
      </c>
      <c r="W24" s="87">
        <f t="shared" si="27"/>
        <v>0.41346381570080387</v>
      </c>
      <c r="X24" s="87">
        <f t="shared" si="27"/>
        <v>0.24163247370801513</v>
      </c>
      <c r="Y24" s="87">
        <f t="shared" si="27"/>
        <v>0.12260751894615234</v>
      </c>
      <c r="Z24" s="87">
        <f t="shared" si="27"/>
        <v>0.57208815518219325</v>
      </c>
      <c r="AA24" s="87">
        <f t="shared" si="27"/>
        <v>0.3400431150743698</v>
      </c>
      <c r="AB24" s="88">
        <f>AA24+R24</f>
        <v>1</v>
      </c>
    </row>
    <row r="25" spans="1:28" x14ac:dyDescent="0.25">
      <c r="B25" s="3"/>
      <c r="C25" s="3"/>
      <c r="D25" s="3"/>
      <c r="E25" s="3"/>
      <c r="F25" s="3"/>
      <c r="G25" s="3"/>
      <c r="H25" s="3"/>
    </row>
    <row r="26" spans="1:28" x14ac:dyDescent="0.25">
      <c r="B26" s="3"/>
      <c r="C26" s="3"/>
      <c r="D26" s="3"/>
      <c r="E26" s="3"/>
      <c r="F26" s="3"/>
      <c r="G26" s="3"/>
      <c r="H26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"/>
  <sheetViews>
    <sheetView workbookViewId="0">
      <pane xSplit="2" topLeftCell="T1" activePane="topRight" state="frozen"/>
      <selection activeCell="P28" sqref="P28"/>
      <selection pane="topRight" activeCell="W22" sqref="W22"/>
    </sheetView>
  </sheetViews>
  <sheetFormatPr defaultRowHeight="15" x14ac:dyDescent="0.25"/>
  <cols>
    <col min="1" max="1" width="29.7109375" bestFit="1" customWidth="1"/>
    <col min="2" max="2" width="11.42578125" bestFit="1" customWidth="1"/>
    <col min="3" max="5" width="11.28515625" bestFit="1" customWidth="1"/>
    <col min="6" max="6" width="10.28515625" bestFit="1" customWidth="1"/>
    <col min="7" max="7" width="7.7109375" bestFit="1" customWidth="1"/>
    <col min="8" max="8" width="7.5703125" bestFit="1" customWidth="1"/>
    <col min="9" max="9" width="14" bestFit="1" customWidth="1"/>
    <col min="18" max="18" width="10" bestFit="1" customWidth="1"/>
    <col min="20" max="20" width="11.28515625" bestFit="1" customWidth="1"/>
    <col min="21" max="22" width="13.28515625" bestFit="1" customWidth="1"/>
    <col min="23" max="23" width="13.42578125" bestFit="1" customWidth="1"/>
    <col min="24" max="24" width="12.28515625" bestFit="1" customWidth="1"/>
    <col min="25" max="25" width="9.42578125" bestFit="1" customWidth="1"/>
    <col min="26" max="26" width="7.85546875" bestFit="1" customWidth="1"/>
    <col min="27" max="27" width="13.42578125" bestFit="1" customWidth="1"/>
  </cols>
  <sheetData>
    <row r="1" spans="1:31" x14ac:dyDescent="0.25">
      <c r="A1" s="8" t="s">
        <v>73</v>
      </c>
      <c r="B1" s="8"/>
      <c r="C1" s="9"/>
      <c r="D1" s="9"/>
      <c r="E1" s="9"/>
      <c r="F1" s="9"/>
      <c r="G1" s="9"/>
      <c r="H1" s="9"/>
      <c r="I1" s="9"/>
      <c r="J1" s="9"/>
      <c r="K1" s="9" t="s">
        <v>24</v>
      </c>
      <c r="L1" s="9"/>
      <c r="M1" s="9"/>
      <c r="N1" s="9"/>
      <c r="O1" s="9"/>
      <c r="P1" s="9"/>
      <c r="Q1" s="9"/>
      <c r="R1" s="9"/>
      <c r="S1" s="9"/>
      <c r="T1" s="9" t="s">
        <v>25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26</v>
      </c>
      <c r="J2" s="9"/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23</v>
      </c>
      <c r="R2" s="20" t="s">
        <v>26</v>
      </c>
      <c r="S2" s="9"/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23</v>
      </c>
      <c r="AA2" s="10" t="s">
        <v>26</v>
      </c>
      <c r="AB2" s="9"/>
      <c r="AC2" s="9"/>
      <c r="AD2" s="9"/>
      <c r="AE2" s="9"/>
    </row>
    <row r="3" spans="1:31" x14ac:dyDescent="0.25">
      <c r="A3" s="7" t="s">
        <v>5</v>
      </c>
      <c r="B3" s="15"/>
      <c r="C3" s="11"/>
      <c r="D3" s="12">
        <v>3036942</v>
      </c>
      <c r="E3" s="12">
        <v>3181862</v>
      </c>
      <c r="F3" s="12">
        <v>1081415</v>
      </c>
      <c r="G3" s="21"/>
      <c r="H3" s="9"/>
      <c r="I3" s="14">
        <f>SUM(B3+C3+D3+E3+F3+G3+H3)</f>
        <v>7300219</v>
      </c>
      <c r="J3" s="9"/>
      <c r="K3" s="18"/>
      <c r="L3" s="18"/>
      <c r="M3" s="18">
        <f>1779+5461+22866+31184</f>
        <v>61290</v>
      </c>
      <c r="N3" s="18"/>
      <c r="O3" s="18"/>
      <c r="P3" s="18"/>
      <c r="Q3" s="18"/>
      <c r="R3" s="5">
        <f t="shared" ref="R3:R10" si="0">SUM(K3+L3+M3+N3+O3+P3+Q3)</f>
        <v>61290</v>
      </c>
      <c r="S3" s="9"/>
      <c r="T3" s="61">
        <f>SUM(B3-K3)</f>
        <v>0</v>
      </c>
      <c r="U3" s="61">
        <f t="shared" ref="U3:AA11" si="1">SUM(C3-L3)</f>
        <v>0</v>
      </c>
      <c r="V3" s="61">
        <f t="shared" si="1"/>
        <v>2975652</v>
      </c>
      <c r="W3" s="61">
        <f t="shared" si="1"/>
        <v>3181862</v>
      </c>
      <c r="X3" s="61">
        <f t="shared" si="1"/>
        <v>1081415</v>
      </c>
      <c r="Y3" s="61">
        <f t="shared" si="1"/>
        <v>0</v>
      </c>
      <c r="Z3" s="61">
        <f t="shared" si="1"/>
        <v>0</v>
      </c>
      <c r="AA3" s="61">
        <f t="shared" si="1"/>
        <v>7238929</v>
      </c>
      <c r="AB3" s="9"/>
      <c r="AC3" s="9"/>
      <c r="AD3" s="9"/>
      <c r="AE3" s="9"/>
    </row>
    <row r="4" spans="1:31" x14ac:dyDescent="0.25">
      <c r="A4" s="7" t="s">
        <v>6</v>
      </c>
      <c r="B4" s="11"/>
      <c r="C4" s="11">
        <v>906004</v>
      </c>
      <c r="D4" s="12">
        <v>5216405</v>
      </c>
      <c r="E4" s="12">
        <v>1114462</v>
      </c>
      <c r="F4" s="12"/>
      <c r="G4" s="21"/>
      <c r="H4" s="9"/>
      <c r="I4" s="14">
        <f t="shared" ref="I4:I10" si="2">SUM(B4+C4+D4+E4+F4+G4+H4)</f>
        <v>7236871</v>
      </c>
      <c r="J4" s="9"/>
      <c r="K4" s="18"/>
      <c r="L4" s="18"/>
      <c r="M4" s="18"/>
      <c r="N4" s="18"/>
      <c r="O4" s="18"/>
      <c r="P4" s="18"/>
      <c r="Q4" s="18"/>
      <c r="R4" s="5">
        <f t="shared" si="0"/>
        <v>0</v>
      </c>
      <c r="S4" s="9"/>
      <c r="T4" s="61">
        <f t="shared" ref="T4:T10" si="3">SUM(B4-K4)</f>
        <v>0</v>
      </c>
      <c r="U4" s="61">
        <f t="shared" si="1"/>
        <v>906004</v>
      </c>
      <c r="V4" s="61">
        <f t="shared" si="1"/>
        <v>5216405</v>
      </c>
      <c r="W4" s="61">
        <f t="shared" si="1"/>
        <v>1114462</v>
      </c>
      <c r="X4" s="61">
        <f t="shared" si="1"/>
        <v>0</v>
      </c>
      <c r="Y4" s="61">
        <f t="shared" si="1"/>
        <v>0</v>
      </c>
      <c r="Z4" s="61">
        <f t="shared" si="1"/>
        <v>0</v>
      </c>
      <c r="AA4" s="61">
        <f t="shared" si="1"/>
        <v>7236871</v>
      </c>
      <c r="AB4" s="9"/>
      <c r="AC4" s="9"/>
      <c r="AD4" s="9"/>
      <c r="AE4" s="9"/>
    </row>
    <row r="5" spans="1:31" x14ac:dyDescent="0.25">
      <c r="A5" s="7" t="s">
        <v>7</v>
      </c>
      <c r="B5" s="12">
        <v>881066</v>
      </c>
      <c r="C5" s="12"/>
      <c r="D5" s="12"/>
      <c r="E5" s="12"/>
      <c r="F5" s="12"/>
      <c r="G5" s="21"/>
      <c r="H5" s="9"/>
      <c r="I5" s="14">
        <f t="shared" si="2"/>
        <v>881066</v>
      </c>
      <c r="J5" s="9"/>
      <c r="K5" s="18"/>
      <c r="L5" s="18"/>
      <c r="M5" s="18"/>
      <c r="N5" s="18"/>
      <c r="O5" s="18"/>
      <c r="P5" s="18"/>
      <c r="Q5" s="18"/>
      <c r="R5" s="5">
        <f t="shared" si="0"/>
        <v>0</v>
      </c>
      <c r="S5" s="9"/>
      <c r="T5" s="61">
        <f t="shared" si="3"/>
        <v>881066</v>
      </c>
      <c r="U5" s="61">
        <f t="shared" si="1"/>
        <v>0</v>
      </c>
      <c r="V5" s="61">
        <f t="shared" si="1"/>
        <v>0</v>
      </c>
      <c r="W5" s="61">
        <f t="shared" si="1"/>
        <v>0</v>
      </c>
      <c r="X5" s="61">
        <f t="shared" si="1"/>
        <v>0</v>
      </c>
      <c r="Y5" s="61">
        <f t="shared" si="1"/>
        <v>0</v>
      </c>
      <c r="Z5" s="61">
        <f t="shared" si="1"/>
        <v>0</v>
      </c>
      <c r="AA5" s="61">
        <f t="shared" si="1"/>
        <v>881066</v>
      </c>
      <c r="AB5" s="9"/>
      <c r="AC5" s="9"/>
      <c r="AD5" s="9"/>
      <c r="AE5" s="9"/>
    </row>
    <row r="6" spans="1:31" x14ac:dyDescent="0.25">
      <c r="A6" s="7" t="s">
        <v>8</v>
      </c>
      <c r="B6" s="12"/>
      <c r="C6" s="12"/>
      <c r="D6" s="12"/>
      <c r="E6" s="12">
        <v>425273</v>
      </c>
      <c r="F6" s="12"/>
      <c r="G6" s="21"/>
      <c r="H6" s="9"/>
      <c r="I6" s="14">
        <f t="shared" si="2"/>
        <v>425273</v>
      </c>
      <c r="J6" s="9"/>
      <c r="K6" s="18"/>
      <c r="L6" s="18"/>
      <c r="M6" s="18"/>
      <c r="N6" s="18"/>
      <c r="O6" s="18"/>
      <c r="P6" s="18"/>
      <c r="Q6" s="18"/>
      <c r="R6" s="5">
        <f t="shared" si="0"/>
        <v>0</v>
      </c>
      <c r="S6" s="9"/>
      <c r="T6" s="61">
        <f t="shared" si="3"/>
        <v>0</v>
      </c>
      <c r="U6" s="61">
        <f t="shared" ref="U6" si="4">SUM(C6-L6)</f>
        <v>0</v>
      </c>
      <c r="V6" s="61">
        <f t="shared" si="1"/>
        <v>0</v>
      </c>
      <c r="W6" s="61">
        <f t="shared" ref="W6" si="5">SUM(E6-N6)</f>
        <v>425273</v>
      </c>
      <c r="X6" s="61">
        <f t="shared" ref="X6" si="6">SUM(F6-O6)</f>
        <v>0</v>
      </c>
      <c r="Y6" s="61">
        <f t="shared" ref="Y6" si="7">SUM(G6-P6)</f>
        <v>0</v>
      </c>
      <c r="Z6" s="61">
        <f t="shared" ref="Z6" si="8">SUM(H6-Q6)</f>
        <v>0</v>
      </c>
      <c r="AA6" s="61">
        <f t="shared" si="1"/>
        <v>425273</v>
      </c>
      <c r="AB6" s="9"/>
      <c r="AC6" s="9"/>
      <c r="AD6" s="9"/>
      <c r="AE6" s="9"/>
    </row>
    <row r="7" spans="1:31" x14ac:dyDescent="0.25">
      <c r="A7" s="7" t="s">
        <v>9</v>
      </c>
      <c r="B7" s="11"/>
      <c r="C7" s="11">
        <v>9617879</v>
      </c>
      <c r="D7" s="11"/>
      <c r="E7" s="11"/>
      <c r="F7" s="12"/>
      <c r="G7" s="21"/>
      <c r="H7" s="9"/>
      <c r="I7" s="14">
        <f t="shared" si="2"/>
        <v>9617879</v>
      </c>
      <c r="J7" s="9"/>
      <c r="K7" s="18"/>
      <c r="L7" s="18"/>
      <c r="M7" s="18"/>
      <c r="N7" s="18"/>
      <c r="O7" s="18"/>
      <c r="P7" s="18"/>
      <c r="Q7" s="18"/>
      <c r="R7" s="5">
        <f t="shared" si="0"/>
        <v>0</v>
      </c>
      <c r="S7" s="9"/>
      <c r="T7" s="61">
        <f t="shared" si="3"/>
        <v>0</v>
      </c>
      <c r="U7" s="61">
        <f t="shared" si="1"/>
        <v>9617879</v>
      </c>
      <c r="V7" s="61">
        <f t="shared" si="1"/>
        <v>0</v>
      </c>
      <c r="W7" s="61">
        <f t="shared" si="1"/>
        <v>0</v>
      </c>
      <c r="X7" s="61">
        <f t="shared" si="1"/>
        <v>0</v>
      </c>
      <c r="Y7" s="61">
        <f t="shared" si="1"/>
        <v>0</v>
      </c>
      <c r="Z7" s="61">
        <f t="shared" si="1"/>
        <v>0</v>
      </c>
      <c r="AA7" s="61">
        <f t="shared" si="1"/>
        <v>9617879</v>
      </c>
      <c r="AB7" s="9"/>
      <c r="AC7" s="9"/>
      <c r="AD7" s="9"/>
      <c r="AE7" s="9"/>
    </row>
    <row r="8" spans="1:31" x14ac:dyDescent="0.25">
      <c r="A8" s="7" t="s">
        <v>12</v>
      </c>
      <c r="B8" s="12">
        <v>4207</v>
      </c>
      <c r="C8" s="12"/>
      <c r="D8" s="12">
        <v>10007</v>
      </c>
      <c r="E8" s="12"/>
      <c r="F8" s="12">
        <v>865925</v>
      </c>
      <c r="G8" s="21"/>
      <c r="H8" s="9"/>
      <c r="I8" s="14">
        <f t="shared" si="2"/>
        <v>880139</v>
      </c>
      <c r="J8" s="9"/>
      <c r="K8" s="18"/>
      <c r="L8" s="18"/>
      <c r="M8" s="18"/>
      <c r="N8" s="18"/>
      <c r="O8" s="18"/>
      <c r="P8" s="18"/>
      <c r="Q8" s="18"/>
      <c r="R8" s="5">
        <f t="shared" si="0"/>
        <v>0</v>
      </c>
      <c r="S8" s="9"/>
      <c r="T8" s="61">
        <f t="shared" si="3"/>
        <v>4207</v>
      </c>
      <c r="U8" s="61">
        <f t="shared" si="1"/>
        <v>0</v>
      </c>
      <c r="V8" s="61">
        <f t="shared" si="1"/>
        <v>10007</v>
      </c>
      <c r="W8" s="61">
        <f t="shared" si="1"/>
        <v>0</v>
      </c>
      <c r="X8" s="61">
        <f t="shared" si="1"/>
        <v>865925</v>
      </c>
      <c r="Y8" s="61">
        <f t="shared" si="1"/>
        <v>0</v>
      </c>
      <c r="Z8" s="61">
        <f t="shared" si="1"/>
        <v>0</v>
      </c>
      <c r="AA8" s="61">
        <f t="shared" si="1"/>
        <v>880139</v>
      </c>
      <c r="AB8" s="9"/>
      <c r="AC8" s="9"/>
      <c r="AD8" s="9"/>
      <c r="AE8" s="9"/>
    </row>
    <row r="9" spans="1:31" x14ac:dyDescent="0.25">
      <c r="A9" s="7" t="s">
        <v>13</v>
      </c>
      <c r="B9" s="12"/>
      <c r="C9" s="12"/>
      <c r="D9" s="12"/>
      <c r="E9" s="12">
        <v>44127</v>
      </c>
      <c r="F9" s="12">
        <v>1231693</v>
      </c>
      <c r="G9" s="21"/>
      <c r="H9" s="9"/>
      <c r="I9" s="14">
        <f t="shared" si="2"/>
        <v>1275820</v>
      </c>
      <c r="J9" s="9"/>
      <c r="K9" s="18"/>
      <c r="L9" s="18"/>
      <c r="M9" s="18"/>
      <c r="N9" s="18"/>
      <c r="O9" s="18"/>
      <c r="P9" s="18"/>
      <c r="Q9" s="18"/>
      <c r="R9" s="5">
        <f t="shared" si="0"/>
        <v>0</v>
      </c>
      <c r="S9" s="9"/>
      <c r="T9" s="61">
        <f t="shared" si="3"/>
        <v>0</v>
      </c>
      <c r="U9" s="61">
        <f t="shared" si="1"/>
        <v>0</v>
      </c>
      <c r="V9" s="61">
        <f t="shared" si="1"/>
        <v>0</v>
      </c>
      <c r="W9" s="61">
        <f t="shared" si="1"/>
        <v>44127</v>
      </c>
      <c r="X9" s="61">
        <f t="shared" si="1"/>
        <v>1231693</v>
      </c>
      <c r="Y9" s="61">
        <f t="shared" si="1"/>
        <v>0</v>
      </c>
      <c r="Z9" s="61">
        <f t="shared" si="1"/>
        <v>0</v>
      </c>
      <c r="AA9" s="61">
        <f t="shared" si="1"/>
        <v>1275820</v>
      </c>
      <c r="AB9" s="9"/>
      <c r="AC9" s="9"/>
      <c r="AD9" s="9"/>
      <c r="AE9" s="9"/>
    </row>
    <row r="10" spans="1:31" x14ac:dyDescent="0.25">
      <c r="A10" s="7" t="s">
        <v>50</v>
      </c>
      <c r="B10" s="12"/>
      <c r="C10" s="12"/>
      <c r="D10" s="12">
        <v>3826</v>
      </c>
      <c r="E10" s="12"/>
      <c r="F10" s="12">
        <v>80014</v>
      </c>
      <c r="G10" s="21"/>
      <c r="H10" s="9"/>
      <c r="I10" s="14">
        <f t="shared" si="2"/>
        <v>83840</v>
      </c>
      <c r="J10" s="9"/>
      <c r="K10" s="18"/>
      <c r="L10" s="18"/>
      <c r="M10" s="18"/>
      <c r="N10" s="18"/>
      <c r="O10" s="18"/>
      <c r="P10" s="18"/>
      <c r="Q10" s="18"/>
      <c r="R10" s="5">
        <f t="shared" si="0"/>
        <v>0</v>
      </c>
      <c r="S10" s="9"/>
      <c r="T10" s="61">
        <f t="shared" si="3"/>
        <v>0</v>
      </c>
      <c r="U10" s="61">
        <f t="shared" si="1"/>
        <v>0</v>
      </c>
      <c r="V10" s="61">
        <f t="shared" si="1"/>
        <v>3826</v>
      </c>
      <c r="W10" s="61">
        <f t="shared" si="1"/>
        <v>0</v>
      </c>
      <c r="X10" s="61">
        <f t="shared" si="1"/>
        <v>80014</v>
      </c>
      <c r="Y10" s="61">
        <f t="shared" si="1"/>
        <v>0</v>
      </c>
      <c r="Z10" s="61">
        <f t="shared" si="1"/>
        <v>0</v>
      </c>
      <c r="AA10" s="61">
        <f t="shared" si="1"/>
        <v>83840</v>
      </c>
      <c r="AB10" s="9"/>
      <c r="AC10" s="9"/>
      <c r="AD10" s="9"/>
      <c r="AE10" s="9"/>
    </row>
    <row r="11" spans="1:31" x14ac:dyDescent="0.25">
      <c r="A11" s="7" t="s">
        <v>22</v>
      </c>
      <c r="B11" s="16">
        <f t="shared" ref="B11:T11" si="9">SUM(B3:B10)</f>
        <v>885273</v>
      </c>
      <c r="C11" s="16">
        <f t="shared" si="9"/>
        <v>10523883</v>
      </c>
      <c r="D11" s="16">
        <f t="shared" si="9"/>
        <v>8267180</v>
      </c>
      <c r="E11" s="16">
        <f t="shared" si="9"/>
        <v>4765724</v>
      </c>
      <c r="F11" s="16">
        <f t="shared" si="9"/>
        <v>3259047</v>
      </c>
      <c r="G11" s="16">
        <f t="shared" si="9"/>
        <v>0</v>
      </c>
      <c r="H11" s="13"/>
      <c r="I11" s="16">
        <f t="shared" si="9"/>
        <v>27701107</v>
      </c>
      <c r="J11" s="9"/>
      <c r="K11" s="22">
        <f t="shared" si="9"/>
        <v>0</v>
      </c>
      <c r="L11" s="22">
        <f t="shared" si="9"/>
        <v>0</v>
      </c>
      <c r="M11" s="22">
        <f t="shared" si="9"/>
        <v>61290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  <c r="R11" s="22">
        <f t="shared" si="9"/>
        <v>61290</v>
      </c>
      <c r="S11" s="9"/>
      <c r="T11" s="16">
        <f t="shared" si="9"/>
        <v>885273</v>
      </c>
      <c r="U11" s="63">
        <f t="shared" si="1"/>
        <v>10523883</v>
      </c>
      <c r="V11" s="63">
        <f t="shared" si="1"/>
        <v>8205890</v>
      </c>
      <c r="W11" s="63">
        <f t="shared" si="1"/>
        <v>4765724</v>
      </c>
      <c r="X11" s="63">
        <f t="shared" si="1"/>
        <v>3259047</v>
      </c>
      <c r="Y11" s="63">
        <f t="shared" si="1"/>
        <v>0</v>
      </c>
      <c r="Z11" s="63">
        <f t="shared" si="1"/>
        <v>0</v>
      </c>
      <c r="AA11" s="63">
        <f t="shared" si="1"/>
        <v>27639817</v>
      </c>
      <c r="AB11" s="9"/>
      <c r="AC11" s="9"/>
      <c r="AD11" s="9"/>
      <c r="AE11" s="9"/>
    </row>
    <row r="12" spans="1:31" x14ac:dyDescent="0.25">
      <c r="A12" s="9"/>
      <c r="B12" s="96">
        <f t="shared" ref="B12:F12" si="10">B11/10^7</f>
        <v>8.8527300000000003E-2</v>
      </c>
      <c r="C12" s="96">
        <f t="shared" si="10"/>
        <v>1.0523883000000001</v>
      </c>
      <c r="D12" s="96">
        <f t="shared" si="10"/>
        <v>0.82671799999999995</v>
      </c>
      <c r="E12" s="96">
        <f t="shared" si="10"/>
        <v>0.47657240000000001</v>
      </c>
      <c r="F12" s="96">
        <f t="shared" si="10"/>
        <v>0.32590469999999999</v>
      </c>
      <c r="G12" s="98"/>
      <c r="H12" s="99"/>
      <c r="I12" s="96">
        <f t="shared" ref="I12" si="11">I11/10^7</f>
        <v>2.7701107</v>
      </c>
      <c r="J12" s="9"/>
      <c r="K12" s="96">
        <f t="shared" ref="K12:AA12" si="12">K11/10^7</f>
        <v>0</v>
      </c>
      <c r="L12" s="96">
        <f t="shared" si="12"/>
        <v>0</v>
      </c>
      <c r="M12" s="96">
        <f t="shared" si="12"/>
        <v>6.1289999999999999E-3</v>
      </c>
      <c r="N12" s="96">
        <f t="shared" si="12"/>
        <v>0</v>
      </c>
      <c r="O12" s="96">
        <f t="shared" si="12"/>
        <v>0</v>
      </c>
      <c r="P12" s="96">
        <f t="shared" si="12"/>
        <v>0</v>
      </c>
      <c r="Q12" s="96">
        <f t="shared" si="12"/>
        <v>0</v>
      </c>
      <c r="R12" s="96">
        <f t="shared" si="12"/>
        <v>6.1289999999999999E-3</v>
      </c>
      <c r="S12" s="9"/>
      <c r="T12" s="96">
        <f t="shared" si="12"/>
        <v>8.8527300000000003E-2</v>
      </c>
      <c r="U12" s="96">
        <f t="shared" si="12"/>
        <v>1.0523883000000001</v>
      </c>
      <c r="V12" s="96">
        <f t="shared" si="12"/>
        <v>0.82058900000000001</v>
      </c>
      <c r="W12" s="96">
        <f t="shared" si="12"/>
        <v>0.47657240000000001</v>
      </c>
      <c r="X12" s="96">
        <f t="shared" si="12"/>
        <v>0.32590469999999999</v>
      </c>
      <c r="Y12" s="96">
        <f t="shared" si="12"/>
        <v>0</v>
      </c>
      <c r="Z12" s="96">
        <f t="shared" si="12"/>
        <v>0</v>
      </c>
      <c r="AA12" s="96">
        <f t="shared" si="12"/>
        <v>2.7639817</v>
      </c>
      <c r="AB12" s="9"/>
      <c r="AC12" s="9"/>
      <c r="AD12" s="9"/>
      <c r="AE12" s="9"/>
    </row>
    <row r="13" spans="1:31" x14ac:dyDescent="0.25">
      <c r="A13" s="9"/>
      <c r="B13" s="23"/>
      <c r="C13" s="23"/>
      <c r="D13" s="23"/>
      <c r="E13" s="23"/>
      <c r="F13" s="23"/>
      <c r="G13" s="23"/>
      <c r="H13" s="9"/>
      <c r="I13" s="14"/>
      <c r="J13" s="9"/>
      <c r="K13" s="93">
        <f>K12/B$12</f>
        <v>0</v>
      </c>
      <c r="L13" s="93">
        <f t="shared" ref="L13:R13" si="13">L12/C$12</f>
        <v>0</v>
      </c>
      <c r="M13" s="94">
        <f t="shared" si="13"/>
        <v>7.4136525393181229E-3</v>
      </c>
      <c r="N13" s="93">
        <f t="shared" si="13"/>
        <v>0</v>
      </c>
      <c r="O13" s="93">
        <f t="shared" si="13"/>
        <v>0</v>
      </c>
      <c r="P13" s="93"/>
      <c r="Q13" s="93"/>
      <c r="R13" s="94">
        <f t="shared" si="13"/>
        <v>2.2125469570584309E-3</v>
      </c>
      <c r="S13" s="40"/>
      <c r="T13" s="94">
        <f>T12/B12</f>
        <v>1</v>
      </c>
      <c r="U13" s="94">
        <f t="shared" ref="U13:AA13" si="14">U12/C12</f>
        <v>1</v>
      </c>
      <c r="V13" s="94">
        <f t="shared" si="14"/>
        <v>0.99258634746068197</v>
      </c>
      <c r="W13" s="94">
        <f t="shared" si="14"/>
        <v>1</v>
      </c>
      <c r="X13" s="94">
        <f t="shared" si="14"/>
        <v>1</v>
      </c>
      <c r="Y13" s="94"/>
      <c r="Z13" s="94"/>
      <c r="AA13" s="94">
        <f t="shared" si="14"/>
        <v>0.99778745304294159</v>
      </c>
      <c r="AB13" s="9"/>
      <c r="AC13" s="9"/>
      <c r="AD13" s="9"/>
      <c r="AE13" s="9"/>
    </row>
    <row r="14" spans="1:31" x14ac:dyDescent="0.25">
      <c r="A14" s="9"/>
      <c r="B14" s="23"/>
      <c r="C14" s="23"/>
      <c r="D14" s="23"/>
      <c r="E14" s="23"/>
      <c r="F14" s="23"/>
      <c r="G14" s="23"/>
      <c r="H14" s="9"/>
      <c r="I14" s="14"/>
      <c r="J14" s="9"/>
      <c r="K14" s="40"/>
      <c r="L14" s="40"/>
      <c r="M14" s="40"/>
      <c r="N14" s="40"/>
      <c r="O14" s="40"/>
      <c r="P14" s="40"/>
      <c r="Q14" s="40"/>
      <c r="R14" s="41"/>
      <c r="S14" s="40"/>
      <c r="T14" s="50"/>
      <c r="U14" s="50"/>
      <c r="V14" s="50"/>
      <c r="W14" s="50"/>
      <c r="X14" s="50"/>
      <c r="Y14" s="50"/>
      <c r="Z14" s="50"/>
      <c r="AA14" s="50"/>
      <c r="AB14" s="9"/>
      <c r="AC14" s="9"/>
      <c r="AD14" s="9"/>
      <c r="AE14" s="9"/>
    </row>
    <row r="15" spans="1:31" x14ac:dyDescent="0.25">
      <c r="A15" s="9"/>
      <c r="B15" s="9"/>
      <c r="C15" s="9"/>
      <c r="D15" s="9"/>
      <c r="E15" s="9"/>
      <c r="F15" s="9"/>
      <c r="G15" s="9"/>
      <c r="H15" s="9"/>
      <c r="I15" s="14"/>
      <c r="J15" s="9"/>
      <c r="K15" s="40"/>
      <c r="L15" s="40"/>
      <c r="M15" s="40"/>
      <c r="N15" s="40"/>
      <c r="O15" s="40"/>
      <c r="P15" s="40"/>
      <c r="Q15" s="40"/>
      <c r="R15" s="41"/>
      <c r="S15" s="40"/>
      <c r="T15" s="50"/>
      <c r="U15" s="50"/>
      <c r="V15" s="50"/>
      <c r="W15" s="50"/>
      <c r="X15" s="50"/>
      <c r="Y15" s="50"/>
      <c r="Z15" s="50"/>
      <c r="AA15" s="50"/>
      <c r="AB15" s="9"/>
      <c r="AC15" s="9"/>
      <c r="AD15" s="9"/>
      <c r="AE15" s="9"/>
    </row>
    <row r="16" spans="1:31" x14ac:dyDescent="0.25">
      <c r="A16" s="9"/>
      <c r="B16" s="9"/>
      <c r="C16" s="9"/>
      <c r="D16" s="9"/>
      <c r="E16" s="9"/>
      <c r="F16" s="9"/>
      <c r="G16" s="9"/>
      <c r="H16" s="9"/>
      <c r="I16" s="14"/>
      <c r="J16" s="9"/>
      <c r="K16" s="40"/>
      <c r="L16" s="40"/>
      <c r="M16" s="40"/>
      <c r="N16" s="40"/>
      <c r="O16" s="40"/>
      <c r="P16" s="40"/>
      <c r="Q16" s="40"/>
      <c r="R16" s="41"/>
      <c r="S16" s="40"/>
      <c r="T16" s="50"/>
      <c r="U16" s="50"/>
      <c r="V16" s="50"/>
      <c r="W16" s="50"/>
      <c r="X16" s="50"/>
      <c r="Y16" s="50"/>
      <c r="Z16" s="50"/>
      <c r="AA16" s="50"/>
      <c r="AB16" s="9"/>
      <c r="AC16" s="9"/>
      <c r="AD16" s="9"/>
      <c r="AE16" s="9"/>
    </row>
    <row r="17" spans="1:31" x14ac:dyDescent="0.25">
      <c r="A17" s="9"/>
      <c r="B17" s="9"/>
      <c r="C17" s="9"/>
      <c r="D17" s="9"/>
      <c r="E17" s="9"/>
      <c r="F17" s="9"/>
      <c r="G17" s="9"/>
      <c r="H17" s="9"/>
      <c r="I17" s="14"/>
      <c r="J17" s="9"/>
      <c r="K17" s="40"/>
      <c r="L17" s="40"/>
      <c r="M17" s="40"/>
      <c r="N17" s="40"/>
      <c r="O17" s="40"/>
      <c r="P17" s="40"/>
      <c r="Q17" s="40"/>
      <c r="R17" s="41"/>
      <c r="S17" s="40"/>
      <c r="T17" s="50"/>
      <c r="U17" s="50"/>
      <c r="V17" s="50"/>
      <c r="W17" s="50"/>
      <c r="X17" s="50"/>
      <c r="Y17" s="50"/>
      <c r="Z17" s="50"/>
      <c r="AA17" s="50"/>
      <c r="AB17" s="9"/>
      <c r="AC17" s="9"/>
      <c r="AD17" s="9"/>
      <c r="AE17" s="9"/>
    </row>
    <row r="18" spans="1:31" x14ac:dyDescent="0.25">
      <c r="A18" s="9"/>
      <c r="B18" s="9"/>
      <c r="C18" s="9"/>
      <c r="D18" s="9"/>
      <c r="E18" s="9"/>
      <c r="F18" s="9"/>
      <c r="G18" s="9"/>
      <c r="H18" s="9"/>
      <c r="I18" s="14"/>
      <c r="J18" s="9"/>
      <c r="K18" s="40"/>
      <c r="L18" s="40"/>
      <c r="M18" s="40"/>
      <c r="N18" s="40"/>
      <c r="O18" s="40"/>
      <c r="P18" s="40"/>
      <c r="Q18" s="40"/>
      <c r="R18" s="41"/>
      <c r="S18" s="40"/>
      <c r="T18" s="50"/>
      <c r="U18" s="50"/>
      <c r="V18" s="50"/>
      <c r="W18" s="50"/>
      <c r="X18" s="50"/>
      <c r="Y18" s="50"/>
      <c r="Z18" s="50"/>
      <c r="AA18" s="50"/>
      <c r="AB18" s="9"/>
      <c r="AC18" s="9"/>
      <c r="AD18" s="9"/>
      <c r="AE18" s="9"/>
    </row>
    <row r="19" spans="1:3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48"/>
      <c r="L19" s="48"/>
      <c r="M19" s="48"/>
      <c r="N19" s="48"/>
      <c r="O19" s="48"/>
      <c r="P19" s="48"/>
      <c r="Q19" s="48"/>
      <c r="R19" s="48"/>
      <c r="S19" s="9"/>
      <c r="T19" s="48"/>
      <c r="U19" s="48"/>
      <c r="V19" s="48"/>
      <c r="W19" s="48"/>
      <c r="X19" s="48"/>
      <c r="Y19" s="48"/>
      <c r="Z19" s="48"/>
      <c r="AA19" s="48"/>
      <c r="AB19" s="9"/>
      <c r="AC19" s="9"/>
      <c r="AD19" s="9"/>
      <c r="AE19" s="9"/>
    </row>
    <row r="20" spans="1:3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7"/>
      <c r="L20" s="17"/>
      <c r="M20" s="17"/>
      <c r="N20" s="17"/>
      <c r="O20" s="17"/>
      <c r="P20" s="17"/>
      <c r="Q20" s="17"/>
      <c r="R20" s="17"/>
      <c r="S20" s="9"/>
      <c r="T20" s="49"/>
      <c r="U20" s="49"/>
      <c r="V20" s="49"/>
      <c r="W20" s="49"/>
      <c r="X20" s="49"/>
      <c r="Y20" s="49"/>
      <c r="Z20" s="49"/>
      <c r="AA20" s="49"/>
      <c r="AB20" s="9"/>
      <c r="AC20" s="9"/>
      <c r="AD20" s="9"/>
      <c r="AE20" s="9"/>
    </row>
    <row r="21" spans="1:3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48"/>
      <c r="Y21" s="9"/>
      <c r="Z21" s="9"/>
      <c r="AA21" s="9"/>
      <c r="AB21" s="9"/>
      <c r="AC21" s="9"/>
      <c r="AD21" s="9"/>
      <c r="AE21" s="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pane xSplit="2" topLeftCell="AA1" activePane="topRight" state="frozen"/>
      <selection activeCell="P28" sqref="P28"/>
      <selection pane="topRight" activeCell="AF14" sqref="AF14"/>
    </sheetView>
  </sheetViews>
  <sheetFormatPr defaultRowHeight="15" x14ac:dyDescent="0.25"/>
  <cols>
    <col min="1" max="1" width="29.7109375" bestFit="1" customWidth="1"/>
    <col min="2" max="2" width="7.5703125" bestFit="1" customWidth="1"/>
    <col min="3" max="7" width="11.28515625" bestFit="1" customWidth="1"/>
    <col min="8" max="9" width="11.28515625" style="68" customWidth="1"/>
    <col min="10" max="11" width="12.28515625" bestFit="1" customWidth="1"/>
    <col min="14" max="14" width="10.28515625" bestFit="1" customWidth="1"/>
    <col min="15" max="15" width="11.28515625" bestFit="1" customWidth="1"/>
    <col min="16" max="16" width="10.28515625" bestFit="1" customWidth="1"/>
    <col min="17" max="17" width="13.28515625" bestFit="1" customWidth="1"/>
    <col min="18" max="18" width="12.140625" bestFit="1" customWidth="1"/>
    <col min="19" max="20" width="12.140625" style="68" customWidth="1"/>
    <col min="22" max="22" width="13.7109375" bestFit="1" customWidth="1"/>
    <col min="25" max="25" width="10.7109375" bestFit="1" customWidth="1"/>
    <col min="26" max="28" width="11" bestFit="1" customWidth="1"/>
    <col min="29" max="29" width="10.7109375" bestFit="1" customWidth="1"/>
    <col min="30" max="31" width="10.7109375" style="68" customWidth="1"/>
    <col min="32" max="33" width="12" bestFit="1" customWidth="1"/>
  </cols>
  <sheetData>
    <row r="1" spans="1:34" x14ac:dyDescent="0.25">
      <c r="A1" s="8" t="s">
        <v>73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 t="s">
        <v>24</v>
      </c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25</v>
      </c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67</v>
      </c>
      <c r="J2" s="10" t="s">
        <v>78</v>
      </c>
      <c r="K2" s="10" t="s">
        <v>26</v>
      </c>
      <c r="L2" s="9"/>
      <c r="M2" s="20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23</v>
      </c>
      <c r="T2" s="20" t="s">
        <v>67</v>
      </c>
      <c r="U2" s="20" t="s">
        <v>78</v>
      </c>
      <c r="V2" s="20" t="s">
        <v>26</v>
      </c>
      <c r="W2" s="9"/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23</v>
      </c>
      <c r="AE2" s="10" t="s">
        <v>67</v>
      </c>
      <c r="AF2" s="10" t="s">
        <v>78</v>
      </c>
      <c r="AG2" s="10" t="s">
        <v>26</v>
      </c>
      <c r="AH2" s="9"/>
    </row>
    <row r="3" spans="1:34" x14ac:dyDescent="0.25">
      <c r="A3" s="7" t="s">
        <v>6</v>
      </c>
      <c r="B3" s="11"/>
      <c r="C3" s="11">
        <v>5753272</v>
      </c>
      <c r="D3" s="12">
        <v>1419382</v>
      </c>
      <c r="E3" s="12">
        <v>1493279</v>
      </c>
      <c r="F3" s="12"/>
      <c r="G3" s="12">
        <v>1559100</v>
      </c>
      <c r="H3" s="12"/>
      <c r="I3" s="12"/>
      <c r="J3" s="13">
        <v>104212857</v>
      </c>
      <c r="K3" s="14">
        <f>SUM(B3+C3+D3+E3+F3+G3+J3)</f>
        <v>114437890</v>
      </c>
      <c r="L3" s="9"/>
      <c r="M3" s="18"/>
      <c r="N3" s="18"/>
      <c r="O3" s="18"/>
      <c r="P3" s="18"/>
      <c r="Q3" s="43"/>
      <c r="R3" s="43"/>
      <c r="S3" s="43"/>
      <c r="T3" s="43"/>
      <c r="U3" s="18"/>
      <c r="V3" s="59">
        <f>SUM(M3+N3+O3+P3+Q3+R3+U3)</f>
        <v>0</v>
      </c>
      <c r="W3" s="9"/>
      <c r="X3" s="19">
        <f t="shared" ref="X3:AC7" si="0">SUM(B3-M3)</f>
        <v>0</v>
      </c>
      <c r="Y3" s="19">
        <f t="shared" si="0"/>
        <v>5753272</v>
      </c>
      <c r="Z3" s="19">
        <f t="shared" si="0"/>
        <v>1419382</v>
      </c>
      <c r="AA3" s="19">
        <f t="shared" si="0"/>
        <v>1493279</v>
      </c>
      <c r="AB3" s="19">
        <f t="shared" si="0"/>
        <v>0</v>
      </c>
      <c r="AC3" s="19">
        <f t="shared" si="0"/>
        <v>1559100</v>
      </c>
      <c r="AD3" s="19"/>
      <c r="AE3" s="19"/>
      <c r="AF3" s="19">
        <f t="shared" ref="AF3:AG7" si="1">SUM(J3-U3)</f>
        <v>104212857</v>
      </c>
      <c r="AG3" s="19">
        <f t="shared" si="1"/>
        <v>114437890</v>
      </c>
      <c r="AH3" s="9"/>
    </row>
    <row r="4" spans="1:34" x14ac:dyDescent="0.25">
      <c r="A4" s="7" t="s">
        <v>12</v>
      </c>
      <c r="B4" s="12"/>
      <c r="C4" s="12"/>
      <c r="D4" s="12"/>
      <c r="E4" s="12"/>
      <c r="F4" s="12"/>
      <c r="G4" s="12"/>
      <c r="H4" s="12"/>
      <c r="I4" s="12"/>
      <c r="J4" s="13"/>
      <c r="K4" s="14">
        <f t="shared" ref="K4:K6" si="2">SUM(B4+C4+D4+E4+F4+G4+J4)</f>
        <v>0</v>
      </c>
      <c r="L4" s="9"/>
      <c r="M4" s="18"/>
      <c r="N4" s="18"/>
      <c r="O4" s="18"/>
      <c r="P4" s="18"/>
      <c r="Q4" s="18"/>
      <c r="R4" s="18"/>
      <c r="S4" s="18"/>
      <c r="T4" s="18"/>
      <c r="U4" s="18"/>
      <c r="V4" s="5">
        <f>SUM(M4+N4+O4+P4+Q4+R4+U4)</f>
        <v>0</v>
      </c>
      <c r="W4" s="9"/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/>
      <c r="AE4" s="19"/>
      <c r="AF4" s="19">
        <f t="shared" si="1"/>
        <v>0</v>
      </c>
      <c r="AG4" s="19">
        <f t="shared" si="1"/>
        <v>0</v>
      </c>
      <c r="AH4" s="9"/>
    </row>
    <row r="5" spans="1:34" x14ac:dyDescent="0.25">
      <c r="A5" s="7" t="s">
        <v>14</v>
      </c>
      <c r="B5" s="12"/>
      <c r="C5" s="12"/>
      <c r="D5" s="12"/>
      <c r="E5" s="12"/>
      <c r="F5" s="12">
        <v>1411033</v>
      </c>
      <c r="G5" s="12"/>
      <c r="H5" s="12"/>
      <c r="I5" s="12"/>
      <c r="J5" s="13"/>
      <c r="K5" s="14">
        <f t="shared" si="2"/>
        <v>1411033</v>
      </c>
      <c r="L5" s="9"/>
      <c r="M5" s="18"/>
      <c r="N5" s="18"/>
      <c r="O5" s="18"/>
      <c r="P5" s="18"/>
      <c r="Q5" s="18"/>
      <c r="R5" s="18"/>
      <c r="S5" s="18"/>
      <c r="T5" s="18"/>
      <c r="U5" s="18"/>
      <c r="V5" s="5">
        <f>SUM(M5+N5+O5+P5+Q5+R5+U5)</f>
        <v>0</v>
      </c>
      <c r="W5" s="9"/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1411033</v>
      </c>
      <c r="AC5" s="19">
        <f t="shared" si="0"/>
        <v>0</v>
      </c>
      <c r="AD5" s="19"/>
      <c r="AE5" s="19"/>
      <c r="AF5" s="19">
        <f t="shared" si="1"/>
        <v>0</v>
      </c>
      <c r="AG5" s="19">
        <f t="shared" si="1"/>
        <v>1411033</v>
      </c>
      <c r="AH5" s="9"/>
    </row>
    <row r="6" spans="1:34" x14ac:dyDescent="0.25">
      <c r="A6" s="7"/>
      <c r="B6" s="12"/>
      <c r="C6" s="12"/>
      <c r="D6" s="12"/>
      <c r="E6" s="12"/>
      <c r="F6" s="12"/>
      <c r="G6" s="12"/>
      <c r="H6" s="12"/>
      <c r="I6" s="12"/>
      <c r="J6" s="13"/>
      <c r="K6" s="14">
        <f t="shared" si="2"/>
        <v>0</v>
      </c>
      <c r="L6" s="9"/>
      <c r="M6" s="18"/>
      <c r="N6" s="18"/>
      <c r="O6" s="18"/>
      <c r="P6" s="18"/>
      <c r="Q6" s="18"/>
      <c r="R6" s="18"/>
      <c r="S6" s="18"/>
      <c r="T6" s="18"/>
      <c r="U6" s="18"/>
      <c r="V6" s="5">
        <f>SUM(M6+N6+O6+P6+Q6+R6+U6)</f>
        <v>0</v>
      </c>
      <c r="W6" s="9"/>
      <c r="X6" s="19">
        <f t="shared" si="0"/>
        <v>0</v>
      </c>
      <c r="Y6" s="19">
        <f t="shared" si="0"/>
        <v>0</v>
      </c>
      <c r="Z6" s="19">
        <f t="shared" si="0"/>
        <v>0</v>
      </c>
      <c r="AA6" s="19">
        <f t="shared" si="0"/>
        <v>0</v>
      </c>
      <c r="AB6" s="19">
        <f t="shared" si="0"/>
        <v>0</v>
      </c>
      <c r="AC6" s="19">
        <f t="shared" si="0"/>
        <v>0</v>
      </c>
      <c r="AD6" s="19"/>
      <c r="AE6" s="19"/>
      <c r="AF6" s="19">
        <f t="shared" si="1"/>
        <v>0</v>
      </c>
      <c r="AG6" s="19">
        <f t="shared" si="1"/>
        <v>0</v>
      </c>
      <c r="AH6" s="9"/>
    </row>
    <row r="7" spans="1:34" x14ac:dyDescent="0.25">
      <c r="A7" s="7" t="s">
        <v>22</v>
      </c>
      <c r="B7" s="16">
        <f t="shared" ref="B7:V7" si="3">SUM(B3:B6)</f>
        <v>0</v>
      </c>
      <c r="C7" s="16">
        <f t="shared" si="3"/>
        <v>5753272</v>
      </c>
      <c r="D7" s="16">
        <f t="shared" si="3"/>
        <v>1419382</v>
      </c>
      <c r="E7" s="16">
        <f t="shared" si="3"/>
        <v>1493279</v>
      </c>
      <c r="F7" s="16">
        <f t="shared" si="3"/>
        <v>1411033</v>
      </c>
      <c r="G7" s="16">
        <f t="shared" si="3"/>
        <v>1559100</v>
      </c>
      <c r="H7" s="16"/>
      <c r="I7" s="16"/>
      <c r="J7" s="16">
        <f t="shared" si="3"/>
        <v>104212857</v>
      </c>
      <c r="K7" s="16">
        <f t="shared" si="3"/>
        <v>115848923</v>
      </c>
      <c r="L7" s="9"/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/>
      <c r="T7" s="16"/>
      <c r="U7" s="16">
        <f t="shared" si="3"/>
        <v>0</v>
      </c>
      <c r="V7" s="16">
        <f t="shared" si="3"/>
        <v>0</v>
      </c>
      <c r="W7" s="9"/>
      <c r="X7" s="46">
        <f t="shared" si="0"/>
        <v>0</v>
      </c>
      <c r="Y7" s="46">
        <f t="shared" si="0"/>
        <v>5753272</v>
      </c>
      <c r="Z7" s="46">
        <f t="shared" si="0"/>
        <v>1419382</v>
      </c>
      <c r="AA7" s="46">
        <f t="shared" si="0"/>
        <v>1493279</v>
      </c>
      <c r="AB7" s="46">
        <f t="shared" si="0"/>
        <v>1411033</v>
      </c>
      <c r="AC7" s="46">
        <f t="shared" si="0"/>
        <v>1559100</v>
      </c>
      <c r="AD7" s="46"/>
      <c r="AE7" s="46"/>
      <c r="AF7" s="46">
        <f t="shared" si="1"/>
        <v>104212857</v>
      </c>
      <c r="AG7" s="46">
        <f t="shared" si="1"/>
        <v>115848923</v>
      </c>
      <c r="AH7" s="9"/>
    </row>
    <row r="8" spans="1:34" x14ac:dyDescent="0.25">
      <c r="A8" s="9"/>
      <c r="B8" s="17">
        <f t="shared" ref="B8:G8" si="4">B7/10^7</f>
        <v>0</v>
      </c>
      <c r="C8" s="17">
        <f t="shared" si="4"/>
        <v>0.57532720000000004</v>
      </c>
      <c r="D8" s="17">
        <f t="shared" si="4"/>
        <v>0.14193819999999999</v>
      </c>
      <c r="E8" s="17">
        <f t="shared" si="4"/>
        <v>0.14932790000000001</v>
      </c>
      <c r="F8" s="17">
        <f t="shared" si="4"/>
        <v>0.14110329999999999</v>
      </c>
      <c r="G8" s="17">
        <f t="shared" si="4"/>
        <v>0.15590999999999999</v>
      </c>
      <c r="H8" s="17"/>
      <c r="I8" s="17"/>
      <c r="J8" s="17">
        <f t="shared" ref="J8" si="5">J7/10^7</f>
        <v>10.4212857</v>
      </c>
      <c r="K8" s="17">
        <f t="shared" ref="K8" si="6">K7/10^7</f>
        <v>11.5848923</v>
      </c>
      <c r="L8" s="9"/>
      <c r="M8" s="17">
        <f t="shared" ref="M8:V8" si="7">M7/10^7</f>
        <v>0</v>
      </c>
      <c r="N8" s="17">
        <f t="shared" si="7"/>
        <v>0</v>
      </c>
      <c r="O8" s="17">
        <f t="shared" si="7"/>
        <v>0</v>
      </c>
      <c r="P8" s="17">
        <f t="shared" si="7"/>
        <v>0</v>
      </c>
      <c r="Q8" s="17">
        <f t="shared" si="7"/>
        <v>0</v>
      </c>
      <c r="R8" s="17">
        <f t="shared" si="7"/>
        <v>0</v>
      </c>
      <c r="S8" s="17"/>
      <c r="T8" s="17"/>
      <c r="U8" s="17">
        <f t="shared" si="7"/>
        <v>0</v>
      </c>
      <c r="V8" s="17">
        <f t="shared" si="7"/>
        <v>0</v>
      </c>
      <c r="W8" s="18"/>
      <c r="X8" s="19">
        <f>SUM(B8-M8)</f>
        <v>0</v>
      </c>
      <c r="Y8" s="43">
        <f t="shared" ref="Y8:AC8" si="8">Y7/10^7</f>
        <v>0.57532720000000004</v>
      </c>
      <c r="Z8" s="43">
        <f t="shared" si="8"/>
        <v>0.14193819999999999</v>
      </c>
      <c r="AA8" s="43">
        <f t="shared" si="8"/>
        <v>0.14932790000000001</v>
      </c>
      <c r="AB8" s="43">
        <f t="shared" si="8"/>
        <v>0.14110329999999999</v>
      </c>
      <c r="AC8" s="43">
        <f t="shared" si="8"/>
        <v>0.15590999999999999</v>
      </c>
      <c r="AD8" s="43"/>
      <c r="AE8" s="43"/>
      <c r="AF8" s="43">
        <f t="shared" ref="AF8" si="9">AF7/10^7</f>
        <v>10.4212857</v>
      </c>
      <c r="AG8" s="77">
        <f>SUM(K8-V8)</f>
        <v>11.5848923</v>
      </c>
      <c r="AH8" s="9"/>
    </row>
    <row r="9" spans="1:34" x14ac:dyDescent="0.25">
      <c r="A9" s="9"/>
      <c r="B9" s="13"/>
      <c r="C9" s="13"/>
      <c r="D9" s="13"/>
      <c r="E9" s="13"/>
      <c r="F9" s="13"/>
      <c r="G9" s="13"/>
      <c r="H9" s="13"/>
      <c r="I9" s="13"/>
      <c r="J9" s="13"/>
      <c r="K9" s="14"/>
      <c r="L9" s="9"/>
      <c r="M9" s="17"/>
      <c r="N9" s="17"/>
      <c r="O9" s="17"/>
      <c r="P9" s="17"/>
      <c r="Q9" s="17"/>
      <c r="R9" s="17"/>
      <c r="S9" s="17"/>
      <c r="T9" s="17"/>
      <c r="U9" s="17"/>
      <c r="V9" s="17"/>
      <c r="W9" s="40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9"/>
    </row>
    <row r="10" spans="1:34" x14ac:dyDescent="0.25">
      <c r="A10" s="9"/>
      <c r="B10" s="13"/>
      <c r="C10" s="13"/>
      <c r="D10" s="13"/>
      <c r="E10" s="13"/>
      <c r="F10" s="13"/>
      <c r="G10" s="13"/>
      <c r="H10" s="13"/>
      <c r="I10" s="13"/>
      <c r="J10" s="13"/>
      <c r="K10" s="9"/>
      <c r="L10" s="9"/>
      <c r="M10" s="40"/>
      <c r="N10" s="40"/>
      <c r="O10" s="40"/>
      <c r="P10" s="40"/>
      <c r="Q10" s="40"/>
      <c r="R10" s="40"/>
      <c r="S10" s="40"/>
      <c r="T10" s="40"/>
      <c r="U10" s="40"/>
      <c r="V10" s="41"/>
      <c r="W10" s="40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9"/>
    </row>
    <row r="11" spans="1:34" x14ac:dyDescent="0.25">
      <c r="A11" s="9"/>
      <c r="B11" s="13"/>
      <c r="C11" s="13"/>
      <c r="D11" s="13"/>
      <c r="E11" s="13"/>
      <c r="F11" s="13"/>
      <c r="G11" s="13"/>
      <c r="H11" s="13"/>
      <c r="I11" s="13"/>
      <c r="J11" s="13"/>
      <c r="K11" s="9"/>
      <c r="L11" s="9"/>
      <c r="M11" s="40"/>
      <c r="N11" s="40"/>
      <c r="O11" s="40"/>
      <c r="P11" s="40"/>
      <c r="Q11" s="40"/>
      <c r="R11" s="40"/>
      <c r="S11" s="40"/>
      <c r="T11" s="40"/>
      <c r="U11" s="40"/>
      <c r="V11" s="41"/>
      <c r="W11" s="40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9"/>
    </row>
    <row r="12" spans="1:34" x14ac:dyDescent="0.25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9"/>
      <c r="L12" s="9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40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9"/>
    </row>
    <row r="13" spans="1:34" x14ac:dyDescent="0.25">
      <c r="A13" s="9"/>
      <c r="B13" s="13"/>
      <c r="C13" s="13"/>
      <c r="D13" s="13"/>
      <c r="E13" s="13"/>
      <c r="F13" s="13"/>
      <c r="G13" s="13"/>
      <c r="H13" s="13"/>
      <c r="I13" s="13"/>
      <c r="J13" s="13"/>
      <c r="K13" s="9"/>
      <c r="L13" s="9"/>
      <c r="M13" s="40"/>
      <c r="N13" s="40"/>
      <c r="O13" s="40"/>
      <c r="P13" s="40"/>
      <c r="Q13" s="40"/>
      <c r="R13" s="40"/>
      <c r="S13" s="40"/>
      <c r="T13" s="40"/>
      <c r="U13" s="40"/>
      <c r="V13" s="41"/>
      <c r="W13" s="40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9"/>
    </row>
    <row r="14" spans="1:3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40"/>
      <c r="N14" s="40"/>
      <c r="O14" s="40"/>
      <c r="P14" s="40"/>
      <c r="Q14" s="40"/>
      <c r="R14" s="40"/>
      <c r="S14" s="40"/>
      <c r="T14" s="40"/>
      <c r="U14" s="40"/>
      <c r="V14" s="41"/>
      <c r="W14" s="40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9"/>
    </row>
    <row r="15" spans="1:3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0"/>
      <c r="O15" s="40"/>
      <c r="P15" s="40"/>
      <c r="Q15" s="40"/>
      <c r="R15" s="40"/>
      <c r="S15" s="40"/>
      <c r="T15" s="40"/>
      <c r="U15" s="40"/>
      <c r="V15" s="41"/>
      <c r="W15" s="40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9"/>
    </row>
    <row r="16" spans="1:3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0"/>
      <c r="N16" s="40"/>
      <c r="O16" s="40"/>
      <c r="P16" s="40"/>
      <c r="Q16" s="40"/>
      <c r="R16" s="40"/>
      <c r="S16" s="40"/>
      <c r="T16" s="40"/>
      <c r="U16" s="40"/>
      <c r="V16" s="41"/>
      <c r="W16" s="40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9"/>
    </row>
    <row r="17" spans="1:3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0"/>
      <c r="N17" s="40"/>
      <c r="O17" s="40"/>
      <c r="P17" s="40"/>
      <c r="Q17" s="40"/>
      <c r="R17" s="40"/>
      <c r="S17" s="40"/>
      <c r="T17" s="40"/>
      <c r="U17" s="40"/>
      <c r="V17" s="41"/>
      <c r="W17" s="40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9"/>
    </row>
    <row r="18" spans="1:34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40"/>
      <c r="N18" s="40"/>
      <c r="O18" s="40"/>
      <c r="P18" s="40"/>
      <c r="Q18" s="40"/>
      <c r="R18" s="40"/>
      <c r="S18" s="40"/>
      <c r="T18" s="40"/>
      <c r="U18" s="40"/>
      <c r="V18" s="41"/>
      <c r="W18" s="40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9"/>
    </row>
    <row r="19" spans="1:34" x14ac:dyDescent="0.25">
      <c r="Y19" s="17">
        <f t="shared" ref="Y19:AB19" si="10">Y18/10^7</f>
        <v>0</v>
      </c>
      <c r="Z19" s="17">
        <f t="shared" si="10"/>
        <v>0</v>
      </c>
      <c r="AA19" s="17">
        <f t="shared" si="10"/>
        <v>0</v>
      </c>
      <c r="AB19" s="17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W27" workbookViewId="0">
      <selection activeCell="AD46" sqref="AD46"/>
    </sheetView>
  </sheetViews>
  <sheetFormatPr defaultRowHeight="15" x14ac:dyDescent="0.25"/>
  <cols>
    <col min="1" max="1" width="42.28515625" bestFit="1" customWidth="1"/>
    <col min="2" max="2" width="8.7109375" bestFit="1" customWidth="1"/>
    <col min="3" max="5" width="11.28515625" bestFit="1" customWidth="1"/>
    <col min="6" max="8" width="12.28515625" bestFit="1" customWidth="1"/>
    <col min="9" max="9" width="12.28515625" style="68" customWidth="1"/>
    <col min="10" max="10" width="17.28515625" style="68" bestFit="1" customWidth="1"/>
    <col min="11" max="11" width="14" bestFit="1" customWidth="1"/>
    <col min="13" max="13" width="9.85546875" bestFit="1" customWidth="1"/>
    <col min="14" max="16" width="13.7109375" bestFit="1" customWidth="1"/>
    <col min="17" max="19" width="14.7109375" bestFit="1" customWidth="1"/>
    <col min="20" max="21" width="14.7109375" style="68" customWidth="1"/>
    <col min="22" max="22" width="16.5703125" bestFit="1" customWidth="1"/>
    <col min="24" max="24" width="9.7109375" bestFit="1" customWidth="1"/>
    <col min="25" max="25" width="11" bestFit="1" customWidth="1"/>
    <col min="26" max="26" width="11.7109375" bestFit="1" customWidth="1"/>
    <col min="27" max="27" width="11" bestFit="1" customWidth="1"/>
    <col min="28" max="30" width="12" bestFit="1" customWidth="1"/>
    <col min="31" max="32" width="12" style="68" customWidth="1"/>
    <col min="33" max="33" width="14.28515625" bestFit="1" customWidth="1"/>
  </cols>
  <sheetData>
    <row r="1" spans="1:34" x14ac:dyDescent="0.25">
      <c r="A1" s="8" t="s">
        <v>73</v>
      </c>
      <c r="B1" s="8"/>
      <c r="C1" s="9"/>
      <c r="D1" s="9"/>
      <c r="E1" s="9"/>
      <c r="F1" s="9"/>
      <c r="G1" s="9"/>
      <c r="H1" s="9"/>
      <c r="I1" s="9"/>
      <c r="J1" s="9"/>
      <c r="K1" s="9"/>
      <c r="M1" t="s">
        <v>24</v>
      </c>
      <c r="X1" t="s">
        <v>25</v>
      </c>
      <c r="AH1" t="s">
        <v>58</v>
      </c>
    </row>
    <row r="2" spans="1:34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67</v>
      </c>
      <c r="J2" s="10" t="s">
        <v>80</v>
      </c>
      <c r="K2" s="10" t="s">
        <v>26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23</v>
      </c>
      <c r="T2" s="10" t="s">
        <v>67</v>
      </c>
      <c r="U2" s="10" t="s">
        <v>78</v>
      </c>
      <c r="V2" s="10" t="s">
        <v>26</v>
      </c>
      <c r="X2" s="78" t="s">
        <v>16</v>
      </c>
      <c r="Y2" s="78" t="s">
        <v>17</v>
      </c>
      <c r="Z2" s="78" t="s">
        <v>18</v>
      </c>
      <c r="AA2" s="78" t="s">
        <v>19</v>
      </c>
      <c r="AB2" s="78" t="s">
        <v>20</v>
      </c>
      <c r="AC2" s="78" t="s">
        <v>21</v>
      </c>
      <c r="AD2" s="78" t="s">
        <v>23</v>
      </c>
      <c r="AE2" s="78" t="s">
        <v>67</v>
      </c>
      <c r="AF2" s="78" t="s">
        <v>78</v>
      </c>
      <c r="AG2" s="78" t="s">
        <v>26</v>
      </c>
    </row>
    <row r="3" spans="1:34" x14ac:dyDescent="0.25">
      <c r="A3" s="7" t="s">
        <v>27</v>
      </c>
      <c r="B3" s="11">
        <v>482389</v>
      </c>
      <c r="C3" s="11">
        <v>1213643</v>
      </c>
      <c r="D3" s="11"/>
      <c r="E3" s="11"/>
      <c r="F3" s="11"/>
      <c r="G3" s="12"/>
      <c r="H3" s="13"/>
      <c r="I3" s="13"/>
      <c r="J3" s="13"/>
      <c r="K3" s="14">
        <f>SUM(B3+C3+D3+E3+F3+G3+H3+I3+J3)</f>
        <v>1696032</v>
      </c>
      <c r="M3" s="59"/>
      <c r="N3" s="59"/>
      <c r="O3" s="59"/>
      <c r="P3" s="59"/>
      <c r="Q3" s="59"/>
      <c r="R3" s="59"/>
      <c r="S3" s="59"/>
      <c r="T3" s="59"/>
      <c r="U3" s="59"/>
      <c r="V3" s="59">
        <f>SUM(M3+N3+O3+P3+Q3+R3+S3+T3+U3)</f>
        <v>0</v>
      </c>
      <c r="X3" s="6">
        <f t="shared" ref="X3:X25" si="0">SUM(B3-M3)</f>
        <v>482389</v>
      </c>
      <c r="Y3" s="6">
        <f t="shared" ref="Y3:Y25" si="1">SUM(C3-N3)</f>
        <v>1213643</v>
      </c>
      <c r="Z3" s="6">
        <f t="shared" ref="Z3:Z25" si="2">SUM(D3-O3)</f>
        <v>0</v>
      </c>
      <c r="AA3" s="6">
        <f t="shared" ref="AA3:AA25" si="3">SUM(E3-P3)</f>
        <v>0</v>
      </c>
      <c r="AB3" s="6">
        <f t="shared" ref="AB3:AB25" si="4">SUM(F3-Q3)</f>
        <v>0</v>
      </c>
      <c r="AC3" s="6">
        <f t="shared" ref="AC3:AC25" si="5">SUM(G3-R3)</f>
        <v>0</v>
      </c>
      <c r="AD3" s="6">
        <f t="shared" ref="AD3:AD25" si="6">SUM(H3-S3)</f>
        <v>0</v>
      </c>
      <c r="AE3" s="6">
        <f t="shared" ref="AE3:AF25" si="7">SUM(I3-T3)</f>
        <v>0</v>
      </c>
      <c r="AF3" s="6">
        <f t="shared" si="7"/>
        <v>0</v>
      </c>
      <c r="AG3" s="61">
        <f t="shared" ref="AG3:AG25" si="8">SUM(K3-V3)</f>
        <v>1696032</v>
      </c>
      <c r="AH3" t="s">
        <v>59</v>
      </c>
    </row>
    <row r="4" spans="1:34" x14ac:dyDescent="0.25">
      <c r="A4" s="7" t="s">
        <v>28</v>
      </c>
      <c r="B4" s="11"/>
      <c r="C4" s="11"/>
      <c r="D4" s="11"/>
      <c r="E4" s="11"/>
      <c r="F4" s="11"/>
      <c r="G4" s="12"/>
      <c r="H4" s="13">
        <v>425550</v>
      </c>
      <c r="I4" s="13">
        <v>762238</v>
      </c>
      <c r="J4" s="13">
        <v>794805</v>
      </c>
      <c r="K4" s="14">
        <f>SUM(B4+C4+D4+E4+F4+G4+H4+I4+J4)</f>
        <v>1982593</v>
      </c>
      <c r="M4" s="59"/>
      <c r="N4" s="59"/>
      <c r="O4" s="59"/>
      <c r="P4" s="59"/>
      <c r="Q4" s="59"/>
      <c r="R4" s="59"/>
      <c r="S4" s="59">
        <v>210450</v>
      </c>
      <c r="T4" s="59">
        <f>421858</f>
        <v>421858</v>
      </c>
      <c r="U4" s="59"/>
      <c r="V4" s="59">
        <f t="shared" ref="V4:V40" si="9">SUM(M4+N4+O4+P4+Q4+R4+S4+T4+U4)</f>
        <v>632308</v>
      </c>
      <c r="X4" s="6">
        <f t="shared" si="0"/>
        <v>0</v>
      </c>
      <c r="Y4" s="6">
        <f t="shared" si="1"/>
        <v>0</v>
      </c>
      <c r="Z4" s="6">
        <f t="shared" si="2"/>
        <v>0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6">
        <f t="shared" si="6"/>
        <v>215100</v>
      </c>
      <c r="AE4" s="6">
        <f t="shared" si="7"/>
        <v>340380</v>
      </c>
      <c r="AF4" s="6">
        <f t="shared" si="7"/>
        <v>794805</v>
      </c>
      <c r="AG4" s="61">
        <f t="shared" si="8"/>
        <v>1350285</v>
      </c>
    </row>
    <row r="5" spans="1:34" x14ac:dyDescent="0.25">
      <c r="A5" s="7" t="s">
        <v>29</v>
      </c>
      <c r="B5" s="11"/>
      <c r="C5" s="11"/>
      <c r="D5" s="11"/>
      <c r="E5" s="11"/>
      <c r="F5" s="11"/>
      <c r="G5" s="12"/>
      <c r="H5" s="13"/>
      <c r="I5" s="13"/>
      <c r="J5" s="13"/>
      <c r="K5" s="14">
        <f t="shared" ref="K5:K40" si="10">SUM(B5+C5+D5+E5+F5+G5+H5+I5+J5)</f>
        <v>0</v>
      </c>
      <c r="M5" s="59"/>
      <c r="N5" s="59"/>
      <c r="O5" s="59"/>
      <c r="P5" s="59"/>
      <c r="Q5" s="59"/>
      <c r="R5" s="59"/>
      <c r="S5" s="59"/>
      <c r="T5" s="59"/>
      <c r="U5" s="59"/>
      <c r="V5" s="59">
        <f t="shared" si="9"/>
        <v>0</v>
      </c>
      <c r="X5" s="6">
        <f t="shared" si="0"/>
        <v>0</v>
      </c>
      <c r="Y5" s="6">
        <f t="shared" si="1"/>
        <v>0</v>
      </c>
      <c r="Z5" s="6">
        <f t="shared" si="2"/>
        <v>0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6">
        <f t="shared" si="6"/>
        <v>0</v>
      </c>
      <c r="AE5" s="6">
        <f t="shared" si="7"/>
        <v>0</v>
      </c>
      <c r="AF5" s="6">
        <f t="shared" si="7"/>
        <v>0</v>
      </c>
      <c r="AG5" s="61">
        <f t="shared" si="8"/>
        <v>0</v>
      </c>
    </row>
    <row r="6" spans="1:34" x14ac:dyDescent="0.25">
      <c r="A6" s="7" t="s">
        <v>30</v>
      </c>
      <c r="B6" s="11"/>
      <c r="C6" s="11">
        <v>294083</v>
      </c>
      <c r="D6" s="12"/>
      <c r="E6" s="12"/>
      <c r="F6" s="12"/>
      <c r="G6" s="12"/>
      <c r="H6" s="13"/>
      <c r="I6" s="13"/>
      <c r="J6" s="13"/>
      <c r="K6" s="14">
        <f t="shared" si="10"/>
        <v>294083</v>
      </c>
      <c r="M6" s="59"/>
      <c r="N6" s="59"/>
      <c r="O6" s="59"/>
      <c r="P6" s="59"/>
      <c r="Q6" s="59"/>
      <c r="R6" s="59"/>
      <c r="S6" s="59"/>
      <c r="T6" s="59"/>
      <c r="U6" s="59"/>
      <c r="V6" s="59">
        <f t="shared" si="9"/>
        <v>0</v>
      </c>
      <c r="X6" s="6">
        <f t="shared" si="0"/>
        <v>0</v>
      </c>
      <c r="Y6" s="6">
        <f t="shared" si="1"/>
        <v>294083</v>
      </c>
      <c r="Z6" s="6">
        <f t="shared" si="2"/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0</v>
      </c>
      <c r="AE6" s="6">
        <f t="shared" si="7"/>
        <v>0</v>
      </c>
      <c r="AF6" s="6">
        <f t="shared" si="7"/>
        <v>0</v>
      </c>
      <c r="AG6" s="61">
        <f t="shared" si="8"/>
        <v>294083</v>
      </c>
      <c r="AH6" t="s">
        <v>60</v>
      </c>
    </row>
    <row r="7" spans="1:34" x14ac:dyDescent="0.25">
      <c r="A7" s="7" t="s">
        <v>31</v>
      </c>
      <c r="B7" s="11"/>
      <c r="C7" s="11">
        <v>1046752</v>
      </c>
      <c r="D7" s="12">
        <v>472600</v>
      </c>
      <c r="E7" s="12">
        <v>1956258</v>
      </c>
      <c r="F7" s="12">
        <v>1886418</v>
      </c>
      <c r="G7" s="12">
        <v>4360363</v>
      </c>
      <c r="H7" s="13">
        <v>649190</v>
      </c>
      <c r="I7" s="13"/>
      <c r="J7" s="13"/>
      <c r="K7" s="14">
        <f t="shared" si="10"/>
        <v>10371581</v>
      </c>
      <c r="M7" s="59"/>
      <c r="N7" s="59"/>
      <c r="O7" s="59"/>
      <c r="P7" s="59"/>
      <c r="Q7" s="59"/>
      <c r="R7" s="59"/>
      <c r="S7" s="59"/>
      <c r="T7" s="59"/>
      <c r="U7" s="59"/>
      <c r="V7" s="59">
        <f t="shared" si="9"/>
        <v>0</v>
      </c>
      <c r="X7" s="6">
        <f t="shared" si="0"/>
        <v>0</v>
      </c>
      <c r="Y7" s="6">
        <f t="shared" si="1"/>
        <v>1046752</v>
      </c>
      <c r="Z7" s="6">
        <f t="shared" si="2"/>
        <v>472600</v>
      </c>
      <c r="AA7" s="6">
        <f t="shared" si="3"/>
        <v>1956258</v>
      </c>
      <c r="AB7" s="6">
        <f t="shared" si="4"/>
        <v>1886418</v>
      </c>
      <c r="AC7" s="6">
        <f t="shared" si="5"/>
        <v>4360363</v>
      </c>
      <c r="AD7" s="6">
        <f t="shared" si="6"/>
        <v>649190</v>
      </c>
      <c r="AE7" s="6">
        <f t="shared" si="7"/>
        <v>0</v>
      </c>
      <c r="AF7" s="6">
        <f t="shared" si="7"/>
        <v>0</v>
      </c>
      <c r="AG7" s="61">
        <f t="shared" si="8"/>
        <v>10371581</v>
      </c>
      <c r="AH7" t="s">
        <v>61</v>
      </c>
    </row>
    <row r="8" spans="1:34" x14ac:dyDescent="0.25">
      <c r="A8" s="7" t="s">
        <v>32</v>
      </c>
      <c r="B8" s="12"/>
      <c r="C8" s="12">
        <v>27576</v>
      </c>
      <c r="D8" s="12">
        <v>667476</v>
      </c>
      <c r="E8" s="12">
        <v>5257084</v>
      </c>
      <c r="F8" s="45">
        <v>149777755</v>
      </c>
      <c r="G8" s="45">
        <v>377722920</v>
      </c>
      <c r="H8" s="13">
        <v>321567717</v>
      </c>
      <c r="I8" s="13">
        <v>361070655</v>
      </c>
      <c r="J8" s="13">
        <v>434307974</v>
      </c>
      <c r="K8" s="14">
        <f t="shared" si="10"/>
        <v>1650399157</v>
      </c>
      <c r="M8" s="59"/>
      <c r="N8" s="59"/>
      <c r="O8" s="59"/>
      <c r="P8" s="59"/>
      <c r="Q8" s="59">
        <v>144655137</v>
      </c>
      <c r="R8" s="59">
        <v>373590161</v>
      </c>
      <c r="S8" s="59">
        <v>286136888</v>
      </c>
      <c r="T8" s="59">
        <v>170053228</v>
      </c>
      <c r="U8" s="59">
        <v>63829208</v>
      </c>
      <c r="V8" s="59">
        <f t="shared" si="9"/>
        <v>1038264622</v>
      </c>
      <c r="X8" s="6">
        <f t="shared" si="0"/>
        <v>0</v>
      </c>
      <c r="Y8" s="6">
        <f t="shared" si="1"/>
        <v>27576</v>
      </c>
      <c r="Z8" s="6">
        <f t="shared" si="2"/>
        <v>667476</v>
      </c>
      <c r="AA8" s="6">
        <f t="shared" si="3"/>
        <v>5257084</v>
      </c>
      <c r="AB8" s="6">
        <f t="shared" si="4"/>
        <v>5122618</v>
      </c>
      <c r="AC8" s="6">
        <f t="shared" si="5"/>
        <v>4132759</v>
      </c>
      <c r="AD8" s="6">
        <f t="shared" si="6"/>
        <v>35430829</v>
      </c>
      <c r="AE8" s="6">
        <f t="shared" si="7"/>
        <v>191017427</v>
      </c>
      <c r="AF8" s="6">
        <f t="shared" si="7"/>
        <v>370478766</v>
      </c>
      <c r="AG8" s="61">
        <f t="shared" si="8"/>
        <v>612134535</v>
      </c>
      <c r="AH8" t="s">
        <v>62</v>
      </c>
    </row>
    <row r="9" spans="1:34" x14ac:dyDescent="0.25">
      <c r="A9" s="7" t="s">
        <v>33</v>
      </c>
      <c r="B9" s="11"/>
      <c r="C9" s="11">
        <v>1227401</v>
      </c>
      <c r="D9" s="12"/>
      <c r="E9" s="12"/>
      <c r="F9" s="12"/>
      <c r="G9" s="12"/>
      <c r="H9" s="13"/>
      <c r="I9" s="13"/>
      <c r="J9" s="13"/>
      <c r="K9" s="14">
        <f t="shared" si="10"/>
        <v>1227401</v>
      </c>
      <c r="M9" s="59"/>
      <c r="N9" s="59"/>
      <c r="O9" s="59"/>
      <c r="P9" s="59"/>
      <c r="Q9" s="59"/>
      <c r="R9" s="59"/>
      <c r="S9" s="59"/>
      <c r="T9" s="59"/>
      <c r="U9" s="59"/>
      <c r="V9" s="59">
        <f t="shared" si="9"/>
        <v>0</v>
      </c>
      <c r="X9" s="6">
        <f t="shared" si="0"/>
        <v>0</v>
      </c>
      <c r="Y9" s="6">
        <f t="shared" si="1"/>
        <v>1227401</v>
      </c>
      <c r="Z9" s="6">
        <f t="shared" si="2"/>
        <v>0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6">
        <f t="shared" si="6"/>
        <v>0</v>
      </c>
      <c r="AE9" s="6">
        <f t="shared" si="7"/>
        <v>0</v>
      </c>
      <c r="AF9" s="6">
        <f t="shared" si="7"/>
        <v>0</v>
      </c>
      <c r="AG9" s="61">
        <f t="shared" si="8"/>
        <v>1227401</v>
      </c>
      <c r="AH9" t="s">
        <v>60</v>
      </c>
    </row>
    <row r="10" spans="1:34" x14ac:dyDescent="0.25">
      <c r="A10" s="7" t="s">
        <v>34</v>
      </c>
      <c r="B10" s="11"/>
      <c r="C10" s="11">
        <v>1023244</v>
      </c>
      <c r="D10" s="11">
        <v>241210</v>
      </c>
      <c r="E10" s="11"/>
      <c r="F10" s="12"/>
      <c r="G10" s="12"/>
      <c r="H10" s="13"/>
      <c r="I10" s="13"/>
      <c r="J10" s="13"/>
      <c r="K10" s="14">
        <f t="shared" si="10"/>
        <v>1264454</v>
      </c>
      <c r="M10" s="59"/>
      <c r="N10" s="59"/>
      <c r="O10" s="59"/>
      <c r="P10" s="59"/>
      <c r="Q10" s="59"/>
      <c r="R10" s="59"/>
      <c r="S10" s="59"/>
      <c r="T10" s="59"/>
      <c r="U10" s="59"/>
      <c r="V10" s="59">
        <f t="shared" si="9"/>
        <v>0</v>
      </c>
      <c r="X10" s="6">
        <f t="shared" si="0"/>
        <v>0</v>
      </c>
      <c r="Y10" s="6">
        <f t="shared" si="1"/>
        <v>1023244</v>
      </c>
      <c r="Z10" s="6">
        <f t="shared" si="2"/>
        <v>241210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6">
        <f t="shared" si="6"/>
        <v>0</v>
      </c>
      <c r="AE10" s="6">
        <f t="shared" si="7"/>
        <v>0</v>
      </c>
      <c r="AF10" s="6">
        <f t="shared" si="7"/>
        <v>0</v>
      </c>
      <c r="AG10" s="61">
        <f t="shared" si="8"/>
        <v>1264454</v>
      </c>
      <c r="AH10" t="s">
        <v>60</v>
      </c>
    </row>
    <row r="11" spans="1:34" x14ac:dyDescent="0.25">
      <c r="A11" s="7" t="s">
        <v>35</v>
      </c>
      <c r="B11" s="11"/>
      <c r="C11" s="11">
        <v>59276</v>
      </c>
      <c r="D11" s="15"/>
      <c r="E11" s="11"/>
      <c r="F11" s="12"/>
      <c r="G11" s="12"/>
      <c r="H11" s="13"/>
      <c r="I11" s="13"/>
      <c r="J11" s="13"/>
      <c r="K11" s="14">
        <f t="shared" si="10"/>
        <v>59276</v>
      </c>
      <c r="M11" s="59"/>
      <c r="N11" s="59"/>
      <c r="O11" s="59"/>
      <c r="P11" s="59"/>
      <c r="Q11" s="59"/>
      <c r="R11" s="59"/>
      <c r="S11" s="59"/>
      <c r="T11" s="59"/>
      <c r="U11" s="59"/>
      <c r="V11" s="59">
        <f t="shared" si="9"/>
        <v>0</v>
      </c>
      <c r="X11" s="6">
        <f t="shared" si="0"/>
        <v>0</v>
      </c>
      <c r="Y11" s="6">
        <f t="shared" si="1"/>
        <v>59276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6">
        <f t="shared" si="5"/>
        <v>0</v>
      </c>
      <c r="AD11" s="6">
        <f t="shared" si="6"/>
        <v>0</v>
      </c>
      <c r="AE11" s="6">
        <f t="shared" si="7"/>
        <v>0</v>
      </c>
      <c r="AF11" s="6">
        <f t="shared" si="7"/>
        <v>0</v>
      </c>
      <c r="AG11" s="61">
        <f t="shared" si="8"/>
        <v>59276</v>
      </c>
      <c r="AH11" t="s">
        <v>60</v>
      </c>
    </row>
    <row r="12" spans="1:34" x14ac:dyDescent="0.25">
      <c r="A12" s="7" t="s">
        <v>36</v>
      </c>
      <c r="B12" s="11"/>
      <c r="C12" s="11"/>
      <c r="D12" s="11"/>
      <c r="E12" s="11"/>
      <c r="F12" s="11"/>
      <c r="G12" s="12"/>
      <c r="H12" s="13"/>
      <c r="I12" s="13"/>
      <c r="J12" s="13"/>
      <c r="K12" s="14">
        <f t="shared" si="10"/>
        <v>0</v>
      </c>
      <c r="M12" s="59"/>
      <c r="N12" s="59"/>
      <c r="O12" s="59"/>
      <c r="P12" s="59"/>
      <c r="Q12" s="59"/>
      <c r="R12" s="59"/>
      <c r="S12" s="59"/>
      <c r="T12" s="59"/>
      <c r="U12" s="59"/>
      <c r="V12" s="59">
        <f t="shared" si="9"/>
        <v>0</v>
      </c>
      <c r="X12" s="6">
        <f t="shared" si="0"/>
        <v>0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6">
        <f t="shared" si="6"/>
        <v>0</v>
      </c>
      <c r="AE12" s="6">
        <f t="shared" si="7"/>
        <v>0</v>
      </c>
      <c r="AF12" s="6">
        <f t="shared" si="7"/>
        <v>0</v>
      </c>
      <c r="AG12" s="61">
        <f t="shared" si="8"/>
        <v>0</v>
      </c>
    </row>
    <row r="13" spans="1:34" x14ac:dyDescent="0.25">
      <c r="A13" s="7" t="s">
        <v>37</v>
      </c>
      <c r="B13" s="11"/>
      <c r="C13" s="11">
        <v>157389</v>
      </c>
      <c r="D13" s="12">
        <v>2522</v>
      </c>
      <c r="E13" s="12"/>
      <c r="F13" s="12"/>
      <c r="G13" s="12"/>
      <c r="H13" s="13"/>
      <c r="I13" s="13"/>
      <c r="J13" s="13"/>
      <c r="K13" s="14">
        <f t="shared" si="10"/>
        <v>159911</v>
      </c>
      <c r="M13" s="59"/>
      <c r="N13" s="59"/>
      <c r="O13" s="59"/>
      <c r="P13" s="59"/>
      <c r="Q13" s="59"/>
      <c r="R13" s="59"/>
      <c r="S13" s="59"/>
      <c r="T13" s="59"/>
      <c r="U13" s="59"/>
      <c r="V13" s="59">
        <f t="shared" si="9"/>
        <v>0</v>
      </c>
      <c r="X13" s="6">
        <f t="shared" si="0"/>
        <v>0</v>
      </c>
      <c r="Y13" s="6">
        <f t="shared" si="1"/>
        <v>157389</v>
      </c>
      <c r="Z13" s="6">
        <f t="shared" si="2"/>
        <v>2522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0</v>
      </c>
      <c r="AE13" s="6">
        <f t="shared" si="7"/>
        <v>0</v>
      </c>
      <c r="AF13" s="6">
        <f t="shared" si="7"/>
        <v>0</v>
      </c>
      <c r="AG13" s="61">
        <f t="shared" si="8"/>
        <v>159911</v>
      </c>
      <c r="AH13" t="s">
        <v>60</v>
      </c>
    </row>
    <row r="14" spans="1:34" x14ac:dyDescent="0.25">
      <c r="A14" s="7" t="s">
        <v>38</v>
      </c>
      <c r="B14" s="11"/>
      <c r="C14" s="11">
        <v>107476</v>
      </c>
      <c r="D14" s="11"/>
      <c r="E14" s="11"/>
      <c r="F14" s="11"/>
      <c r="G14" s="12"/>
      <c r="H14" s="13"/>
      <c r="I14" s="13"/>
      <c r="J14" s="13"/>
      <c r="K14" s="14">
        <f t="shared" si="10"/>
        <v>107476</v>
      </c>
      <c r="M14" s="59"/>
      <c r="N14" s="59"/>
      <c r="O14" s="59"/>
      <c r="P14" s="59"/>
      <c r="Q14" s="59"/>
      <c r="R14" s="59"/>
      <c r="S14" s="59"/>
      <c r="T14" s="59"/>
      <c r="U14" s="59"/>
      <c r="V14" s="59">
        <f t="shared" si="9"/>
        <v>0</v>
      </c>
      <c r="X14" s="6">
        <f t="shared" si="0"/>
        <v>0</v>
      </c>
      <c r="Y14" s="6">
        <f t="shared" si="1"/>
        <v>107476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6">
        <f t="shared" si="6"/>
        <v>0</v>
      </c>
      <c r="AE14" s="6">
        <f t="shared" si="7"/>
        <v>0</v>
      </c>
      <c r="AF14" s="6">
        <f t="shared" si="7"/>
        <v>0</v>
      </c>
      <c r="AG14" s="61">
        <f t="shared" si="8"/>
        <v>107476</v>
      </c>
      <c r="AH14" t="s">
        <v>60</v>
      </c>
    </row>
    <row r="15" spans="1:34" x14ac:dyDescent="0.25">
      <c r="A15" s="7" t="s">
        <v>39</v>
      </c>
      <c r="B15" s="12"/>
      <c r="C15" s="12">
        <v>124955</v>
      </c>
      <c r="D15" s="12"/>
      <c r="E15" s="12"/>
      <c r="F15" s="12"/>
      <c r="G15" s="12"/>
      <c r="H15" s="13"/>
      <c r="I15" s="13"/>
      <c r="J15" s="13"/>
      <c r="K15" s="14">
        <f t="shared" si="10"/>
        <v>124955</v>
      </c>
      <c r="M15" s="59"/>
      <c r="N15" s="59"/>
      <c r="O15" s="59"/>
      <c r="P15" s="59"/>
      <c r="Q15" s="59"/>
      <c r="R15" s="59"/>
      <c r="S15" s="59"/>
      <c r="T15" s="59"/>
      <c r="U15" s="59"/>
      <c r="V15" s="59">
        <f t="shared" si="9"/>
        <v>0</v>
      </c>
      <c r="X15" s="6">
        <f t="shared" si="0"/>
        <v>0</v>
      </c>
      <c r="Y15" s="6">
        <f t="shared" si="1"/>
        <v>124955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6">
        <f t="shared" si="6"/>
        <v>0</v>
      </c>
      <c r="AE15" s="6">
        <f t="shared" si="7"/>
        <v>0</v>
      </c>
      <c r="AF15" s="6">
        <f t="shared" si="7"/>
        <v>0</v>
      </c>
      <c r="AG15" s="61">
        <f t="shared" si="8"/>
        <v>124955</v>
      </c>
      <c r="AH15" t="s">
        <v>60</v>
      </c>
    </row>
    <row r="16" spans="1:34" x14ac:dyDescent="0.25">
      <c r="A16" s="7" t="s">
        <v>40</v>
      </c>
      <c r="B16" s="12"/>
      <c r="C16" s="12"/>
      <c r="D16" s="12">
        <v>12757</v>
      </c>
      <c r="E16" s="12"/>
      <c r="F16" s="12">
        <v>648144</v>
      </c>
      <c r="G16" s="12"/>
      <c r="H16" s="13"/>
      <c r="I16" s="13"/>
      <c r="J16" s="13"/>
      <c r="K16" s="14">
        <f t="shared" si="10"/>
        <v>660901</v>
      </c>
      <c r="M16" s="59"/>
      <c r="N16" s="59"/>
      <c r="O16" s="59"/>
      <c r="P16" s="59"/>
      <c r="Q16" s="59">
        <v>648144</v>
      </c>
      <c r="R16" s="59"/>
      <c r="S16" s="59"/>
      <c r="T16" s="59"/>
      <c r="U16" s="59"/>
      <c r="V16" s="59">
        <f t="shared" si="9"/>
        <v>648144</v>
      </c>
      <c r="X16" s="6">
        <f t="shared" si="0"/>
        <v>0</v>
      </c>
      <c r="Y16" s="6">
        <f t="shared" si="1"/>
        <v>0</v>
      </c>
      <c r="Z16" s="6">
        <f t="shared" si="2"/>
        <v>12757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0</v>
      </c>
      <c r="AE16" s="6">
        <f t="shared" si="7"/>
        <v>0</v>
      </c>
      <c r="AF16" s="6">
        <f t="shared" si="7"/>
        <v>0</v>
      </c>
      <c r="AG16" s="61">
        <f t="shared" si="8"/>
        <v>12757</v>
      </c>
      <c r="AH16" t="s">
        <v>63</v>
      </c>
    </row>
    <row r="17" spans="1:34" x14ac:dyDescent="0.25">
      <c r="A17" s="7" t="s">
        <v>41</v>
      </c>
      <c r="B17" s="12"/>
      <c r="C17" s="12"/>
      <c r="D17" s="12">
        <v>461185</v>
      </c>
      <c r="E17" s="12"/>
      <c r="F17" s="12"/>
      <c r="G17" s="12"/>
      <c r="H17" s="13"/>
      <c r="I17" s="13"/>
      <c r="J17" s="13"/>
      <c r="K17" s="14">
        <f t="shared" si="10"/>
        <v>461185</v>
      </c>
      <c r="M17" s="59"/>
      <c r="N17" s="59"/>
      <c r="O17" s="59"/>
      <c r="P17" s="59"/>
      <c r="Q17" s="59"/>
      <c r="R17" s="59"/>
      <c r="S17" s="59"/>
      <c r="T17" s="59"/>
      <c r="U17" s="59"/>
      <c r="V17" s="59">
        <f t="shared" si="9"/>
        <v>0</v>
      </c>
      <c r="X17" s="6">
        <f t="shared" si="0"/>
        <v>0</v>
      </c>
      <c r="Y17" s="6">
        <f t="shared" si="1"/>
        <v>0</v>
      </c>
      <c r="Z17" s="6">
        <f t="shared" si="2"/>
        <v>461185</v>
      </c>
      <c r="AA17" s="6">
        <f t="shared" si="3"/>
        <v>0</v>
      </c>
      <c r="AB17" s="6">
        <f t="shared" si="4"/>
        <v>0</v>
      </c>
      <c r="AC17" s="6">
        <f t="shared" si="5"/>
        <v>0</v>
      </c>
      <c r="AD17" s="6">
        <f t="shared" si="6"/>
        <v>0</v>
      </c>
      <c r="AE17" s="6">
        <f t="shared" si="7"/>
        <v>0</v>
      </c>
      <c r="AF17" s="6">
        <f t="shared" si="7"/>
        <v>0</v>
      </c>
      <c r="AG17" s="61">
        <f t="shared" si="8"/>
        <v>461185</v>
      </c>
    </row>
    <row r="18" spans="1:34" x14ac:dyDescent="0.25">
      <c r="A18" s="7" t="s">
        <v>51</v>
      </c>
      <c r="B18" s="12"/>
      <c r="C18" s="12"/>
      <c r="D18" s="12">
        <v>167154</v>
      </c>
      <c r="E18" s="12"/>
      <c r="F18" s="12"/>
      <c r="G18" s="12"/>
      <c r="H18" s="13"/>
      <c r="I18" s="13"/>
      <c r="J18" s="13"/>
      <c r="K18" s="14">
        <f t="shared" si="10"/>
        <v>167154</v>
      </c>
      <c r="M18" s="59"/>
      <c r="N18" s="59"/>
      <c r="O18" s="59"/>
      <c r="P18" s="59"/>
      <c r="Q18" s="59"/>
      <c r="R18" s="59"/>
      <c r="S18" s="59"/>
      <c r="T18" s="59"/>
      <c r="U18" s="59"/>
      <c r="V18" s="59">
        <f t="shared" si="9"/>
        <v>0</v>
      </c>
      <c r="X18" s="6">
        <f t="shared" si="0"/>
        <v>0</v>
      </c>
      <c r="Y18" s="6">
        <f t="shared" si="1"/>
        <v>0</v>
      </c>
      <c r="Z18" s="6">
        <f t="shared" si="2"/>
        <v>167154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0</v>
      </c>
      <c r="AE18" s="6">
        <f t="shared" si="7"/>
        <v>0</v>
      </c>
      <c r="AF18" s="6">
        <f t="shared" si="7"/>
        <v>0</v>
      </c>
      <c r="AG18" s="61">
        <f t="shared" si="8"/>
        <v>167154</v>
      </c>
    </row>
    <row r="19" spans="1:34" x14ac:dyDescent="0.25">
      <c r="A19" s="7" t="s">
        <v>52</v>
      </c>
      <c r="B19" s="12"/>
      <c r="C19" s="12"/>
      <c r="D19" s="12">
        <v>318104</v>
      </c>
      <c r="E19" s="12">
        <v>76064</v>
      </c>
      <c r="F19" s="12"/>
      <c r="G19" s="12"/>
      <c r="H19" s="13"/>
      <c r="I19" s="13"/>
      <c r="J19" s="13"/>
      <c r="K19" s="14">
        <f t="shared" si="10"/>
        <v>394168</v>
      </c>
      <c r="M19" s="59"/>
      <c r="N19" s="59"/>
      <c r="O19" s="59"/>
      <c r="P19" s="59"/>
      <c r="Q19" s="59"/>
      <c r="R19" s="59"/>
      <c r="S19" s="59"/>
      <c r="T19" s="59"/>
      <c r="U19" s="59"/>
      <c r="V19" s="59">
        <f t="shared" si="9"/>
        <v>0</v>
      </c>
      <c r="X19" s="6">
        <f t="shared" si="0"/>
        <v>0</v>
      </c>
      <c r="Y19" s="6">
        <f t="shared" si="1"/>
        <v>0</v>
      </c>
      <c r="Z19" s="6">
        <f t="shared" si="2"/>
        <v>318104</v>
      </c>
      <c r="AA19" s="6">
        <f t="shared" si="3"/>
        <v>76064</v>
      </c>
      <c r="AB19" s="6">
        <f t="shared" si="4"/>
        <v>0</v>
      </c>
      <c r="AC19" s="6">
        <f t="shared" si="5"/>
        <v>0</v>
      </c>
      <c r="AD19" s="6">
        <f t="shared" si="6"/>
        <v>0</v>
      </c>
      <c r="AE19" s="6">
        <f t="shared" si="7"/>
        <v>0</v>
      </c>
      <c r="AF19" s="6">
        <f t="shared" si="7"/>
        <v>0</v>
      </c>
      <c r="AG19" s="61">
        <f t="shared" si="8"/>
        <v>394168</v>
      </c>
      <c r="AH19" t="s">
        <v>64</v>
      </c>
    </row>
    <row r="20" spans="1:34" x14ac:dyDescent="0.25">
      <c r="A20" s="7" t="s">
        <v>42</v>
      </c>
      <c r="B20" s="12"/>
      <c r="C20" s="12"/>
      <c r="D20" s="12"/>
      <c r="E20" s="12"/>
      <c r="F20" s="12"/>
      <c r="G20" s="12"/>
      <c r="H20" s="13"/>
      <c r="I20" s="13"/>
      <c r="J20" s="13"/>
      <c r="K20" s="14">
        <f t="shared" si="10"/>
        <v>0</v>
      </c>
      <c r="M20" s="59"/>
      <c r="N20" s="59"/>
      <c r="O20" s="59"/>
      <c r="P20" s="59"/>
      <c r="Q20" s="59"/>
      <c r="R20" s="59"/>
      <c r="S20" s="59"/>
      <c r="T20" s="59"/>
      <c r="U20" s="59"/>
      <c r="V20" s="59">
        <f t="shared" si="9"/>
        <v>0</v>
      </c>
      <c r="X20" s="6">
        <f t="shared" si="0"/>
        <v>0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6">
        <f t="shared" si="6"/>
        <v>0</v>
      </c>
      <c r="AE20" s="6">
        <f t="shared" si="7"/>
        <v>0</v>
      </c>
      <c r="AF20" s="6">
        <f t="shared" si="7"/>
        <v>0</v>
      </c>
      <c r="AG20" s="61">
        <f t="shared" si="8"/>
        <v>0</v>
      </c>
      <c r="AH20" t="s">
        <v>65</v>
      </c>
    </row>
    <row r="21" spans="1:34" x14ac:dyDescent="0.25">
      <c r="A21" s="7" t="s">
        <v>48</v>
      </c>
      <c r="B21" s="12"/>
      <c r="C21" s="12"/>
      <c r="D21" s="12"/>
      <c r="E21" s="12">
        <v>12807</v>
      </c>
      <c r="F21" s="12"/>
      <c r="G21" s="12"/>
      <c r="H21" s="13"/>
      <c r="I21" s="13"/>
      <c r="J21" s="13"/>
      <c r="K21" s="14">
        <f t="shared" si="10"/>
        <v>12807</v>
      </c>
      <c r="M21" s="59"/>
      <c r="N21" s="59"/>
      <c r="O21" s="59"/>
      <c r="P21" s="59"/>
      <c r="Q21" s="59"/>
      <c r="R21" s="59"/>
      <c r="S21" s="59"/>
      <c r="T21" s="59"/>
      <c r="U21" s="59"/>
      <c r="V21" s="59">
        <f t="shared" si="9"/>
        <v>0</v>
      </c>
      <c r="X21" s="6">
        <f t="shared" si="0"/>
        <v>0</v>
      </c>
      <c r="Y21" s="6">
        <f t="shared" si="1"/>
        <v>0</v>
      </c>
      <c r="Z21" s="6">
        <f t="shared" si="2"/>
        <v>0</v>
      </c>
      <c r="AA21" s="6">
        <f t="shared" si="3"/>
        <v>12807</v>
      </c>
      <c r="AB21" s="6">
        <f t="shared" si="4"/>
        <v>0</v>
      </c>
      <c r="AC21" s="6">
        <f t="shared" si="5"/>
        <v>0</v>
      </c>
      <c r="AD21" s="6">
        <f t="shared" si="6"/>
        <v>0</v>
      </c>
      <c r="AE21" s="6">
        <f t="shared" si="7"/>
        <v>0</v>
      </c>
      <c r="AF21" s="6">
        <f t="shared" si="7"/>
        <v>0</v>
      </c>
      <c r="AG21" s="61">
        <f t="shared" si="8"/>
        <v>12807</v>
      </c>
      <c r="AH21" t="s">
        <v>60</v>
      </c>
    </row>
    <row r="22" spans="1:34" x14ac:dyDescent="0.25">
      <c r="A22" s="7" t="s">
        <v>53</v>
      </c>
      <c r="B22" s="12"/>
      <c r="C22" s="12"/>
      <c r="D22" s="12"/>
      <c r="E22" s="12">
        <v>14277</v>
      </c>
      <c r="F22" s="12"/>
      <c r="G22" s="12"/>
      <c r="H22" s="13"/>
      <c r="I22" s="13"/>
      <c r="J22" s="13"/>
      <c r="K22" s="14">
        <f t="shared" si="10"/>
        <v>14277</v>
      </c>
      <c r="M22" s="59"/>
      <c r="N22" s="59"/>
      <c r="O22" s="59"/>
      <c r="P22" s="59"/>
      <c r="Q22" s="59"/>
      <c r="R22" s="59"/>
      <c r="S22" s="59"/>
      <c r="T22" s="59"/>
      <c r="U22" s="59"/>
      <c r="V22" s="59">
        <f t="shared" si="9"/>
        <v>0</v>
      </c>
      <c r="X22" s="6">
        <f t="shared" si="0"/>
        <v>0</v>
      </c>
      <c r="Y22" s="6">
        <f t="shared" si="1"/>
        <v>0</v>
      </c>
      <c r="Z22" s="6">
        <f t="shared" si="2"/>
        <v>0</v>
      </c>
      <c r="AA22" s="6">
        <f t="shared" si="3"/>
        <v>14277</v>
      </c>
      <c r="AB22" s="6">
        <f t="shared" si="4"/>
        <v>0</v>
      </c>
      <c r="AC22" s="6">
        <f t="shared" si="5"/>
        <v>0</v>
      </c>
      <c r="AD22" s="6">
        <f t="shared" si="6"/>
        <v>0</v>
      </c>
      <c r="AE22" s="6">
        <f t="shared" si="7"/>
        <v>0</v>
      </c>
      <c r="AF22" s="6">
        <f t="shared" si="7"/>
        <v>0</v>
      </c>
      <c r="AG22" s="61">
        <f t="shared" si="8"/>
        <v>14277</v>
      </c>
      <c r="AH22" t="s">
        <v>60</v>
      </c>
    </row>
    <row r="23" spans="1:34" x14ac:dyDescent="0.25">
      <c r="A23" s="7" t="s">
        <v>43</v>
      </c>
      <c r="B23" s="12"/>
      <c r="C23" s="12"/>
      <c r="D23" s="12"/>
      <c r="E23" s="12"/>
      <c r="F23" s="12"/>
      <c r="G23" s="12"/>
      <c r="H23" s="13"/>
      <c r="I23" s="13"/>
      <c r="J23" s="13"/>
      <c r="K23" s="14">
        <f t="shared" si="10"/>
        <v>0</v>
      </c>
      <c r="M23" s="59"/>
      <c r="N23" s="59"/>
      <c r="O23" s="59"/>
      <c r="P23" s="59"/>
      <c r="Q23" s="59"/>
      <c r="R23" s="59"/>
      <c r="S23" s="59"/>
      <c r="T23" s="59"/>
      <c r="U23" s="59"/>
      <c r="V23" s="59">
        <f t="shared" si="9"/>
        <v>0</v>
      </c>
      <c r="X23" s="6">
        <f t="shared" si="0"/>
        <v>0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6">
        <f t="shared" si="6"/>
        <v>0</v>
      </c>
      <c r="AE23" s="6">
        <f t="shared" si="7"/>
        <v>0</v>
      </c>
      <c r="AF23" s="6">
        <f t="shared" si="7"/>
        <v>0</v>
      </c>
      <c r="AG23" s="61">
        <f t="shared" si="8"/>
        <v>0</v>
      </c>
    </row>
    <row r="24" spans="1:34" x14ac:dyDescent="0.25">
      <c r="A24" s="7" t="s">
        <v>44</v>
      </c>
      <c r="B24" s="12"/>
      <c r="C24" s="12"/>
      <c r="D24" s="12">
        <v>600555</v>
      </c>
      <c r="E24" s="12"/>
      <c r="F24" s="12"/>
      <c r="G24" s="12"/>
      <c r="H24" s="13"/>
      <c r="I24" s="13"/>
      <c r="J24" s="13"/>
      <c r="K24" s="14">
        <f t="shared" si="10"/>
        <v>600555</v>
      </c>
      <c r="M24" s="59"/>
      <c r="N24" s="59"/>
      <c r="O24" s="59"/>
      <c r="P24" s="59"/>
      <c r="Q24" s="59"/>
      <c r="R24" s="59"/>
      <c r="S24" s="59"/>
      <c r="T24" s="59"/>
      <c r="U24" s="59"/>
      <c r="V24" s="59">
        <f t="shared" si="9"/>
        <v>0</v>
      </c>
      <c r="X24" s="6">
        <f t="shared" si="0"/>
        <v>0</v>
      </c>
      <c r="Y24" s="6">
        <f t="shared" si="1"/>
        <v>0</v>
      </c>
      <c r="Z24" s="6">
        <f t="shared" si="2"/>
        <v>600555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0</v>
      </c>
      <c r="AE24" s="6">
        <f t="shared" si="7"/>
        <v>0</v>
      </c>
      <c r="AF24" s="6">
        <f t="shared" si="7"/>
        <v>0</v>
      </c>
      <c r="AG24" s="61">
        <f t="shared" si="8"/>
        <v>600555</v>
      </c>
      <c r="AH24" t="s">
        <v>66</v>
      </c>
    </row>
    <row r="25" spans="1:34" x14ac:dyDescent="0.25">
      <c r="A25" s="40" t="s">
        <v>54</v>
      </c>
      <c r="B25" s="12"/>
      <c r="C25" s="12"/>
      <c r="D25" s="12"/>
      <c r="E25" s="12"/>
      <c r="F25" s="12"/>
      <c r="G25" s="12"/>
      <c r="H25" s="13">
        <v>27094310</v>
      </c>
      <c r="I25" s="13">
        <v>55927329</v>
      </c>
      <c r="J25" s="13">
        <v>31910102</v>
      </c>
      <c r="K25" s="14">
        <f t="shared" si="10"/>
        <v>114931741</v>
      </c>
      <c r="M25" s="59"/>
      <c r="N25" s="59"/>
      <c r="O25" s="59"/>
      <c r="P25" s="59"/>
      <c r="Q25" s="59"/>
      <c r="R25" s="59"/>
      <c r="S25" s="59">
        <f>689215+76657+118618</f>
        <v>884490</v>
      </c>
      <c r="T25" s="59">
        <f>618962+464535+892013+583116+72892+858377+323355+1006024+296724+223144+61518+4423033+7357766+3491786+205156+90071+84736+36218+40889+322544</f>
        <v>21452859</v>
      </c>
      <c r="U25" s="59">
        <f>1084434+579489</f>
        <v>1663923</v>
      </c>
      <c r="V25" s="59">
        <f t="shared" si="9"/>
        <v>24001272</v>
      </c>
      <c r="X25" s="6">
        <f t="shared" si="0"/>
        <v>0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26209820</v>
      </c>
      <c r="AE25" s="6">
        <f t="shared" si="7"/>
        <v>34474470</v>
      </c>
      <c r="AF25" s="6">
        <f t="shared" si="7"/>
        <v>30246179</v>
      </c>
      <c r="AG25" s="61">
        <f t="shared" si="8"/>
        <v>90930469</v>
      </c>
    </row>
    <row r="26" spans="1:34" x14ac:dyDescent="0.25">
      <c r="A26" s="41" t="s">
        <v>56</v>
      </c>
      <c r="B26" s="12"/>
      <c r="C26" s="12"/>
      <c r="D26" s="12"/>
      <c r="E26" s="12"/>
      <c r="F26" s="12"/>
      <c r="G26" s="12"/>
      <c r="H26" s="13">
        <v>6885</v>
      </c>
      <c r="I26" s="13"/>
      <c r="J26" s="13">
        <v>497606</v>
      </c>
      <c r="K26" s="14">
        <f t="shared" si="10"/>
        <v>504491</v>
      </c>
      <c r="M26" s="59"/>
      <c r="N26" s="59"/>
      <c r="O26" s="59"/>
      <c r="P26" s="59"/>
      <c r="Q26" s="59"/>
      <c r="R26" s="59"/>
      <c r="S26" s="59"/>
      <c r="T26" s="59"/>
      <c r="U26" s="59"/>
      <c r="V26" s="59">
        <f t="shared" si="9"/>
        <v>0</v>
      </c>
      <c r="X26" s="6"/>
      <c r="Y26" s="6"/>
      <c r="Z26" s="6"/>
      <c r="AA26" s="6"/>
      <c r="AB26" s="6"/>
      <c r="AC26" s="6"/>
      <c r="AD26" s="6">
        <f t="shared" ref="AD26:AE41" si="11">SUM(H26-S26)</f>
        <v>6885</v>
      </c>
      <c r="AE26" s="6">
        <f t="shared" si="11"/>
        <v>0</v>
      </c>
      <c r="AF26" s="6">
        <f t="shared" ref="AF26:AF27" si="12">SUM(J26-U26)</f>
        <v>497606</v>
      </c>
      <c r="AG26" s="61">
        <f t="shared" ref="AG26:AG41" si="13">SUM(K26-V26)</f>
        <v>504491</v>
      </c>
    </row>
    <row r="27" spans="1:34" x14ac:dyDescent="0.25">
      <c r="A27" s="41" t="s">
        <v>57</v>
      </c>
      <c r="B27" s="12"/>
      <c r="C27" s="12"/>
      <c r="D27" s="12"/>
      <c r="E27" s="12"/>
      <c r="F27" s="12"/>
      <c r="G27" s="12"/>
      <c r="H27" s="13">
        <v>1518177</v>
      </c>
      <c r="I27" s="13">
        <v>2565719</v>
      </c>
      <c r="J27" s="13"/>
      <c r="K27" s="14">
        <f t="shared" si="10"/>
        <v>4083896</v>
      </c>
      <c r="M27" s="59"/>
      <c r="N27" s="59"/>
      <c r="O27" s="59"/>
      <c r="P27" s="59"/>
      <c r="Q27" s="59"/>
      <c r="R27" s="59"/>
      <c r="S27" s="59">
        <f>1382625</f>
        <v>1382625</v>
      </c>
      <c r="T27" s="59">
        <f>496706+821191+901685</f>
        <v>2219582</v>
      </c>
      <c r="U27" s="59"/>
      <c r="V27" s="59">
        <f t="shared" si="9"/>
        <v>3602207</v>
      </c>
      <c r="X27" s="6"/>
      <c r="Y27" s="6"/>
      <c r="Z27" s="6"/>
      <c r="AA27" s="6"/>
      <c r="AB27" s="6"/>
      <c r="AC27" s="6"/>
      <c r="AD27" s="6">
        <f t="shared" si="11"/>
        <v>135552</v>
      </c>
      <c r="AE27" s="6">
        <f t="shared" si="11"/>
        <v>346137</v>
      </c>
      <c r="AF27" s="6">
        <f t="shared" si="12"/>
        <v>0</v>
      </c>
      <c r="AG27" s="61">
        <f t="shared" si="13"/>
        <v>481689</v>
      </c>
    </row>
    <row r="28" spans="1:34" s="68" customFormat="1" x14ac:dyDescent="0.25">
      <c r="A28" s="41" t="s">
        <v>82</v>
      </c>
      <c r="B28" s="12"/>
      <c r="C28" s="12"/>
      <c r="D28" s="12"/>
      <c r="E28" s="12"/>
      <c r="F28" s="12"/>
      <c r="G28" s="12"/>
      <c r="H28" s="13"/>
      <c r="I28" s="81">
        <v>36605</v>
      </c>
      <c r="J28" s="81">
        <f>178173+97210</f>
        <v>275383</v>
      </c>
      <c r="K28" s="14">
        <f t="shared" si="10"/>
        <v>311988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X28" s="6">
        <f t="shared" ref="X28:X40" si="14">SUM(B28-M28)</f>
        <v>0</v>
      </c>
      <c r="Y28" s="6">
        <f t="shared" ref="Y28:Y40" si="15">SUM(C28-N28)</f>
        <v>0</v>
      </c>
      <c r="Z28" s="6">
        <f t="shared" ref="Z28:Z40" si="16">SUM(D28-O28)</f>
        <v>0</v>
      </c>
      <c r="AA28" s="6">
        <f t="shared" ref="AA28:AA40" si="17">SUM(E28-P28)</f>
        <v>0</v>
      </c>
      <c r="AB28" s="6">
        <f t="shared" ref="AB28:AB40" si="18">SUM(F28-Q28)</f>
        <v>0</v>
      </c>
      <c r="AC28" s="6">
        <f t="shared" ref="AC28:AC40" si="19">SUM(G28-R28)</f>
        <v>0</v>
      </c>
      <c r="AD28" s="6">
        <f t="shared" ref="AD28:AD40" si="20">SUM(H28-S28)</f>
        <v>0</v>
      </c>
      <c r="AE28" s="6">
        <f t="shared" ref="AE28:AE40" si="21">SUM(I28-T28)</f>
        <v>36605</v>
      </c>
      <c r="AF28" s="6">
        <f t="shared" ref="AF28:AF40" si="22">SUM(J28-U28)</f>
        <v>275383</v>
      </c>
      <c r="AG28" s="61">
        <f t="shared" ref="AG28:AG40" si="23">SUM(K28-V28)</f>
        <v>311988</v>
      </c>
    </row>
    <row r="29" spans="1:34" s="68" customFormat="1" x14ac:dyDescent="0.25">
      <c r="A29" s="41" t="s">
        <v>83</v>
      </c>
      <c r="B29" s="12"/>
      <c r="C29" s="12"/>
      <c r="D29" s="12"/>
      <c r="E29" s="12"/>
      <c r="F29" s="12"/>
      <c r="G29" s="12"/>
      <c r="H29" s="13"/>
      <c r="I29" s="81">
        <v>132567</v>
      </c>
      <c r="J29" s="81">
        <f>165241+213639+83641</f>
        <v>462521</v>
      </c>
      <c r="K29" s="14">
        <f t="shared" si="10"/>
        <v>595088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X29" s="6">
        <f t="shared" si="14"/>
        <v>0</v>
      </c>
      <c r="Y29" s="6">
        <f t="shared" si="15"/>
        <v>0</v>
      </c>
      <c r="Z29" s="6">
        <f t="shared" si="16"/>
        <v>0</v>
      </c>
      <c r="AA29" s="6">
        <f t="shared" si="17"/>
        <v>0</v>
      </c>
      <c r="AB29" s="6">
        <f t="shared" si="18"/>
        <v>0</v>
      </c>
      <c r="AC29" s="6">
        <f t="shared" si="19"/>
        <v>0</v>
      </c>
      <c r="AD29" s="6">
        <f t="shared" si="20"/>
        <v>0</v>
      </c>
      <c r="AE29" s="6">
        <f t="shared" si="21"/>
        <v>132567</v>
      </c>
      <c r="AF29" s="6">
        <f t="shared" si="22"/>
        <v>462521</v>
      </c>
      <c r="AG29" s="61">
        <f t="shared" si="23"/>
        <v>595088</v>
      </c>
    </row>
    <row r="30" spans="1:34" s="68" customFormat="1" x14ac:dyDescent="0.25">
      <c r="A30" s="41" t="s">
        <v>84</v>
      </c>
      <c r="B30" s="12"/>
      <c r="C30" s="12"/>
      <c r="D30" s="12"/>
      <c r="E30" s="12"/>
      <c r="F30" s="12"/>
      <c r="G30" s="12"/>
      <c r="H30" s="13"/>
      <c r="I30" s="81">
        <v>81754</v>
      </c>
      <c r="J30" s="81">
        <f>40036+50714+144829</f>
        <v>235579</v>
      </c>
      <c r="K30" s="14">
        <f t="shared" si="10"/>
        <v>317333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">
        <f t="shared" si="14"/>
        <v>0</v>
      </c>
      <c r="Y30" s="6">
        <f t="shared" si="15"/>
        <v>0</v>
      </c>
      <c r="Z30" s="6">
        <f t="shared" si="16"/>
        <v>0</v>
      </c>
      <c r="AA30" s="6">
        <f t="shared" si="17"/>
        <v>0</v>
      </c>
      <c r="AB30" s="6">
        <f t="shared" si="18"/>
        <v>0</v>
      </c>
      <c r="AC30" s="6">
        <f t="shared" si="19"/>
        <v>0</v>
      </c>
      <c r="AD30" s="6">
        <f t="shared" si="20"/>
        <v>0</v>
      </c>
      <c r="AE30" s="6">
        <f t="shared" si="21"/>
        <v>81754</v>
      </c>
      <c r="AF30" s="6">
        <f t="shared" si="22"/>
        <v>235579</v>
      </c>
      <c r="AG30" s="61">
        <f t="shared" si="23"/>
        <v>317333</v>
      </c>
    </row>
    <row r="31" spans="1:34" s="68" customFormat="1" x14ac:dyDescent="0.25">
      <c r="A31" s="41" t="s">
        <v>85</v>
      </c>
      <c r="B31" s="12"/>
      <c r="C31" s="12"/>
      <c r="D31" s="12"/>
      <c r="E31" s="12"/>
      <c r="F31" s="12"/>
      <c r="G31" s="12"/>
      <c r="H31" s="13"/>
      <c r="I31" s="13"/>
      <c r="J31" s="81">
        <f>13000+7600+50601</f>
        <v>71201</v>
      </c>
      <c r="K31" s="14">
        <f t="shared" si="10"/>
        <v>71201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6">
        <f t="shared" si="14"/>
        <v>0</v>
      </c>
      <c r="Y31" s="6">
        <f t="shared" si="15"/>
        <v>0</v>
      </c>
      <c r="Z31" s="6">
        <f t="shared" si="16"/>
        <v>0</v>
      </c>
      <c r="AA31" s="6">
        <f t="shared" si="17"/>
        <v>0</v>
      </c>
      <c r="AB31" s="6">
        <f t="shared" si="18"/>
        <v>0</v>
      </c>
      <c r="AC31" s="6">
        <f t="shared" si="19"/>
        <v>0</v>
      </c>
      <c r="AD31" s="6">
        <f t="shared" si="20"/>
        <v>0</v>
      </c>
      <c r="AE31" s="6">
        <f t="shared" si="21"/>
        <v>0</v>
      </c>
      <c r="AF31" s="6">
        <f t="shared" si="22"/>
        <v>71201</v>
      </c>
      <c r="AG31" s="61">
        <f t="shared" si="23"/>
        <v>71201</v>
      </c>
    </row>
    <row r="32" spans="1:34" s="68" customFormat="1" x14ac:dyDescent="0.25">
      <c r="A32" s="41" t="s">
        <v>86</v>
      </c>
      <c r="B32" s="12"/>
      <c r="C32" s="12"/>
      <c r="D32" s="12"/>
      <c r="E32" s="12"/>
      <c r="F32" s="12"/>
      <c r="G32" s="12"/>
      <c r="H32" s="13"/>
      <c r="I32" s="13"/>
      <c r="J32" s="81">
        <f>26396+26164+149893</f>
        <v>202453</v>
      </c>
      <c r="K32" s="14">
        <f t="shared" si="10"/>
        <v>202453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X32" s="6">
        <f t="shared" si="14"/>
        <v>0</v>
      </c>
      <c r="Y32" s="6">
        <f t="shared" si="15"/>
        <v>0</v>
      </c>
      <c r="Z32" s="6">
        <f t="shared" si="16"/>
        <v>0</v>
      </c>
      <c r="AA32" s="6">
        <f t="shared" si="17"/>
        <v>0</v>
      </c>
      <c r="AB32" s="6">
        <f t="shared" si="18"/>
        <v>0</v>
      </c>
      <c r="AC32" s="6">
        <f t="shared" si="19"/>
        <v>0</v>
      </c>
      <c r="AD32" s="6">
        <f t="shared" si="20"/>
        <v>0</v>
      </c>
      <c r="AE32" s="6">
        <f t="shared" si="21"/>
        <v>0</v>
      </c>
      <c r="AF32" s="6">
        <f t="shared" si="22"/>
        <v>202453</v>
      </c>
      <c r="AG32" s="61">
        <f t="shared" si="23"/>
        <v>202453</v>
      </c>
    </row>
    <row r="33" spans="1:34" s="68" customFormat="1" x14ac:dyDescent="0.25">
      <c r="A33" s="41" t="s">
        <v>87</v>
      </c>
      <c r="B33" s="12"/>
      <c r="C33" s="12"/>
      <c r="D33" s="12"/>
      <c r="E33" s="12"/>
      <c r="F33" s="12"/>
      <c r="G33" s="12"/>
      <c r="H33" s="13"/>
      <c r="I33" s="13"/>
      <c r="J33" s="81">
        <v>98505</v>
      </c>
      <c r="K33" s="14">
        <f t="shared" si="10"/>
        <v>98505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X33" s="6">
        <f t="shared" si="14"/>
        <v>0</v>
      </c>
      <c r="Y33" s="6">
        <f t="shared" si="15"/>
        <v>0</v>
      </c>
      <c r="Z33" s="6">
        <f t="shared" si="16"/>
        <v>0</v>
      </c>
      <c r="AA33" s="6">
        <f t="shared" si="17"/>
        <v>0</v>
      </c>
      <c r="AB33" s="6">
        <f t="shared" si="18"/>
        <v>0</v>
      </c>
      <c r="AC33" s="6">
        <f t="shared" si="19"/>
        <v>0</v>
      </c>
      <c r="AD33" s="6">
        <f t="shared" si="20"/>
        <v>0</v>
      </c>
      <c r="AE33" s="6">
        <f t="shared" si="21"/>
        <v>0</v>
      </c>
      <c r="AF33" s="6">
        <f t="shared" si="22"/>
        <v>98505</v>
      </c>
      <c r="AG33" s="61">
        <f t="shared" si="23"/>
        <v>98505</v>
      </c>
    </row>
    <row r="34" spans="1:34" s="68" customFormat="1" x14ac:dyDescent="0.25">
      <c r="A34" s="83" t="s">
        <v>88</v>
      </c>
      <c r="B34" s="12"/>
      <c r="C34" s="12"/>
      <c r="D34" s="12"/>
      <c r="E34" s="12"/>
      <c r="F34" s="12"/>
      <c r="G34" s="12"/>
      <c r="H34" s="13"/>
      <c r="I34" s="13"/>
      <c r="J34" s="81">
        <f>10799+86356</f>
        <v>97155</v>
      </c>
      <c r="K34" s="14">
        <f t="shared" si="10"/>
        <v>97155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X34" s="6">
        <f t="shared" si="14"/>
        <v>0</v>
      </c>
      <c r="Y34" s="6">
        <f t="shared" si="15"/>
        <v>0</v>
      </c>
      <c r="Z34" s="6">
        <f t="shared" si="16"/>
        <v>0</v>
      </c>
      <c r="AA34" s="6">
        <f t="shared" si="17"/>
        <v>0</v>
      </c>
      <c r="AB34" s="6">
        <f t="shared" si="18"/>
        <v>0</v>
      </c>
      <c r="AC34" s="6">
        <f t="shared" si="19"/>
        <v>0</v>
      </c>
      <c r="AD34" s="6">
        <f t="shared" si="20"/>
        <v>0</v>
      </c>
      <c r="AE34" s="6">
        <f t="shared" si="21"/>
        <v>0</v>
      </c>
      <c r="AF34" s="6">
        <f t="shared" si="22"/>
        <v>97155</v>
      </c>
      <c r="AG34" s="61">
        <f t="shared" si="23"/>
        <v>97155</v>
      </c>
    </row>
    <row r="35" spans="1:34" s="68" customFormat="1" x14ac:dyDescent="0.25">
      <c r="A35" s="80" t="s">
        <v>77</v>
      </c>
      <c r="B35" s="12"/>
      <c r="C35" s="12"/>
      <c r="D35" s="12"/>
      <c r="E35" s="12"/>
      <c r="F35" s="12"/>
      <c r="G35" s="12"/>
      <c r="H35" s="13"/>
      <c r="I35" s="13"/>
      <c r="J35" s="81">
        <v>891012</v>
      </c>
      <c r="K35" s="14">
        <f t="shared" si="10"/>
        <v>891012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6">
        <f t="shared" si="14"/>
        <v>0</v>
      </c>
      <c r="Y35" s="6">
        <f t="shared" si="15"/>
        <v>0</v>
      </c>
      <c r="Z35" s="6">
        <f t="shared" si="16"/>
        <v>0</v>
      </c>
      <c r="AA35" s="6">
        <f t="shared" si="17"/>
        <v>0</v>
      </c>
      <c r="AB35" s="6">
        <f t="shared" si="18"/>
        <v>0</v>
      </c>
      <c r="AC35" s="6">
        <f t="shared" si="19"/>
        <v>0</v>
      </c>
      <c r="AD35" s="6">
        <f t="shared" si="20"/>
        <v>0</v>
      </c>
      <c r="AE35" s="6">
        <f t="shared" si="21"/>
        <v>0</v>
      </c>
      <c r="AF35" s="6">
        <f t="shared" si="22"/>
        <v>891012</v>
      </c>
      <c r="AG35" s="61">
        <f t="shared" si="23"/>
        <v>891012</v>
      </c>
    </row>
    <row r="36" spans="1:34" s="68" customFormat="1" x14ac:dyDescent="0.25">
      <c r="A36" s="80" t="s">
        <v>89</v>
      </c>
      <c r="B36" s="12"/>
      <c r="C36" s="12"/>
      <c r="D36" s="12"/>
      <c r="E36" s="12"/>
      <c r="F36" s="12"/>
      <c r="G36" s="12"/>
      <c r="H36" s="13"/>
      <c r="I36" s="13"/>
      <c r="J36" s="81">
        <v>41901</v>
      </c>
      <c r="K36" s="14">
        <f t="shared" si="10"/>
        <v>41901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6">
        <f t="shared" si="14"/>
        <v>0</v>
      </c>
      <c r="Y36" s="6">
        <f t="shared" si="15"/>
        <v>0</v>
      </c>
      <c r="Z36" s="6">
        <f t="shared" si="16"/>
        <v>0</v>
      </c>
      <c r="AA36" s="6">
        <f t="shared" si="17"/>
        <v>0</v>
      </c>
      <c r="AB36" s="6">
        <f t="shared" si="18"/>
        <v>0</v>
      </c>
      <c r="AC36" s="6">
        <f t="shared" si="19"/>
        <v>0</v>
      </c>
      <c r="AD36" s="6">
        <f t="shared" si="20"/>
        <v>0</v>
      </c>
      <c r="AE36" s="6">
        <f t="shared" si="21"/>
        <v>0</v>
      </c>
      <c r="AF36" s="6">
        <f t="shared" si="22"/>
        <v>41901</v>
      </c>
      <c r="AG36" s="61">
        <f t="shared" si="23"/>
        <v>41901</v>
      </c>
    </row>
    <row r="37" spans="1:34" s="68" customFormat="1" x14ac:dyDescent="0.25">
      <c r="A37" s="80" t="s">
        <v>90</v>
      </c>
      <c r="B37" s="12"/>
      <c r="C37" s="12"/>
      <c r="D37" s="12"/>
      <c r="E37" s="12"/>
      <c r="F37" s="12"/>
      <c r="G37" s="12"/>
      <c r="H37" s="13"/>
      <c r="I37" s="13"/>
      <c r="J37" s="82">
        <v>255697</v>
      </c>
      <c r="K37" s="14">
        <f t="shared" si="10"/>
        <v>255697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6">
        <f t="shared" si="14"/>
        <v>0</v>
      </c>
      <c r="Y37" s="6">
        <f t="shared" si="15"/>
        <v>0</v>
      </c>
      <c r="Z37" s="6">
        <f t="shared" si="16"/>
        <v>0</v>
      </c>
      <c r="AA37" s="6">
        <f t="shared" si="17"/>
        <v>0</v>
      </c>
      <c r="AB37" s="6">
        <f t="shared" si="18"/>
        <v>0</v>
      </c>
      <c r="AC37" s="6">
        <f t="shared" si="19"/>
        <v>0</v>
      </c>
      <c r="AD37" s="6">
        <f t="shared" si="20"/>
        <v>0</v>
      </c>
      <c r="AE37" s="6">
        <f t="shared" si="21"/>
        <v>0</v>
      </c>
      <c r="AF37" s="6">
        <f t="shared" si="22"/>
        <v>255697</v>
      </c>
      <c r="AG37" s="61">
        <f t="shared" si="23"/>
        <v>255697</v>
      </c>
    </row>
    <row r="38" spans="1:34" s="68" customFormat="1" x14ac:dyDescent="0.25">
      <c r="A38" s="80" t="s">
        <v>91</v>
      </c>
      <c r="B38" s="12"/>
      <c r="C38" s="12"/>
      <c r="D38" s="12"/>
      <c r="E38" s="12"/>
      <c r="F38" s="12"/>
      <c r="G38" s="12"/>
      <c r="H38" s="13"/>
      <c r="I38" s="13"/>
      <c r="J38" s="82">
        <v>41901</v>
      </c>
      <c r="K38" s="14">
        <f t="shared" si="10"/>
        <v>41901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6">
        <f t="shared" si="14"/>
        <v>0</v>
      </c>
      <c r="Y38" s="6">
        <f t="shared" si="15"/>
        <v>0</v>
      </c>
      <c r="Z38" s="6">
        <f t="shared" si="16"/>
        <v>0</v>
      </c>
      <c r="AA38" s="6">
        <f t="shared" si="17"/>
        <v>0</v>
      </c>
      <c r="AB38" s="6">
        <f t="shared" si="18"/>
        <v>0</v>
      </c>
      <c r="AC38" s="6">
        <f t="shared" si="19"/>
        <v>0</v>
      </c>
      <c r="AD38" s="6">
        <f t="shared" si="20"/>
        <v>0</v>
      </c>
      <c r="AE38" s="6">
        <f t="shared" si="21"/>
        <v>0</v>
      </c>
      <c r="AF38" s="6">
        <f t="shared" si="22"/>
        <v>41901</v>
      </c>
      <c r="AG38" s="61">
        <f t="shared" si="23"/>
        <v>41901</v>
      </c>
    </row>
    <row r="39" spans="1:34" s="68" customFormat="1" x14ac:dyDescent="0.25">
      <c r="A39" s="80" t="s">
        <v>92</v>
      </c>
      <c r="B39" s="12"/>
      <c r="C39" s="12"/>
      <c r="D39" s="12"/>
      <c r="E39" s="12"/>
      <c r="F39" s="12"/>
      <c r="G39" s="12"/>
      <c r="H39" s="13"/>
      <c r="I39" s="13"/>
      <c r="J39" s="82">
        <v>8998</v>
      </c>
      <c r="K39" s="14">
        <f t="shared" si="10"/>
        <v>8998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X39" s="6">
        <f t="shared" si="14"/>
        <v>0</v>
      </c>
      <c r="Y39" s="6">
        <f t="shared" si="15"/>
        <v>0</v>
      </c>
      <c r="Z39" s="6">
        <f t="shared" si="16"/>
        <v>0</v>
      </c>
      <c r="AA39" s="6">
        <f t="shared" si="17"/>
        <v>0</v>
      </c>
      <c r="AB39" s="6">
        <f t="shared" si="18"/>
        <v>0</v>
      </c>
      <c r="AC39" s="6">
        <f t="shared" si="19"/>
        <v>0</v>
      </c>
      <c r="AD39" s="6">
        <f t="shared" si="20"/>
        <v>0</v>
      </c>
      <c r="AE39" s="6">
        <f t="shared" si="21"/>
        <v>0</v>
      </c>
      <c r="AF39" s="6">
        <f t="shared" si="22"/>
        <v>8998</v>
      </c>
      <c r="AG39" s="61">
        <f t="shared" si="23"/>
        <v>8998</v>
      </c>
    </row>
    <row r="40" spans="1:34" x14ac:dyDescent="0.25">
      <c r="A40" s="7"/>
      <c r="B40" s="12"/>
      <c r="C40" s="12"/>
      <c r="D40" s="12"/>
      <c r="E40" s="12"/>
      <c r="F40" s="12"/>
      <c r="G40" s="12"/>
      <c r="H40" s="13"/>
      <c r="I40" s="13"/>
      <c r="J40" s="13"/>
      <c r="K40" s="14">
        <f t="shared" si="10"/>
        <v>0</v>
      </c>
      <c r="M40" s="59"/>
      <c r="N40" s="59"/>
      <c r="O40" s="59"/>
      <c r="P40" s="59"/>
      <c r="Q40" s="59"/>
      <c r="R40" s="59"/>
      <c r="S40" s="59"/>
      <c r="T40" s="59"/>
      <c r="U40" s="59"/>
      <c r="V40" s="59">
        <f t="shared" si="9"/>
        <v>0</v>
      </c>
      <c r="X40" s="6">
        <f t="shared" si="14"/>
        <v>0</v>
      </c>
      <c r="Y40" s="6">
        <f t="shared" si="15"/>
        <v>0</v>
      </c>
      <c r="Z40" s="6">
        <f t="shared" si="16"/>
        <v>0</v>
      </c>
      <c r="AA40" s="6">
        <f t="shared" si="17"/>
        <v>0</v>
      </c>
      <c r="AB40" s="6">
        <f t="shared" si="18"/>
        <v>0</v>
      </c>
      <c r="AC40" s="6">
        <f t="shared" si="19"/>
        <v>0</v>
      </c>
      <c r="AD40" s="6">
        <f t="shared" si="20"/>
        <v>0</v>
      </c>
      <c r="AE40" s="6">
        <f t="shared" si="21"/>
        <v>0</v>
      </c>
      <c r="AF40" s="6">
        <f t="shared" si="22"/>
        <v>0</v>
      </c>
      <c r="AG40" s="61">
        <f t="shared" si="23"/>
        <v>0</v>
      </c>
    </row>
    <row r="41" spans="1:34" x14ac:dyDescent="0.25">
      <c r="A41" s="7" t="s">
        <v>22</v>
      </c>
      <c r="B41" s="16">
        <f t="shared" ref="B41:K41" si="24">SUM(B3:B40)</f>
        <v>482389</v>
      </c>
      <c r="C41" s="16">
        <f t="shared" si="24"/>
        <v>5281795</v>
      </c>
      <c r="D41" s="16">
        <f t="shared" si="24"/>
        <v>2943563</v>
      </c>
      <c r="E41" s="16">
        <f t="shared" si="24"/>
        <v>7316490</v>
      </c>
      <c r="F41" s="16">
        <f t="shared" si="24"/>
        <v>152312317</v>
      </c>
      <c r="G41" s="16">
        <f t="shared" si="24"/>
        <v>382083283</v>
      </c>
      <c r="H41" s="16">
        <f t="shared" si="24"/>
        <v>351261829</v>
      </c>
      <c r="I41" s="16">
        <f t="shared" si="24"/>
        <v>420576867</v>
      </c>
      <c r="J41" s="16">
        <f t="shared" si="24"/>
        <v>470192793</v>
      </c>
      <c r="K41" s="16">
        <f t="shared" si="24"/>
        <v>1792451326</v>
      </c>
      <c r="M41" s="60">
        <f t="shared" ref="M41:V41" si="25">SUM(M3:M40)</f>
        <v>0</v>
      </c>
      <c r="N41" s="60">
        <f t="shared" si="25"/>
        <v>0</v>
      </c>
      <c r="O41" s="60">
        <f t="shared" si="25"/>
        <v>0</v>
      </c>
      <c r="P41" s="60">
        <f t="shared" si="25"/>
        <v>0</v>
      </c>
      <c r="Q41" s="60">
        <f t="shared" si="25"/>
        <v>145303281</v>
      </c>
      <c r="R41" s="60">
        <f t="shared" si="25"/>
        <v>373590161</v>
      </c>
      <c r="S41" s="60">
        <f t="shared" si="25"/>
        <v>288614453</v>
      </c>
      <c r="T41" s="60">
        <f t="shared" si="25"/>
        <v>194147527</v>
      </c>
      <c r="U41" s="60">
        <f t="shared" si="25"/>
        <v>65493131</v>
      </c>
      <c r="V41" s="60">
        <f t="shared" si="25"/>
        <v>1067148553</v>
      </c>
      <c r="X41" s="47">
        <f t="shared" ref="X41:AC41" si="26">SUM(B41-M41)</f>
        <v>482389</v>
      </c>
      <c r="Y41" s="47">
        <f t="shared" si="26"/>
        <v>5281795</v>
      </c>
      <c r="Z41" s="47">
        <f t="shared" si="26"/>
        <v>2943563</v>
      </c>
      <c r="AA41" s="47">
        <f t="shared" si="26"/>
        <v>7316490</v>
      </c>
      <c r="AB41" s="47">
        <f t="shared" si="26"/>
        <v>7009036</v>
      </c>
      <c r="AC41" s="47">
        <f t="shared" si="26"/>
        <v>8493122</v>
      </c>
      <c r="AD41" s="47">
        <f t="shared" si="11"/>
        <v>62647376</v>
      </c>
      <c r="AE41" s="47">
        <f t="shared" si="11"/>
        <v>226429340</v>
      </c>
      <c r="AF41" s="47">
        <f>SUM(J41-U41)</f>
        <v>404699662</v>
      </c>
      <c r="AG41" s="62">
        <f t="shared" si="13"/>
        <v>725302773</v>
      </c>
    </row>
    <row r="42" spans="1:34" x14ac:dyDescent="0.25">
      <c r="A42" s="9"/>
      <c r="B42" s="96">
        <f>B41/10^7</f>
        <v>4.8238900000000001E-2</v>
      </c>
      <c r="C42" s="96">
        <f t="shared" ref="C42:K42" si="27">C41/10^7</f>
        <v>0.52817950000000002</v>
      </c>
      <c r="D42" s="96">
        <f t="shared" si="27"/>
        <v>0.29435630000000002</v>
      </c>
      <c r="E42" s="96">
        <f t="shared" si="27"/>
        <v>0.73164899999999999</v>
      </c>
      <c r="F42" s="96">
        <f t="shared" si="27"/>
        <v>15.2312317</v>
      </c>
      <c r="G42" s="96">
        <f t="shared" si="27"/>
        <v>38.208328299999998</v>
      </c>
      <c r="H42" s="96">
        <f t="shared" si="27"/>
        <v>35.126182900000003</v>
      </c>
      <c r="I42" s="96">
        <f t="shared" si="27"/>
        <v>42.057686699999998</v>
      </c>
      <c r="J42" s="96">
        <f t="shared" si="27"/>
        <v>47.019279300000001</v>
      </c>
      <c r="K42" s="96">
        <f t="shared" si="27"/>
        <v>179.24513260000001</v>
      </c>
      <c r="M42" s="96">
        <f t="shared" ref="M42:AG42" si="28">M41/10^7</f>
        <v>0</v>
      </c>
      <c r="N42" s="96">
        <f t="shared" si="28"/>
        <v>0</v>
      </c>
      <c r="O42" s="96">
        <f t="shared" si="28"/>
        <v>0</v>
      </c>
      <c r="P42" s="96">
        <f t="shared" si="28"/>
        <v>0</v>
      </c>
      <c r="Q42" s="96">
        <f t="shared" si="28"/>
        <v>14.5303281</v>
      </c>
      <c r="R42" s="96">
        <f t="shared" si="28"/>
        <v>37.359016099999998</v>
      </c>
      <c r="S42" s="96">
        <f t="shared" si="28"/>
        <v>28.8614453</v>
      </c>
      <c r="T42" s="96">
        <f t="shared" si="28"/>
        <v>19.414752700000001</v>
      </c>
      <c r="U42" s="96">
        <f t="shared" si="28"/>
        <v>6.5493131</v>
      </c>
      <c r="V42" s="96">
        <f t="shared" si="28"/>
        <v>106.7148553</v>
      </c>
      <c r="X42" s="96">
        <f t="shared" si="28"/>
        <v>4.8238900000000001E-2</v>
      </c>
      <c r="Y42" s="96">
        <f t="shared" si="28"/>
        <v>0.52817950000000002</v>
      </c>
      <c r="Z42" s="96">
        <f t="shared" si="28"/>
        <v>0.29435630000000002</v>
      </c>
      <c r="AA42" s="96">
        <f t="shared" si="28"/>
        <v>0.73164899999999999</v>
      </c>
      <c r="AB42" s="96">
        <f t="shared" si="28"/>
        <v>0.70090359999999996</v>
      </c>
      <c r="AC42" s="96">
        <f t="shared" si="28"/>
        <v>0.84931219999999996</v>
      </c>
      <c r="AD42" s="96">
        <f t="shared" si="28"/>
        <v>6.2647376000000001</v>
      </c>
      <c r="AE42" s="96">
        <f t="shared" si="28"/>
        <v>22.642934</v>
      </c>
      <c r="AF42" s="96">
        <f t="shared" si="28"/>
        <v>40.469966200000002</v>
      </c>
      <c r="AG42" s="96">
        <f t="shared" si="28"/>
        <v>72.530277299999995</v>
      </c>
      <c r="AH42" s="100"/>
    </row>
    <row r="43" spans="1:34" ht="15.75" x14ac:dyDescent="0.25">
      <c r="B43" s="3"/>
      <c r="C43" s="3"/>
      <c r="D43" s="3"/>
      <c r="E43" s="3"/>
      <c r="F43" s="3"/>
      <c r="G43" s="3"/>
      <c r="H43" s="3"/>
      <c r="I43" s="3"/>
      <c r="J43" s="3"/>
      <c r="M43" s="91">
        <f>M42/B$42</f>
        <v>0</v>
      </c>
      <c r="N43" s="91">
        <f t="shared" ref="N43:V43" si="29">N42/C$42</f>
        <v>0</v>
      </c>
      <c r="O43" s="91">
        <f t="shared" si="29"/>
        <v>0</v>
      </c>
      <c r="P43" s="91">
        <f t="shared" si="29"/>
        <v>0</v>
      </c>
      <c r="Q43" s="91">
        <f t="shared" si="29"/>
        <v>0.9539824740503422</v>
      </c>
      <c r="R43" s="91">
        <f t="shared" si="29"/>
        <v>0.97777154254613119</v>
      </c>
      <c r="S43" s="91">
        <f t="shared" si="29"/>
        <v>0.82165048739184232</v>
      </c>
      <c r="T43" s="91">
        <f t="shared" si="29"/>
        <v>0.46162198217145411</v>
      </c>
      <c r="U43" s="91">
        <f t="shared" si="29"/>
        <v>0.13928995079258902</v>
      </c>
      <c r="V43" s="91">
        <f t="shared" si="29"/>
        <v>0.59535706075847994</v>
      </c>
      <c r="X43" s="87">
        <f>X42/B42</f>
        <v>1</v>
      </c>
      <c r="Y43" s="87">
        <f t="shared" ref="Y43:AG43" si="30">Y42/C42</f>
        <v>1</v>
      </c>
      <c r="Z43" s="87">
        <f t="shared" si="30"/>
        <v>1</v>
      </c>
      <c r="AA43" s="87">
        <f t="shared" si="30"/>
        <v>1</v>
      </c>
      <c r="AB43" s="87">
        <f t="shared" si="30"/>
        <v>4.6017525949657766E-2</v>
      </c>
      <c r="AC43" s="87">
        <f t="shared" si="30"/>
        <v>2.2228457453868769E-2</v>
      </c>
      <c r="AD43" s="87">
        <f t="shared" si="30"/>
        <v>0.1783495126081576</v>
      </c>
      <c r="AE43" s="87">
        <f t="shared" si="30"/>
        <v>0.538378017828546</v>
      </c>
      <c r="AF43" s="87">
        <f t="shared" si="30"/>
        <v>0.86071004920741101</v>
      </c>
      <c r="AG43" s="87">
        <f t="shared" si="30"/>
        <v>0.40464293924152001</v>
      </c>
      <c r="AH43" s="92">
        <f>AG43+V43</f>
        <v>1</v>
      </c>
    </row>
    <row r="44" spans="1:34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34" x14ac:dyDescent="0.25">
      <c r="B45" s="3"/>
      <c r="C45" s="3"/>
      <c r="D45" s="3"/>
      <c r="E45" s="3"/>
      <c r="F45" s="3"/>
      <c r="G45" s="3"/>
      <c r="H45" s="3"/>
      <c r="I45" s="3"/>
      <c r="J45" s="3"/>
    </row>
  </sheetData>
  <autoFilter ref="A2:AH3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14"/>
  <sheetViews>
    <sheetView workbookViewId="0">
      <selection activeCell="H22" sqref="H21:H22"/>
    </sheetView>
  </sheetViews>
  <sheetFormatPr defaultRowHeight="15" x14ac:dyDescent="0.25"/>
  <cols>
    <col min="5" max="5" width="15.42578125" bestFit="1" customWidth="1"/>
    <col min="7" max="8" width="11.7109375" bestFit="1" customWidth="1"/>
  </cols>
  <sheetData>
    <row r="8" spans="5:8" x14ac:dyDescent="0.25">
      <c r="E8" s="58"/>
    </row>
    <row r="9" spans="5:8" x14ac:dyDescent="0.25">
      <c r="E9" s="56"/>
      <c r="G9" s="56"/>
      <c r="H9" s="56"/>
    </row>
    <row r="10" spans="5:8" x14ac:dyDescent="0.25">
      <c r="E10" s="56"/>
      <c r="G10" s="57"/>
      <c r="H10" s="56"/>
    </row>
    <row r="11" spans="5:8" x14ac:dyDescent="0.25">
      <c r="E11" s="57"/>
      <c r="G11" s="56"/>
      <c r="H11" s="57"/>
    </row>
    <row r="12" spans="5:8" x14ac:dyDescent="0.25">
      <c r="E12" s="56"/>
      <c r="G12" s="57"/>
      <c r="H12" s="41"/>
    </row>
    <row r="13" spans="5:8" x14ac:dyDescent="0.25">
      <c r="E13" s="56"/>
    </row>
    <row r="14" spans="5:8" x14ac:dyDescent="0.25">
      <c r="E14" s="4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14"/>
  <sheetViews>
    <sheetView workbookViewId="0">
      <selection activeCell="D10" sqref="D10"/>
    </sheetView>
  </sheetViews>
  <sheetFormatPr defaultRowHeight="15" x14ac:dyDescent="0.25"/>
  <sheetData>
    <row r="8" spans="6:6" x14ac:dyDescent="0.25">
      <c r="F8" s="55"/>
    </row>
    <row r="9" spans="6:6" x14ac:dyDescent="0.25">
      <c r="F9" s="55"/>
    </row>
    <row r="10" spans="6:6" x14ac:dyDescent="0.25">
      <c r="F10" s="55"/>
    </row>
    <row r="11" spans="6:6" x14ac:dyDescent="0.25">
      <c r="F11" s="55"/>
    </row>
    <row r="12" spans="6:6" x14ac:dyDescent="0.25">
      <c r="F12" s="55"/>
    </row>
    <row r="13" spans="6:6" x14ac:dyDescent="0.25">
      <c r="F13" s="55"/>
    </row>
    <row r="14" spans="6:6" x14ac:dyDescent="0.25">
      <c r="F14" s="5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Baddi</vt:lpstr>
      <vt:lpstr>Kutch</vt:lpstr>
      <vt:lpstr>Tiljala</vt:lpstr>
      <vt:lpstr>Daman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2017-04-20T15:29:05Z</dcterms:modified>
</cp:coreProperties>
</file>